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2.xml" ContentType="application/vnd.openxmlformats-officedocument.spreadsheetml.table+xml"/>
  <Override PartName="/xl/drawings/drawing6.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drawings/drawing7.xml" ContentType="application/vnd.openxmlformats-officedocument.drawing+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drawings/drawing8.xml" ContentType="application/vnd.openxmlformats-officedocument.drawing+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drawings/drawing9.xml" ContentType="application/vnd.openxmlformats-officedocument.drawing+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drawings/drawing10.xml" ContentType="application/vnd.openxmlformats-officedocument.drawing+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drawings/drawing11.xml" ContentType="application/vnd.openxmlformats-officedocument.drawing+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comments2.xml" ContentType="application/vnd.openxmlformats-officedocument.spreadsheetml.comments+xml"/>
  <Override PartName="/xl/threadedComments/threadedComment2.xml" ContentType="application/vnd.ms-excel.threadedcomments+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filterPrivacy="1" codeName="ThisWorkbook" autoCompressPictures="0"/>
  <xr:revisionPtr revIDLastSave="0" documentId="13_ncr:1_{142DC085-CD43-4590-8023-818B84327716}" xr6:coauthVersionLast="47" xr6:coauthVersionMax="47" xr10:uidLastSave="{00000000-0000-0000-0000-000000000000}"/>
  <workbookProtection workbookAlgorithmName="SHA-512" workbookHashValue="8FknRMz5PU2atNsHfh+VL5E5arVXXs3rwDZq1rEQU1LPVT2nQv9VOR7ChygLYnSHzudKM7aY9gdvjs83Pefezg==" workbookSaltValue="/ytB+5WoQZk+mO32hAaevg==" workbookSpinCount="100000" lockStructure="1"/>
  <bookViews>
    <workbookView xWindow="-120" yWindow="-120" windowWidth="38640" windowHeight="15840" xr2:uid="{427B152C-C63E-4B03-890E-06B8CE20E5CD}"/>
  </bookViews>
  <sheets>
    <sheet name="START HERE" sheetId="20" r:id="rId1"/>
    <sheet name="Detailed Summary" sheetId="18" r:id="rId2"/>
    <sheet name="Definitions" sheetId="30" r:id="rId3"/>
    <sheet name="Calendar" sheetId="14" r:id="rId4"/>
    <sheet name="Exceptions" sheetId="22" r:id="rId5"/>
    <sheet name="Term 1 Timetable" sheetId="17" r:id="rId6"/>
    <sheet name="Term 2 Timetable" sheetId="27" r:id="rId7"/>
    <sheet name="Term 3 Timetable" sheetId="28" r:id="rId8"/>
    <sheet name="Term 4 Timetable" sheetId="29" r:id="rId9"/>
    <sheet name="Schools" sheetId="25" state="hidden" r:id="rId10"/>
    <sheet name="Calculations" sheetId="24" state="hidden" r:id="rId11"/>
    <sheet name="Parameters" sheetId="16" state="hidden" r:id="rId12"/>
    <sheet name="Images" sheetId="15" state="veryHidden" r:id="rId13"/>
  </sheets>
  <definedNames>
    <definedName name="Calendar10Month">Calendar!$C$154</definedName>
    <definedName name="Calendar10MonthOption">MATCH(Calendar10Month,Months,0)</definedName>
    <definedName name="Calendar10Year">Calendar!$B$154</definedName>
    <definedName name="Calendar11Month">Calendar!$C$170</definedName>
    <definedName name="Calendar11MonthOption">MATCH(Calendar11Month,Months,0)</definedName>
    <definedName name="Calendar11Year">Calendar!$B$170</definedName>
    <definedName name="Calendar12Month">Calendar!$C$186</definedName>
    <definedName name="Calendar12MonthOption">MATCH(Calendar12Month,Months,0)</definedName>
    <definedName name="Calendar12Year">Calendar!$B$186</definedName>
    <definedName name="Calendar1Month">Calendar!$C$10</definedName>
    <definedName name="Calendar1MonthOption">MATCH(Calendar1Month,Months,0)</definedName>
    <definedName name="Calendar1Year">Calendar!$B$10</definedName>
    <definedName name="Calendar2Month">Calendar!$C$26</definedName>
    <definedName name="Calendar2MonthOption">MATCH(Calendar2Month,Months,0)</definedName>
    <definedName name="Calendar2Year">Calendar!$B$26</definedName>
    <definedName name="Calendar3Month">Calendar!$C$42</definedName>
    <definedName name="Calendar3MonthOption">MATCH(Calendar3Month,Months,0)</definedName>
    <definedName name="Calendar3Year">Calendar!$B$42</definedName>
    <definedName name="Calendar4Month">Calendar!$C$58</definedName>
    <definedName name="Calendar4MonthOption">MATCH(Calendar4Month,Months,0)</definedName>
    <definedName name="Calendar4Year">Calendar!$B$58</definedName>
    <definedName name="Calendar5Month">Calendar!$C$74</definedName>
    <definedName name="Calendar5MonthOption">MATCH(Calendar5Month,Months,0)</definedName>
    <definedName name="Calendar5Year">Calendar!$B$74</definedName>
    <definedName name="Calendar6Month">Calendar!$C$90</definedName>
    <definedName name="Calendar6MonthOption">MATCH(Calendar6Month,Months,0)</definedName>
    <definedName name="Calendar6Year">Calendar!$B$90</definedName>
    <definedName name="Calendar7Month">Calendar!$C$106</definedName>
    <definedName name="Calendar7MonthOption">MATCH(Calendar7Month,Months,0)</definedName>
    <definedName name="Calendar7Year">Calendar!$B$106</definedName>
    <definedName name="Calendar8Month">Calendar!$C$122</definedName>
    <definedName name="Calendar8MonthOption">MATCH(Calendar8Month,Months,0)</definedName>
    <definedName name="Calendar8Year">Calendar!$B$122</definedName>
    <definedName name="Calendar9Month">Calendar!$C$138</definedName>
    <definedName name="Calendar9MonthOption">MATCH(Calendar9Month,Months,0)</definedName>
    <definedName name="Calendar9Year">Calendar!$B$138</definedName>
    <definedName name="ColumnTitleRegion1..H12.1">Calendar!$B$12</definedName>
    <definedName name="ColumnTitleRegion10..H54.1">Calendar!$B$60</definedName>
    <definedName name="ColumnTitleRegion11..C56.1">Calendar!$B$60</definedName>
    <definedName name="ColumnTitleRegion12..D56.1">Calendar!$D$71</definedName>
    <definedName name="ColumnTitleRegion13..H68.1">Calendar!$B$76</definedName>
    <definedName name="ColumnTitleRegion14..C70.1">Calendar!$B$76</definedName>
    <definedName name="ColumnTitleRegion15..D70.1">Calendar!$D$87</definedName>
    <definedName name="ColumnTitleRegion16..H82.1">Calendar!$B$92</definedName>
    <definedName name="ColumnTitleRegion17..C84.1">Calendar!$B$92</definedName>
    <definedName name="ColumnTitleRegion18..D84.1">Calendar!$D$103</definedName>
    <definedName name="ColumnTitleRegion19..H96.1">Calendar!$B$108</definedName>
    <definedName name="ColumnTitleRegion2..C14.1">Calendar!$B$12</definedName>
    <definedName name="ColumnTitleRegion20..C98.1">Calendar!$B$108</definedName>
    <definedName name="ColumnTitleRegion21..D98.1">Calendar!$D$119</definedName>
    <definedName name="ColumnTitleRegion22..H110.1">Calendar!$B$124</definedName>
    <definedName name="ColumnTitleRegion23..C112.1">Calendar!$B$124</definedName>
    <definedName name="ColumnTitleRegion24..D112.1">Calendar!$D$135</definedName>
    <definedName name="ColumnTitleRegion25..H124.1">Calendar!$B$140</definedName>
    <definedName name="ColumnTitleRegion26..C126.1">Calendar!$B$140</definedName>
    <definedName name="ColumnTitleRegion27..D126.1">Calendar!$D$151</definedName>
    <definedName name="ColumnTitleRegion28..H138.1">Calendar!$B$156</definedName>
    <definedName name="ColumnTitleRegion29..C140.1">Calendar!$B$156</definedName>
    <definedName name="ColumnTitleRegion3..D14.1">Calendar!$D$23</definedName>
    <definedName name="ColumnTitleRegion30..D140.1">Calendar!$D$167</definedName>
    <definedName name="ColumnTitleRegion31..H152.1">Calendar!$B$172</definedName>
    <definedName name="ColumnTitleRegion32..C154.1">Calendar!$B$172</definedName>
    <definedName name="ColumnTitleRegion33..D154.1">Calendar!$D$183</definedName>
    <definedName name="ColumnTitleRegion34..H166.1">Calendar!$B$188</definedName>
    <definedName name="ColumnTitleRegion35..C168.1">Calendar!$B$188</definedName>
    <definedName name="ColumnTitleRegion36..D168.1">Calendar!$D$199</definedName>
    <definedName name="ColumnTitleRegion4..H26.1">Calendar!$B$28</definedName>
    <definedName name="ColumnTitleRegion5..C28.1">Calendar!$B$28</definedName>
    <definedName name="ColumnTitleRegion6..D28.1">Calendar!$D$39</definedName>
    <definedName name="ColumnTitleRegion7..H40.1">Calendar!$B$44</definedName>
    <definedName name="ColumnTitleRegion8..C42.1">Calendar!$B$44</definedName>
    <definedName name="ColumnTitleRegion9..D42.1">Calendar!$D$55</definedName>
    <definedName name="Days">{0,1,2,3,4,5,6}</definedName>
    <definedName name="First_Instructional_Day1">'START HERE'!$C$16</definedName>
    <definedName name="First_Instructional_Day2">'START HERE'!$C$17</definedName>
    <definedName name="First_Instructional_Day3">'START HERE'!$C$18</definedName>
    <definedName name="First_Instructional_Day4">'START HERE'!$C$19</definedName>
    <definedName name="First_Operational_Day">'START HERE'!$C$15</definedName>
    <definedName name="FTE">'START HERE'!$C$10</definedName>
    <definedName name="Last_Operational_Day">'START HERE'!$C$20</definedName>
    <definedName name="Months">{"January","February","March","April","May","June","July","August","September","October","November","December"}</definedName>
    <definedName name="Num_Terms">'START HERE'!$C$13</definedName>
    <definedName name="NumTeachers">'START HERE'!$C$11</definedName>
    <definedName name="part_time_days">'START HERE'!$C$14</definedName>
    <definedName name="PD_Length">'START HERE'!$C$26</definedName>
    <definedName name="Planning_Length">'START HERE'!$C$27</definedName>
    <definedName name="_xlnm.Print_Area" localSheetId="1">'Detailed Summary'!$A$1:$J$30</definedName>
    <definedName name="Rotation">'START HERE'!$C$21</definedName>
    <definedName name="rotationDays">Parameters!$I$1</definedName>
    <definedName name="School">'START HERE'!$C$9</definedName>
    <definedName name="TeacherName">'START HERE'!$C$7</definedName>
    <definedName name="TypicalHours">'START HERE'!$C$12</definedName>
    <definedName name="WeekdayOption">MATCH(WeekStart,Weekdays,0)+10</definedName>
    <definedName name="Weekdays">{"Monday","Tuesday","Wednesday","Thursday","Friday","Saturday","Sunday"}</definedName>
    <definedName name="WeekStart">Calendar!$B$12</definedName>
    <definedName name="WeekStartValue">IF(WeekStart="Monday",2,1)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2" i="25" l="1" a="1"/>
  <c r="J2" i="25" s="1"/>
  <c r="E21" i="24" a="1"/>
  <c r="E21" i="24" s="1"/>
  <c r="L18" i="17"/>
  <c r="N18" i="17" s="1"/>
  <c r="M18" i="17"/>
  <c r="L19" i="17"/>
  <c r="M19" i="17"/>
  <c r="N19" i="17"/>
  <c r="L20" i="17"/>
  <c r="M20" i="17"/>
  <c r="N20" i="17"/>
  <c r="L21" i="17"/>
  <c r="M21" i="17"/>
  <c r="N21" i="17"/>
  <c r="L22" i="17"/>
  <c r="M22" i="17"/>
  <c r="N22" i="17"/>
  <c r="L23" i="17"/>
  <c r="M23" i="17"/>
  <c r="N23" i="17"/>
  <c r="L24" i="17"/>
  <c r="M24" i="17"/>
  <c r="N24" i="17"/>
  <c r="L25" i="17"/>
  <c r="M25" i="17"/>
  <c r="N25" i="17"/>
  <c r="L26" i="17"/>
  <c r="M26" i="17"/>
  <c r="N26" i="17"/>
  <c r="L27" i="17"/>
  <c r="M27" i="17"/>
  <c r="N27" i="17"/>
  <c r="L28" i="17"/>
  <c r="M28" i="17"/>
  <c r="N28" i="17"/>
  <c r="L29" i="17"/>
  <c r="M29" i="17"/>
  <c r="N29" i="17"/>
  <c r="L30" i="17"/>
  <c r="M30" i="17"/>
  <c r="N30" i="17"/>
  <c r="L31" i="17"/>
  <c r="M31" i="17"/>
  <c r="N31" i="17"/>
  <c r="L32" i="17"/>
  <c r="M32" i="17"/>
  <c r="N32" i="17"/>
  <c r="L33" i="17"/>
  <c r="L34" i="17"/>
  <c r="L35" i="17"/>
  <c r="L36" i="17"/>
  <c r="L37" i="17"/>
  <c r="L38" i="17"/>
  <c r="L39" i="17"/>
  <c r="L40" i="17"/>
  <c r="L41" i="17"/>
  <c r="L42" i="17"/>
  <c r="L43" i="17"/>
  <c r="L44" i="17"/>
  <c r="L45" i="17"/>
  <c r="L46" i="17"/>
  <c r="L47" i="17"/>
  <c r="L48" i="17"/>
  <c r="L49" i="17"/>
  <c r="L50" i="17"/>
  <c r="M33" i="17"/>
  <c r="M34" i="17"/>
  <c r="M35" i="17"/>
  <c r="M36" i="17"/>
  <c r="M37" i="17"/>
  <c r="M38" i="17"/>
  <c r="M39" i="17"/>
  <c r="M40" i="17"/>
  <c r="M41" i="17"/>
  <c r="M42" i="17"/>
  <c r="M43" i="17"/>
  <c r="M44" i="17"/>
  <c r="M45" i="17"/>
  <c r="M46" i="17"/>
  <c r="M47" i="17"/>
  <c r="M48" i="17"/>
  <c r="M49" i="17"/>
  <c r="M50" i="17"/>
  <c r="N33" i="17"/>
  <c r="N34" i="17"/>
  <c r="N35" i="17"/>
  <c r="N36" i="17"/>
  <c r="N37" i="17"/>
  <c r="N38" i="17"/>
  <c r="N39" i="17"/>
  <c r="N40" i="17"/>
  <c r="N41" i="17"/>
  <c r="N42" i="17"/>
  <c r="N43" i="17"/>
  <c r="N44" i="17"/>
  <c r="N45" i="17"/>
  <c r="N46" i="17"/>
  <c r="N47" i="17"/>
  <c r="N48" i="17"/>
  <c r="N49" i="17"/>
  <c r="N50" i="17"/>
  <c r="E18" i="17"/>
  <c r="F18" i="17"/>
  <c r="G18" i="17"/>
  <c r="E19" i="17"/>
  <c r="F19" i="17"/>
  <c r="G19" i="17"/>
  <c r="E20" i="17"/>
  <c r="F20" i="17"/>
  <c r="G20" i="17"/>
  <c r="E21" i="17"/>
  <c r="G21" i="17" s="1"/>
  <c r="F21" i="17"/>
  <c r="E22" i="17"/>
  <c r="F22" i="17"/>
  <c r="G22" i="17"/>
  <c r="E23" i="17"/>
  <c r="F23" i="17"/>
  <c r="G23" i="17"/>
  <c r="E24" i="17"/>
  <c r="G24" i="17" s="1"/>
  <c r="F24" i="17"/>
  <c r="E25" i="17"/>
  <c r="F25" i="17" s="1"/>
  <c r="G25" i="17"/>
  <c r="E26" i="17"/>
  <c r="F26" i="17"/>
  <c r="G26" i="17"/>
  <c r="E27" i="17"/>
  <c r="F27" i="17"/>
  <c r="G27" i="17"/>
  <c r="E28" i="17"/>
  <c r="F28" i="17"/>
  <c r="G28" i="17"/>
  <c r="E29" i="17"/>
  <c r="F29" i="17"/>
  <c r="G29" i="17"/>
  <c r="E30" i="17"/>
  <c r="G30" i="17" s="1"/>
  <c r="F30" i="17"/>
  <c r="E31" i="17"/>
  <c r="F31" i="17" s="1"/>
  <c r="G31" i="17"/>
  <c r="E32" i="17"/>
  <c r="G32" i="17" s="1"/>
  <c r="F32" i="17"/>
  <c r="L25" i="16" a="1"/>
  <c r="L25" i="16" s="1"/>
  <c r="C15" i="16"/>
  <c r="C14" i="16"/>
  <c r="C13" i="16"/>
  <c r="C12" i="16"/>
  <c r="C11" i="16"/>
  <c r="C10" i="16"/>
  <c r="C9" i="16"/>
  <c r="C8" i="16"/>
  <c r="C7" i="16"/>
  <c r="AG69" i="24"/>
  <c r="AF90" i="24"/>
  <c r="AF68" i="24"/>
  <c r="AF46" i="24"/>
  <c r="AF89" i="24"/>
  <c r="AF67" i="24"/>
  <c r="AF45" i="24"/>
  <c r="AF23" i="24"/>
  <c r="AG47" i="24"/>
  <c r="AF24" i="24"/>
  <c r="AG25" i="24"/>
  <c r="AG91" i="24"/>
  <c r="C16" i="16"/>
  <c r="AP89" i="29"/>
  <c r="AO89" i="29"/>
  <c r="AN89" i="29"/>
  <c r="AP88" i="29"/>
  <c r="AO88" i="29"/>
  <c r="AN88" i="29"/>
  <c r="AP87" i="29"/>
  <c r="AO87" i="29"/>
  <c r="AN87" i="29"/>
  <c r="AP86" i="29"/>
  <c r="AO86" i="29"/>
  <c r="AN86" i="29"/>
  <c r="AP85" i="29"/>
  <c r="AO85" i="29"/>
  <c r="AN85" i="29"/>
  <c r="AP84" i="29"/>
  <c r="AO84" i="29"/>
  <c r="AN84" i="29"/>
  <c r="AP83" i="29"/>
  <c r="AO83" i="29"/>
  <c r="AN83" i="29"/>
  <c r="AP82" i="29"/>
  <c r="AO82" i="29"/>
  <c r="AN82" i="29"/>
  <c r="AP81" i="29"/>
  <c r="AO81" i="29"/>
  <c r="AN81" i="29"/>
  <c r="AP80" i="29"/>
  <c r="AO80" i="29"/>
  <c r="AN80" i="29"/>
  <c r="AP79" i="29"/>
  <c r="AO79" i="29"/>
  <c r="AN79" i="29"/>
  <c r="AP78" i="29"/>
  <c r="AO78" i="29"/>
  <c r="AN78" i="29"/>
  <c r="AP77" i="29"/>
  <c r="AO77" i="29"/>
  <c r="AN77" i="29"/>
  <c r="AP76" i="29"/>
  <c r="AO76" i="29"/>
  <c r="AN76" i="29"/>
  <c r="AP75" i="29"/>
  <c r="AO75" i="29"/>
  <c r="AN75" i="29"/>
  <c r="AP74" i="29"/>
  <c r="AO74" i="29"/>
  <c r="AN74" i="29"/>
  <c r="AP73" i="29"/>
  <c r="AO73" i="29"/>
  <c r="AN73" i="29"/>
  <c r="AP72" i="29"/>
  <c r="AO72" i="29"/>
  <c r="AN72" i="29"/>
  <c r="AP71" i="29"/>
  <c r="AO71" i="29"/>
  <c r="AN71" i="29"/>
  <c r="AP70" i="29"/>
  <c r="AO70" i="29"/>
  <c r="AN70" i="29"/>
  <c r="AP69" i="29"/>
  <c r="AO69" i="29"/>
  <c r="AN69" i="29"/>
  <c r="AP68" i="29"/>
  <c r="AO68" i="29"/>
  <c r="AN68" i="29"/>
  <c r="AP67" i="29"/>
  <c r="AO67" i="29"/>
  <c r="AN67" i="29"/>
  <c r="AP66" i="29"/>
  <c r="AO66" i="29"/>
  <c r="AN66" i="29"/>
  <c r="AP65" i="29"/>
  <c r="AO65" i="29"/>
  <c r="AN65" i="29"/>
  <c r="AP64" i="29"/>
  <c r="AO64" i="29"/>
  <c r="AN64" i="29"/>
  <c r="AP63" i="29"/>
  <c r="AO63" i="29"/>
  <c r="AN63" i="29"/>
  <c r="AP62" i="29"/>
  <c r="AO62" i="29"/>
  <c r="AN62" i="29"/>
  <c r="AP61" i="29"/>
  <c r="AO61" i="29"/>
  <c r="AN61" i="29"/>
  <c r="AP60" i="29"/>
  <c r="AO60" i="29"/>
  <c r="AN60" i="29"/>
  <c r="AP59" i="29"/>
  <c r="AO59" i="29"/>
  <c r="AN59" i="29"/>
  <c r="AP58" i="29"/>
  <c r="AO58" i="29"/>
  <c r="AN58" i="29"/>
  <c r="AP57" i="29"/>
  <c r="AO57" i="29"/>
  <c r="AN57" i="29"/>
  <c r="AI89" i="29"/>
  <c r="AH89" i="29"/>
  <c r="AG89" i="29"/>
  <c r="AI88" i="29"/>
  <c r="AH88" i="29"/>
  <c r="AG88" i="29"/>
  <c r="AI87" i="29"/>
  <c r="AH87" i="29"/>
  <c r="AG87" i="29"/>
  <c r="AI86" i="29"/>
  <c r="AH86" i="29"/>
  <c r="AG86" i="29"/>
  <c r="AI85" i="29"/>
  <c r="AH85" i="29"/>
  <c r="AG85" i="29"/>
  <c r="AI84" i="29"/>
  <c r="AH84" i="29"/>
  <c r="AG84" i="29"/>
  <c r="AI83" i="29"/>
  <c r="AH83" i="29"/>
  <c r="AG83" i="29"/>
  <c r="AI82" i="29"/>
  <c r="AH82" i="29"/>
  <c r="AG82" i="29"/>
  <c r="AI81" i="29"/>
  <c r="AH81" i="29"/>
  <c r="AG81" i="29"/>
  <c r="AI80" i="29"/>
  <c r="AH80" i="29"/>
  <c r="AG80" i="29"/>
  <c r="AI79" i="29"/>
  <c r="AH79" i="29"/>
  <c r="AG79" i="29"/>
  <c r="AI78" i="29"/>
  <c r="AH78" i="29"/>
  <c r="AG78" i="29"/>
  <c r="AI77" i="29"/>
  <c r="AH77" i="29"/>
  <c r="AG77" i="29"/>
  <c r="AI76" i="29"/>
  <c r="AH76" i="29"/>
  <c r="AG76" i="29"/>
  <c r="AI75" i="29"/>
  <c r="AH75" i="29"/>
  <c r="AG75" i="29"/>
  <c r="AI74" i="29"/>
  <c r="AH74" i="29"/>
  <c r="AG74" i="29"/>
  <c r="AI73" i="29"/>
  <c r="AH73" i="29"/>
  <c r="AG73" i="29"/>
  <c r="AI72" i="29"/>
  <c r="AH72" i="29"/>
  <c r="AG72" i="29"/>
  <c r="AI71" i="29"/>
  <c r="AH71" i="29"/>
  <c r="AG71" i="29"/>
  <c r="AI70" i="29"/>
  <c r="AH70" i="29"/>
  <c r="AG70" i="29"/>
  <c r="AI69" i="29"/>
  <c r="AH69" i="29"/>
  <c r="AG69" i="29"/>
  <c r="AI68" i="29"/>
  <c r="AH68" i="29"/>
  <c r="AG68" i="29"/>
  <c r="AI67" i="29"/>
  <c r="AH67" i="29"/>
  <c r="AG67" i="29"/>
  <c r="AI66" i="29"/>
  <c r="AH66" i="29"/>
  <c r="AG66" i="29"/>
  <c r="AI65" i="29"/>
  <c r="AH65" i="29"/>
  <c r="AG65" i="29"/>
  <c r="AI64" i="29"/>
  <c r="AH64" i="29"/>
  <c r="AG64" i="29"/>
  <c r="AI63" i="29"/>
  <c r="AH63" i="29"/>
  <c r="AG63" i="29"/>
  <c r="AI62" i="29"/>
  <c r="AH62" i="29"/>
  <c r="AG62" i="29"/>
  <c r="AI61" i="29"/>
  <c r="AH61" i="29"/>
  <c r="AG61" i="29"/>
  <c r="AI60" i="29"/>
  <c r="AH60" i="29"/>
  <c r="AG60" i="29"/>
  <c r="AI59" i="29"/>
  <c r="AH59" i="29"/>
  <c r="AG59" i="29"/>
  <c r="AI58" i="29"/>
  <c r="AH58" i="29"/>
  <c r="AG58" i="29"/>
  <c r="AI57" i="29"/>
  <c r="AH57" i="29"/>
  <c r="AG57" i="29"/>
  <c r="AB89" i="29"/>
  <c r="AA89" i="29"/>
  <c r="Z89" i="29"/>
  <c r="AB88" i="29"/>
  <c r="AA88" i="29"/>
  <c r="Z88" i="29"/>
  <c r="AB87" i="29"/>
  <c r="AA87" i="29"/>
  <c r="Z87" i="29"/>
  <c r="AB86" i="29"/>
  <c r="AA86" i="29"/>
  <c r="Z86" i="29"/>
  <c r="AB85" i="29"/>
  <c r="AA85" i="29"/>
  <c r="Z85" i="29"/>
  <c r="AB84" i="29"/>
  <c r="AA84" i="29"/>
  <c r="Z84" i="29"/>
  <c r="AB83" i="29"/>
  <c r="AA83" i="29"/>
  <c r="Z83" i="29"/>
  <c r="AB82" i="29"/>
  <c r="AA82" i="29"/>
  <c r="Z82" i="29"/>
  <c r="AB81" i="29"/>
  <c r="AA81" i="29"/>
  <c r="Z81" i="29"/>
  <c r="AB80" i="29"/>
  <c r="AA80" i="29"/>
  <c r="Z80" i="29"/>
  <c r="AB79" i="29"/>
  <c r="AA79" i="29"/>
  <c r="Z79" i="29"/>
  <c r="AB78" i="29"/>
  <c r="AA78" i="29"/>
  <c r="Z78" i="29"/>
  <c r="AB77" i="29"/>
  <c r="AA77" i="29"/>
  <c r="Z77" i="29"/>
  <c r="AB76" i="29"/>
  <c r="AA76" i="29"/>
  <c r="Z76" i="29"/>
  <c r="AB75" i="29"/>
  <c r="AA75" i="29"/>
  <c r="Z75" i="29"/>
  <c r="AB74" i="29"/>
  <c r="AA74" i="29"/>
  <c r="Z74" i="29"/>
  <c r="AB73" i="29"/>
  <c r="AA73" i="29"/>
  <c r="Z73" i="29"/>
  <c r="AB72" i="29"/>
  <c r="AA72" i="29"/>
  <c r="Z72" i="29"/>
  <c r="AB71" i="29"/>
  <c r="AA71" i="29"/>
  <c r="Z71" i="29"/>
  <c r="AB70" i="29"/>
  <c r="AA70" i="29"/>
  <c r="Z70" i="29"/>
  <c r="AB69" i="29"/>
  <c r="AA69" i="29"/>
  <c r="Z69" i="29"/>
  <c r="AB68" i="29"/>
  <c r="AA68" i="29"/>
  <c r="Z68" i="29"/>
  <c r="AB67" i="29"/>
  <c r="AA67" i="29"/>
  <c r="Z67" i="29"/>
  <c r="AB66" i="29"/>
  <c r="AA66" i="29"/>
  <c r="Z66" i="29"/>
  <c r="AB65" i="29"/>
  <c r="AA65" i="29"/>
  <c r="Z65" i="29"/>
  <c r="AB64" i="29"/>
  <c r="AA64" i="29"/>
  <c r="Z64" i="29"/>
  <c r="AB63" i="29"/>
  <c r="AA63" i="29"/>
  <c r="Z63" i="29"/>
  <c r="AB62" i="29"/>
  <c r="AA62" i="29"/>
  <c r="Z62" i="29"/>
  <c r="AB61" i="29"/>
  <c r="AA61" i="29"/>
  <c r="Z61" i="29"/>
  <c r="AB60" i="29"/>
  <c r="AA60" i="29"/>
  <c r="Z60" i="29"/>
  <c r="AB59" i="29"/>
  <c r="AA59" i="29"/>
  <c r="Z59" i="29"/>
  <c r="AB58" i="29"/>
  <c r="AA58" i="29"/>
  <c r="Z58" i="29"/>
  <c r="AB57" i="29"/>
  <c r="AA57" i="29"/>
  <c r="Z57" i="29"/>
  <c r="AP89" i="28"/>
  <c r="AO89" i="28"/>
  <c r="AN89" i="28"/>
  <c r="AP88" i="28"/>
  <c r="AO88" i="28"/>
  <c r="AN88" i="28"/>
  <c r="AP87" i="28"/>
  <c r="AO87" i="28"/>
  <c r="AN87" i="28"/>
  <c r="AP86" i="28"/>
  <c r="AO86" i="28"/>
  <c r="AN86" i="28"/>
  <c r="AP85" i="28"/>
  <c r="AO85" i="28"/>
  <c r="AN85" i="28"/>
  <c r="AP84" i="28"/>
  <c r="AO84" i="28"/>
  <c r="AN84" i="28"/>
  <c r="AP83" i="28"/>
  <c r="AO83" i="28"/>
  <c r="AN83" i="28"/>
  <c r="AP82" i="28"/>
  <c r="AO82" i="28"/>
  <c r="AN82" i="28"/>
  <c r="AP81" i="28"/>
  <c r="AO81" i="28"/>
  <c r="AN81" i="28"/>
  <c r="AP80" i="28"/>
  <c r="AO80" i="28"/>
  <c r="AN80" i="28"/>
  <c r="AP79" i="28"/>
  <c r="AO79" i="28"/>
  <c r="AN79" i="28"/>
  <c r="AP78" i="28"/>
  <c r="AO78" i="28"/>
  <c r="AN78" i="28"/>
  <c r="AP77" i="28"/>
  <c r="AO77" i="28"/>
  <c r="AN77" i="28"/>
  <c r="AP76" i="28"/>
  <c r="AO76" i="28"/>
  <c r="AN76" i="28"/>
  <c r="AP75" i="28"/>
  <c r="AO75" i="28"/>
  <c r="AN75" i="28"/>
  <c r="AP74" i="28"/>
  <c r="AO74" i="28"/>
  <c r="AN74" i="28"/>
  <c r="AP73" i="28"/>
  <c r="AO73" i="28"/>
  <c r="AN73" i="28"/>
  <c r="AP72" i="28"/>
  <c r="AO72" i="28"/>
  <c r="AN72" i="28"/>
  <c r="AP71" i="28"/>
  <c r="AO71" i="28"/>
  <c r="AN71" i="28"/>
  <c r="AP70" i="28"/>
  <c r="AO70" i="28"/>
  <c r="AN70" i="28"/>
  <c r="AP69" i="28"/>
  <c r="AO69" i="28"/>
  <c r="AN69" i="28"/>
  <c r="AP68" i="28"/>
  <c r="AO68" i="28"/>
  <c r="AN68" i="28"/>
  <c r="AP67" i="28"/>
  <c r="AO67" i="28"/>
  <c r="AN67" i="28"/>
  <c r="AP66" i="28"/>
  <c r="AO66" i="28"/>
  <c r="AN66" i="28"/>
  <c r="AP65" i="28"/>
  <c r="AO65" i="28"/>
  <c r="AN65" i="28"/>
  <c r="AP64" i="28"/>
  <c r="AO64" i="28"/>
  <c r="AN64" i="28"/>
  <c r="AP63" i="28"/>
  <c r="AO63" i="28"/>
  <c r="AN63" i="28"/>
  <c r="AP62" i="28"/>
  <c r="AO62" i="28"/>
  <c r="AN62" i="28"/>
  <c r="AP61" i="28"/>
  <c r="AO61" i="28"/>
  <c r="AN61" i="28"/>
  <c r="AP60" i="28"/>
  <c r="AO60" i="28"/>
  <c r="AN60" i="28"/>
  <c r="AP59" i="28"/>
  <c r="AO59" i="28"/>
  <c r="AN59" i="28"/>
  <c r="AP58" i="28"/>
  <c r="AO58" i="28"/>
  <c r="AN58" i="28"/>
  <c r="AP57" i="28"/>
  <c r="AO57" i="28"/>
  <c r="AN57" i="28"/>
  <c r="AI89" i="28"/>
  <c r="AH89" i="28"/>
  <c r="AG89" i="28"/>
  <c r="AI88" i="28"/>
  <c r="AH88" i="28"/>
  <c r="AG88" i="28"/>
  <c r="AI87" i="28"/>
  <c r="AH87" i="28"/>
  <c r="AG87" i="28"/>
  <c r="AI86" i="28"/>
  <c r="AH86" i="28"/>
  <c r="AG86" i="28"/>
  <c r="AI85" i="28"/>
  <c r="AH85" i="28"/>
  <c r="AG85" i="28"/>
  <c r="AI84" i="28"/>
  <c r="AH84" i="28"/>
  <c r="AG84" i="28"/>
  <c r="AI83" i="28"/>
  <c r="AH83" i="28"/>
  <c r="AG83" i="28"/>
  <c r="AI82" i="28"/>
  <c r="AH82" i="28"/>
  <c r="AG82" i="28"/>
  <c r="AI81" i="28"/>
  <c r="AH81" i="28"/>
  <c r="AG81" i="28"/>
  <c r="AI80" i="28"/>
  <c r="AH80" i="28"/>
  <c r="AG80" i="28"/>
  <c r="AI79" i="28"/>
  <c r="AH79" i="28"/>
  <c r="AG79" i="28"/>
  <c r="AI78" i="28"/>
  <c r="AH78" i="28"/>
  <c r="AG78" i="28"/>
  <c r="AI77" i="28"/>
  <c r="AH77" i="28"/>
  <c r="AG77" i="28"/>
  <c r="AI76" i="28"/>
  <c r="AH76" i="28"/>
  <c r="AG76" i="28"/>
  <c r="AI75" i="28"/>
  <c r="AH75" i="28"/>
  <c r="AG75" i="28"/>
  <c r="AI74" i="28"/>
  <c r="AH74" i="28"/>
  <c r="AG74" i="28"/>
  <c r="AI73" i="28"/>
  <c r="AH73" i="28"/>
  <c r="AG73" i="28"/>
  <c r="AI72" i="28"/>
  <c r="AH72" i="28"/>
  <c r="AG72" i="28"/>
  <c r="AI71" i="28"/>
  <c r="AH71" i="28"/>
  <c r="AG71" i="28"/>
  <c r="AI70" i="28"/>
  <c r="AH70" i="28"/>
  <c r="AG70" i="28"/>
  <c r="AI69" i="28"/>
  <c r="AH69" i="28"/>
  <c r="AG69" i="28"/>
  <c r="AI68" i="28"/>
  <c r="AH68" i="28"/>
  <c r="AG68" i="28"/>
  <c r="AI67" i="28"/>
  <c r="AH67" i="28"/>
  <c r="AG67" i="28"/>
  <c r="AI66" i="28"/>
  <c r="AH66" i="28"/>
  <c r="AG66" i="28"/>
  <c r="AI65" i="28"/>
  <c r="AH65" i="28"/>
  <c r="AG65" i="28"/>
  <c r="AI64" i="28"/>
  <c r="AH64" i="28"/>
  <c r="AG64" i="28"/>
  <c r="AI63" i="28"/>
  <c r="AH63" i="28"/>
  <c r="AG63" i="28"/>
  <c r="AI62" i="28"/>
  <c r="AH62" i="28"/>
  <c r="AG62" i="28"/>
  <c r="AI61" i="28"/>
  <c r="AH61" i="28"/>
  <c r="AG61" i="28"/>
  <c r="AI60" i="28"/>
  <c r="AH60" i="28"/>
  <c r="AG60" i="28"/>
  <c r="AI59" i="28"/>
  <c r="AH59" i="28"/>
  <c r="AG59" i="28"/>
  <c r="AI58" i="28"/>
  <c r="AH58" i="28"/>
  <c r="AG58" i="28"/>
  <c r="AI57" i="28"/>
  <c r="AH57" i="28"/>
  <c r="AG57" i="28"/>
  <c r="AB89" i="28"/>
  <c r="AA89" i="28"/>
  <c r="Z89" i="28"/>
  <c r="AB88" i="28"/>
  <c r="AA88" i="28"/>
  <c r="Z88" i="28"/>
  <c r="AB87" i="28"/>
  <c r="AA87" i="28"/>
  <c r="Z87" i="28"/>
  <c r="AB86" i="28"/>
  <c r="AA86" i="28"/>
  <c r="Z86" i="28"/>
  <c r="AB85" i="28"/>
  <c r="AA85" i="28"/>
  <c r="Z85" i="28"/>
  <c r="AB84" i="28"/>
  <c r="AA84" i="28"/>
  <c r="Z84" i="28"/>
  <c r="AB83" i="28"/>
  <c r="AA83" i="28"/>
  <c r="Z83" i="28"/>
  <c r="AB82" i="28"/>
  <c r="AA82" i="28"/>
  <c r="Z82" i="28"/>
  <c r="AB81" i="28"/>
  <c r="AA81" i="28"/>
  <c r="Z81" i="28"/>
  <c r="AB80" i="28"/>
  <c r="AA80" i="28"/>
  <c r="Z80" i="28"/>
  <c r="AB79" i="28"/>
  <c r="AA79" i="28"/>
  <c r="Z79" i="28"/>
  <c r="AB78" i="28"/>
  <c r="AA78" i="28"/>
  <c r="Z78" i="28"/>
  <c r="AB77" i="28"/>
  <c r="AA77" i="28"/>
  <c r="Z77" i="28"/>
  <c r="AB76" i="28"/>
  <c r="AA76" i="28"/>
  <c r="Z76" i="28"/>
  <c r="AB75" i="28"/>
  <c r="AA75" i="28"/>
  <c r="Z75" i="28"/>
  <c r="AB74" i="28"/>
  <c r="AA74" i="28"/>
  <c r="Z74" i="28"/>
  <c r="AB73" i="28"/>
  <c r="AA73" i="28"/>
  <c r="Z73" i="28"/>
  <c r="AB72" i="28"/>
  <c r="AA72" i="28"/>
  <c r="Z72" i="28"/>
  <c r="AB71" i="28"/>
  <c r="AA71" i="28"/>
  <c r="Z71" i="28"/>
  <c r="AB70" i="28"/>
  <c r="AA70" i="28"/>
  <c r="Z70" i="28"/>
  <c r="AB69" i="28"/>
  <c r="AA69" i="28"/>
  <c r="Z69" i="28"/>
  <c r="AB68" i="28"/>
  <c r="AA68" i="28"/>
  <c r="Z68" i="28"/>
  <c r="AB67" i="28"/>
  <c r="AA67" i="28"/>
  <c r="Z67" i="28"/>
  <c r="AB66" i="28"/>
  <c r="AA66" i="28"/>
  <c r="Z66" i="28"/>
  <c r="AB65" i="28"/>
  <c r="AA65" i="28"/>
  <c r="Z65" i="28"/>
  <c r="AB64" i="28"/>
  <c r="AA64" i="28"/>
  <c r="Z64" i="28"/>
  <c r="AB63" i="28"/>
  <c r="AA63" i="28"/>
  <c r="Z63" i="28"/>
  <c r="AB62" i="28"/>
  <c r="AA62" i="28"/>
  <c r="Z62" i="28"/>
  <c r="AB61" i="28"/>
  <c r="AA61" i="28"/>
  <c r="Z61" i="28"/>
  <c r="AB60" i="28"/>
  <c r="AA60" i="28"/>
  <c r="Z60" i="28"/>
  <c r="AB59" i="28"/>
  <c r="AA59" i="28"/>
  <c r="Z59" i="28"/>
  <c r="AB58" i="28"/>
  <c r="AA58" i="28"/>
  <c r="Z58" i="28"/>
  <c r="AB57" i="28"/>
  <c r="AA57" i="28"/>
  <c r="Z57" i="28"/>
  <c r="AP89" i="27"/>
  <c r="AO89" i="27"/>
  <c r="AN89" i="27"/>
  <c r="AP88" i="27"/>
  <c r="AO88" i="27"/>
  <c r="AN88" i="27"/>
  <c r="AP87" i="27"/>
  <c r="AO87" i="27"/>
  <c r="AN87" i="27"/>
  <c r="AP86" i="27"/>
  <c r="AO86" i="27"/>
  <c r="AN86" i="27"/>
  <c r="AP85" i="27"/>
  <c r="AO85" i="27"/>
  <c r="AN85" i="27"/>
  <c r="AP84" i="27"/>
  <c r="AO84" i="27"/>
  <c r="AN84" i="27"/>
  <c r="AP83" i="27"/>
  <c r="AO83" i="27"/>
  <c r="AN83" i="27"/>
  <c r="AP82" i="27"/>
  <c r="AO82" i="27"/>
  <c r="AN82" i="27"/>
  <c r="AP81" i="27"/>
  <c r="AO81" i="27"/>
  <c r="AN81" i="27"/>
  <c r="AP80" i="27"/>
  <c r="AO80" i="27"/>
  <c r="AN80" i="27"/>
  <c r="AP79" i="27"/>
  <c r="AO79" i="27"/>
  <c r="AN79" i="27"/>
  <c r="AP78" i="27"/>
  <c r="AO78" i="27"/>
  <c r="AN78" i="27"/>
  <c r="AP77" i="27"/>
  <c r="AO77" i="27"/>
  <c r="AN77" i="27"/>
  <c r="AP76" i="27"/>
  <c r="AO76" i="27"/>
  <c r="AN76" i="27"/>
  <c r="AP75" i="27"/>
  <c r="AO75" i="27"/>
  <c r="AN75" i="27"/>
  <c r="AP74" i="27"/>
  <c r="AO74" i="27"/>
  <c r="AN74" i="27"/>
  <c r="AP73" i="27"/>
  <c r="AO73" i="27"/>
  <c r="AN73" i="27"/>
  <c r="AP72" i="27"/>
  <c r="AO72" i="27"/>
  <c r="AN72" i="27"/>
  <c r="AP71" i="27"/>
  <c r="AO71" i="27"/>
  <c r="AN71" i="27"/>
  <c r="AP70" i="27"/>
  <c r="AO70" i="27"/>
  <c r="AN70" i="27"/>
  <c r="AP69" i="27"/>
  <c r="AO69" i="27"/>
  <c r="AN69" i="27"/>
  <c r="AP68" i="27"/>
  <c r="AO68" i="27"/>
  <c r="AN68" i="27"/>
  <c r="AP67" i="27"/>
  <c r="AO67" i="27"/>
  <c r="AN67" i="27"/>
  <c r="AP66" i="27"/>
  <c r="AO66" i="27"/>
  <c r="AN66" i="27"/>
  <c r="AP65" i="27"/>
  <c r="AO65" i="27"/>
  <c r="AN65" i="27"/>
  <c r="AP64" i="27"/>
  <c r="AO64" i="27"/>
  <c r="AN64" i="27"/>
  <c r="AP63" i="27"/>
  <c r="AO63" i="27"/>
  <c r="AN63" i="27"/>
  <c r="AP62" i="27"/>
  <c r="AO62" i="27"/>
  <c r="AN62" i="27"/>
  <c r="AP61" i="27"/>
  <c r="AO61" i="27"/>
  <c r="AN61" i="27"/>
  <c r="AP60" i="27"/>
  <c r="AO60" i="27"/>
  <c r="AN60" i="27"/>
  <c r="AP59" i="27"/>
  <c r="AO59" i="27"/>
  <c r="AN59" i="27"/>
  <c r="AP58" i="27"/>
  <c r="AO58" i="27"/>
  <c r="AN58" i="27"/>
  <c r="AP57" i="27"/>
  <c r="AO57" i="27"/>
  <c r="AN57" i="27"/>
  <c r="AI89" i="27"/>
  <c r="AH89" i="27"/>
  <c r="AG89" i="27"/>
  <c r="AI88" i="27"/>
  <c r="AH88" i="27"/>
  <c r="AG88" i="27"/>
  <c r="AI87" i="27"/>
  <c r="AH87" i="27"/>
  <c r="AG87" i="27"/>
  <c r="AI86" i="27"/>
  <c r="AH86" i="27"/>
  <c r="AG86" i="27"/>
  <c r="AI85" i="27"/>
  <c r="AH85" i="27"/>
  <c r="AG85" i="27"/>
  <c r="AI84" i="27"/>
  <c r="AH84" i="27"/>
  <c r="AG84" i="27"/>
  <c r="AI83" i="27"/>
  <c r="AH83" i="27"/>
  <c r="AG83" i="27"/>
  <c r="AI82" i="27"/>
  <c r="AH82" i="27"/>
  <c r="AG82" i="27"/>
  <c r="AI81" i="27"/>
  <c r="AH81" i="27"/>
  <c r="AG81" i="27"/>
  <c r="AI80" i="27"/>
  <c r="AH80" i="27"/>
  <c r="AG80" i="27"/>
  <c r="AI79" i="27"/>
  <c r="AH79" i="27"/>
  <c r="AG79" i="27"/>
  <c r="AI78" i="27"/>
  <c r="AH78" i="27"/>
  <c r="AG78" i="27"/>
  <c r="AI77" i="27"/>
  <c r="AH77" i="27"/>
  <c r="AG77" i="27"/>
  <c r="AI76" i="27"/>
  <c r="AH76" i="27"/>
  <c r="AG76" i="27"/>
  <c r="AI75" i="27"/>
  <c r="AH75" i="27"/>
  <c r="AG75" i="27"/>
  <c r="AI74" i="27"/>
  <c r="AH74" i="27"/>
  <c r="AG74" i="27"/>
  <c r="AI73" i="27"/>
  <c r="AH73" i="27"/>
  <c r="AG73" i="27"/>
  <c r="AI72" i="27"/>
  <c r="AH72" i="27"/>
  <c r="AG72" i="27"/>
  <c r="AI71" i="27"/>
  <c r="AH71" i="27"/>
  <c r="AG71" i="27"/>
  <c r="AI70" i="27"/>
  <c r="AH70" i="27"/>
  <c r="AG70" i="27"/>
  <c r="AI69" i="27"/>
  <c r="AH69" i="27"/>
  <c r="AG69" i="27"/>
  <c r="AI68" i="27"/>
  <c r="AH68" i="27"/>
  <c r="AG68" i="27"/>
  <c r="AI67" i="27"/>
  <c r="AH67" i="27"/>
  <c r="AG67" i="27"/>
  <c r="AI66" i="27"/>
  <c r="AH66" i="27"/>
  <c r="AG66" i="27"/>
  <c r="AI65" i="27"/>
  <c r="AH65" i="27"/>
  <c r="AG65" i="27"/>
  <c r="AI64" i="27"/>
  <c r="AH64" i="27"/>
  <c r="AG64" i="27"/>
  <c r="AI63" i="27"/>
  <c r="AH63" i="27"/>
  <c r="AG63" i="27"/>
  <c r="AI62" i="27"/>
  <c r="AH62" i="27"/>
  <c r="AG62" i="27"/>
  <c r="AI61" i="27"/>
  <c r="AH61" i="27"/>
  <c r="AG61" i="27"/>
  <c r="AI60" i="27"/>
  <c r="AH60" i="27"/>
  <c r="AG60" i="27"/>
  <c r="AI59" i="27"/>
  <c r="AH59" i="27"/>
  <c r="AG59" i="27"/>
  <c r="AI58" i="27"/>
  <c r="AH58" i="27"/>
  <c r="AG58" i="27"/>
  <c r="AI57" i="27"/>
  <c r="AH57" i="27"/>
  <c r="AG57" i="27"/>
  <c r="AB89" i="27"/>
  <c r="AA89" i="27"/>
  <c r="Z89" i="27"/>
  <c r="AB88" i="27"/>
  <c r="AA88" i="27"/>
  <c r="Z88" i="27"/>
  <c r="AB87" i="27"/>
  <c r="AA87" i="27"/>
  <c r="Z87" i="27"/>
  <c r="AB86" i="27"/>
  <c r="AA86" i="27"/>
  <c r="Z86" i="27"/>
  <c r="AB85" i="27"/>
  <c r="AA85" i="27"/>
  <c r="Z85" i="27"/>
  <c r="AB84" i="27"/>
  <c r="AA84" i="27"/>
  <c r="Z84" i="27"/>
  <c r="AB83" i="27"/>
  <c r="AA83" i="27"/>
  <c r="Z83" i="27"/>
  <c r="AB82" i="27"/>
  <c r="AA82" i="27"/>
  <c r="Z82" i="27"/>
  <c r="AB81" i="27"/>
  <c r="AA81" i="27"/>
  <c r="Z81" i="27"/>
  <c r="AB80" i="27"/>
  <c r="AA80" i="27"/>
  <c r="Z80" i="27"/>
  <c r="AB79" i="27"/>
  <c r="AA79" i="27"/>
  <c r="Z79" i="27"/>
  <c r="AB78" i="27"/>
  <c r="AA78" i="27"/>
  <c r="Z78" i="27"/>
  <c r="AB77" i="27"/>
  <c r="AA77" i="27"/>
  <c r="Z77" i="27"/>
  <c r="AB76" i="27"/>
  <c r="AA76" i="27"/>
  <c r="Z76" i="27"/>
  <c r="AB75" i="27"/>
  <c r="AA75" i="27"/>
  <c r="Z75" i="27"/>
  <c r="AB74" i="27"/>
  <c r="AA74" i="27"/>
  <c r="Z74" i="27"/>
  <c r="AB73" i="27"/>
  <c r="AA73" i="27"/>
  <c r="Z73" i="27"/>
  <c r="AB72" i="27"/>
  <c r="AA72" i="27"/>
  <c r="Z72" i="27"/>
  <c r="AB71" i="27"/>
  <c r="AA71" i="27"/>
  <c r="Z71" i="27"/>
  <c r="AB70" i="27"/>
  <c r="AA70" i="27"/>
  <c r="Z70" i="27"/>
  <c r="AB69" i="27"/>
  <c r="AA69" i="27"/>
  <c r="Z69" i="27"/>
  <c r="AB68" i="27"/>
  <c r="AA68" i="27"/>
  <c r="Z68" i="27"/>
  <c r="AB67" i="27"/>
  <c r="AA67" i="27"/>
  <c r="Z67" i="27"/>
  <c r="AB66" i="27"/>
  <c r="AA66" i="27"/>
  <c r="Z66" i="27"/>
  <c r="AB65" i="27"/>
  <c r="AA65" i="27"/>
  <c r="Z65" i="27"/>
  <c r="AB64" i="27"/>
  <c r="AA64" i="27"/>
  <c r="Z64" i="27"/>
  <c r="AB63" i="27"/>
  <c r="AA63" i="27"/>
  <c r="Z63" i="27"/>
  <c r="AB62" i="27"/>
  <c r="AA62" i="27"/>
  <c r="Z62" i="27"/>
  <c r="AB61" i="27"/>
  <c r="AA61" i="27"/>
  <c r="Z61" i="27"/>
  <c r="AB60" i="27"/>
  <c r="AA60" i="27"/>
  <c r="Z60" i="27"/>
  <c r="AB59" i="27"/>
  <c r="AA59" i="27"/>
  <c r="Z59" i="27"/>
  <c r="AB58" i="27"/>
  <c r="AA58" i="27"/>
  <c r="Z58" i="27"/>
  <c r="AB57" i="27"/>
  <c r="AA57" i="27"/>
  <c r="Z57" i="27"/>
  <c r="AP89" i="17"/>
  <c r="AO89" i="17"/>
  <c r="AN89" i="17"/>
  <c r="AP88" i="17"/>
  <c r="AO88" i="17"/>
  <c r="AN88" i="17"/>
  <c r="AP87" i="17"/>
  <c r="AO87" i="17"/>
  <c r="AN87" i="17"/>
  <c r="AP86" i="17"/>
  <c r="AO86" i="17"/>
  <c r="AN86" i="17"/>
  <c r="AP85" i="17"/>
  <c r="AO85" i="17"/>
  <c r="AN85" i="17"/>
  <c r="AP84" i="17"/>
  <c r="AO84" i="17"/>
  <c r="AN84" i="17"/>
  <c r="AP83" i="17"/>
  <c r="AO83" i="17"/>
  <c r="AN83" i="17"/>
  <c r="AP82" i="17"/>
  <c r="AO82" i="17"/>
  <c r="AN82" i="17"/>
  <c r="AP81" i="17"/>
  <c r="AO81" i="17"/>
  <c r="AN81" i="17"/>
  <c r="AP80" i="17"/>
  <c r="AO80" i="17"/>
  <c r="AN80" i="17"/>
  <c r="AP79" i="17"/>
  <c r="AO79" i="17"/>
  <c r="AN79" i="17"/>
  <c r="AP78" i="17"/>
  <c r="AO78" i="17"/>
  <c r="AN78" i="17"/>
  <c r="AP77" i="17"/>
  <c r="AO77" i="17"/>
  <c r="AN77" i="17"/>
  <c r="AP76" i="17"/>
  <c r="AO76" i="17"/>
  <c r="AN76" i="17"/>
  <c r="AP75" i="17"/>
  <c r="AO75" i="17"/>
  <c r="AN75" i="17"/>
  <c r="AP74" i="17"/>
  <c r="AO74" i="17"/>
  <c r="AN74" i="17"/>
  <c r="AP73" i="17"/>
  <c r="AO73" i="17"/>
  <c r="AN73" i="17"/>
  <c r="AP72" i="17"/>
  <c r="AO72" i="17"/>
  <c r="AN72" i="17"/>
  <c r="AP71" i="17"/>
  <c r="AO71" i="17"/>
  <c r="AN71" i="17"/>
  <c r="AP70" i="17"/>
  <c r="AO70" i="17"/>
  <c r="AN70" i="17"/>
  <c r="AP69" i="17"/>
  <c r="AO69" i="17"/>
  <c r="AN69" i="17"/>
  <c r="AP68" i="17"/>
  <c r="AO68" i="17"/>
  <c r="AN68" i="17"/>
  <c r="AP67" i="17"/>
  <c r="AO67" i="17"/>
  <c r="AN67" i="17"/>
  <c r="AP66" i="17"/>
  <c r="AO66" i="17"/>
  <c r="AN66" i="17"/>
  <c r="AP65" i="17"/>
  <c r="AO65" i="17"/>
  <c r="AN65" i="17"/>
  <c r="AP64" i="17"/>
  <c r="AO64" i="17"/>
  <c r="AN64" i="17"/>
  <c r="AP63" i="17"/>
  <c r="AO63" i="17"/>
  <c r="AN63" i="17"/>
  <c r="AP62" i="17"/>
  <c r="AO62" i="17"/>
  <c r="AN62" i="17"/>
  <c r="AP61" i="17"/>
  <c r="AO61" i="17"/>
  <c r="AN61" i="17"/>
  <c r="AP60" i="17"/>
  <c r="AO60" i="17"/>
  <c r="AN60" i="17"/>
  <c r="AP59" i="17"/>
  <c r="AO59" i="17"/>
  <c r="AN59" i="17"/>
  <c r="AP58" i="17"/>
  <c r="AO58" i="17"/>
  <c r="AN58" i="17"/>
  <c r="AP57" i="17"/>
  <c r="AO57" i="17"/>
  <c r="AN57" i="17"/>
  <c r="AI89" i="17"/>
  <c r="AH89" i="17"/>
  <c r="AG89" i="17"/>
  <c r="AI88" i="17"/>
  <c r="AH88" i="17"/>
  <c r="AG88" i="17"/>
  <c r="AI87" i="17"/>
  <c r="AH87" i="17"/>
  <c r="AG87" i="17"/>
  <c r="AI86" i="17"/>
  <c r="AH86" i="17"/>
  <c r="AG86" i="17"/>
  <c r="AI85" i="17"/>
  <c r="AH85" i="17"/>
  <c r="AG85" i="17"/>
  <c r="AI84" i="17"/>
  <c r="AH84" i="17"/>
  <c r="AG84" i="17"/>
  <c r="AI83" i="17"/>
  <c r="AH83" i="17"/>
  <c r="AG83" i="17"/>
  <c r="AI82" i="17"/>
  <c r="AH82" i="17"/>
  <c r="AG82" i="17"/>
  <c r="AI81" i="17"/>
  <c r="AH81" i="17"/>
  <c r="AG81" i="17"/>
  <c r="AI80" i="17"/>
  <c r="AH80" i="17"/>
  <c r="AG80" i="17"/>
  <c r="AI79" i="17"/>
  <c r="AH79" i="17"/>
  <c r="AG79" i="17"/>
  <c r="AI78" i="17"/>
  <c r="AH78" i="17"/>
  <c r="AG78" i="17"/>
  <c r="AI77" i="17"/>
  <c r="AH77" i="17"/>
  <c r="AG77" i="17"/>
  <c r="AI76" i="17"/>
  <c r="AH76" i="17"/>
  <c r="AG76" i="17"/>
  <c r="AI75" i="17"/>
  <c r="AH75" i="17"/>
  <c r="AG75" i="17"/>
  <c r="AI74" i="17"/>
  <c r="AH74" i="17"/>
  <c r="AG74" i="17"/>
  <c r="AI73" i="17"/>
  <c r="AH73" i="17"/>
  <c r="AG73" i="17"/>
  <c r="AI72" i="17"/>
  <c r="AH72" i="17"/>
  <c r="AG72" i="17"/>
  <c r="AI71" i="17"/>
  <c r="AH71" i="17"/>
  <c r="AG71" i="17"/>
  <c r="AI70" i="17"/>
  <c r="AH70" i="17"/>
  <c r="AG70" i="17"/>
  <c r="AI69" i="17"/>
  <c r="AH69" i="17"/>
  <c r="AG69" i="17"/>
  <c r="AI68" i="17"/>
  <c r="AH68" i="17"/>
  <c r="AG68" i="17"/>
  <c r="AI67" i="17"/>
  <c r="AH67" i="17"/>
  <c r="AG67" i="17"/>
  <c r="AI66" i="17"/>
  <c r="AH66" i="17"/>
  <c r="AG66" i="17"/>
  <c r="AI65" i="17"/>
  <c r="AH65" i="17"/>
  <c r="AG65" i="17"/>
  <c r="AI64" i="17"/>
  <c r="AH64" i="17"/>
  <c r="AG64" i="17"/>
  <c r="AI63" i="17"/>
  <c r="AH63" i="17"/>
  <c r="AG63" i="17"/>
  <c r="AI62" i="17"/>
  <c r="AH62" i="17"/>
  <c r="AG62" i="17"/>
  <c r="AI61" i="17"/>
  <c r="AH61" i="17"/>
  <c r="AG61" i="17"/>
  <c r="AI60" i="17"/>
  <c r="AH60" i="17"/>
  <c r="AG60" i="17"/>
  <c r="AI59" i="17"/>
  <c r="AH59" i="17"/>
  <c r="AG59" i="17"/>
  <c r="AI58" i="17"/>
  <c r="AH58" i="17"/>
  <c r="AG58" i="17"/>
  <c r="AI57" i="17"/>
  <c r="AH57" i="17"/>
  <c r="AG57" i="17"/>
  <c r="AB89" i="17"/>
  <c r="AA89" i="17"/>
  <c r="Z89" i="17"/>
  <c r="AB88" i="17"/>
  <c r="AA88" i="17"/>
  <c r="Z88" i="17"/>
  <c r="AB87" i="17"/>
  <c r="AA87" i="17"/>
  <c r="Z87" i="17"/>
  <c r="AB86" i="17"/>
  <c r="AA86" i="17"/>
  <c r="Z86" i="17"/>
  <c r="AB85" i="17"/>
  <c r="AA85" i="17"/>
  <c r="Z85" i="17"/>
  <c r="AB84" i="17"/>
  <c r="AA84" i="17"/>
  <c r="Z84" i="17"/>
  <c r="AB83" i="17"/>
  <c r="AA83" i="17"/>
  <c r="Z83" i="17"/>
  <c r="AB82" i="17"/>
  <c r="AA82" i="17"/>
  <c r="Z82" i="17"/>
  <c r="AB81" i="17"/>
  <c r="AA81" i="17"/>
  <c r="Z81" i="17"/>
  <c r="AB80" i="17"/>
  <c r="AA80" i="17"/>
  <c r="Z80" i="17"/>
  <c r="AB79" i="17"/>
  <c r="AA79" i="17"/>
  <c r="Z79" i="17"/>
  <c r="AB78" i="17"/>
  <c r="AA78" i="17"/>
  <c r="Z78" i="17"/>
  <c r="AB77" i="17"/>
  <c r="AA77" i="17"/>
  <c r="Z77" i="17"/>
  <c r="AB76" i="17"/>
  <c r="AA76" i="17"/>
  <c r="Z76" i="17"/>
  <c r="AB75" i="17"/>
  <c r="AA75" i="17"/>
  <c r="Z75" i="17"/>
  <c r="AB74" i="17"/>
  <c r="AA74" i="17"/>
  <c r="Z74" i="17"/>
  <c r="AB73" i="17"/>
  <c r="AA73" i="17"/>
  <c r="Z73" i="17"/>
  <c r="AB72" i="17"/>
  <c r="AA72" i="17"/>
  <c r="Z72" i="17"/>
  <c r="AB71" i="17"/>
  <c r="AA71" i="17"/>
  <c r="Z71" i="17"/>
  <c r="AB70" i="17"/>
  <c r="AA70" i="17"/>
  <c r="Z70" i="17"/>
  <c r="AB69" i="17"/>
  <c r="AA69" i="17"/>
  <c r="Z69" i="17"/>
  <c r="AB68" i="17"/>
  <c r="AA68" i="17"/>
  <c r="Z68" i="17"/>
  <c r="AB67" i="17"/>
  <c r="AA67" i="17"/>
  <c r="Z67" i="17"/>
  <c r="AB66" i="17"/>
  <c r="AA66" i="17"/>
  <c r="Z66" i="17"/>
  <c r="AB65" i="17"/>
  <c r="AA65" i="17"/>
  <c r="Z65" i="17"/>
  <c r="AB64" i="17"/>
  <c r="AA64" i="17"/>
  <c r="Z64" i="17"/>
  <c r="AB63" i="17"/>
  <c r="AA63" i="17"/>
  <c r="Z63" i="17"/>
  <c r="AB62" i="17"/>
  <c r="AA62" i="17"/>
  <c r="Z62" i="17"/>
  <c r="AB61" i="17"/>
  <c r="AA61" i="17"/>
  <c r="Z61" i="17"/>
  <c r="AB60" i="17"/>
  <c r="AA60" i="17"/>
  <c r="Z60" i="17"/>
  <c r="AB59" i="17"/>
  <c r="AA59" i="17"/>
  <c r="Z59" i="17"/>
  <c r="AB58" i="17"/>
  <c r="AA58" i="17"/>
  <c r="Z58" i="17"/>
  <c r="AB57" i="17"/>
  <c r="AA57" i="17"/>
  <c r="Z57" i="17"/>
  <c r="G27" i="18"/>
  <c r="BI50" i="17"/>
  <c r="BI49" i="17"/>
  <c r="BI48" i="17"/>
  <c r="BI47" i="17"/>
  <c r="BI46" i="17"/>
  <c r="BI45" i="17"/>
  <c r="BI44" i="17"/>
  <c r="BI43" i="17"/>
  <c r="BI42" i="17"/>
  <c r="BI41" i="17"/>
  <c r="BI40" i="17"/>
  <c r="BI39" i="17"/>
  <c r="BI38" i="17"/>
  <c r="BI37" i="17"/>
  <c r="BI36" i="17"/>
  <c r="BI35" i="17"/>
  <c r="BI34" i="17"/>
  <c r="BI33" i="17"/>
  <c r="BI32" i="17"/>
  <c r="BI31" i="17"/>
  <c r="BI30" i="17"/>
  <c r="BI29" i="17"/>
  <c r="BI28" i="17"/>
  <c r="BI27" i="17"/>
  <c r="BI26" i="17"/>
  <c r="BI25" i="17"/>
  <c r="BI24" i="17"/>
  <c r="BI23" i="17"/>
  <c r="BI22" i="17"/>
  <c r="BI21" i="17"/>
  <c r="BI20" i="17"/>
  <c r="BI19" i="17"/>
  <c r="BI18" i="17"/>
  <c r="I1" i="16"/>
  <c r="BK50" i="29"/>
  <c r="BJ50" i="29"/>
  <c r="BI50" i="29"/>
  <c r="BK49" i="29"/>
  <c r="BJ49" i="29"/>
  <c r="BI49" i="29"/>
  <c r="BK48" i="29"/>
  <c r="BJ48" i="29"/>
  <c r="BI48" i="29"/>
  <c r="BK47" i="29"/>
  <c r="BJ47" i="29"/>
  <c r="BI47" i="29"/>
  <c r="BK46" i="29"/>
  <c r="BJ46" i="29"/>
  <c r="BI46" i="29"/>
  <c r="BK45" i="29"/>
  <c r="BJ45" i="29"/>
  <c r="BI45" i="29"/>
  <c r="BK44" i="29"/>
  <c r="BJ44" i="29"/>
  <c r="BI44" i="29"/>
  <c r="BK43" i="29"/>
  <c r="BJ43" i="29"/>
  <c r="BI43" i="29"/>
  <c r="BK42" i="29"/>
  <c r="BJ42" i="29"/>
  <c r="BI42" i="29"/>
  <c r="BK41" i="29"/>
  <c r="BJ41" i="29"/>
  <c r="BI41" i="29"/>
  <c r="BK40" i="29"/>
  <c r="BJ40" i="29"/>
  <c r="BI40" i="29"/>
  <c r="BK39" i="29"/>
  <c r="BJ39" i="29"/>
  <c r="BI39" i="29"/>
  <c r="BK38" i="29"/>
  <c r="BJ38" i="29"/>
  <c r="BI38" i="29"/>
  <c r="BK37" i="29"/>
  <c r="BJ37" i="29"/>
  <c r="BI37" i="29"/>
  <c r="BK36" i="29"/>
  <c r="BJ36" i="29"/>
  <c r="BI36" i="29"/>
  <c r="BK35" i="29"/>
  <c r="BJ35" i="29"/>
  <c r="BI35" i="29"/>
  <c r="BK34" i="29"/>
  <c r="BJ34" i="29"/>
  <c r="BI34" i="29"/>
  <c r="BK33" i="29"/>
  <c r="BJ33" i="29"/>
  <c r="BI33" i="29"/>
  <c r="BK32" i="29"/>
  <c r="BJ32" i="29"/>
  <c r="BI32" i="29"/>
  <c r="BK31" i="29"/>
  <c r="BJ31" i="29"/>
  <c r="BI31" i="29"/>
  <c r="BJ30" i="29"/>
  <c r="BI30" i="29"/>
  <c r="BK30" i="29" s="1"/>
  <c r="BK29" i="29"/>
  <c r="BJ29" i="29"/>
  <c r="BI29" i="29"/>
  <c r="BK28" i="29"/>
  <c r="BJ28" i="29"/>
  <c r="BI28" i="29"/>
  <c r="BK27" i="29"/>
  <c r="BJ27" i="29"/>
  <c r="BI27" i="29"/>
  <c r="BK26" i="29"/>
  <c r="BJ26" i="29"/>
  <c r="BI26" i="29"/>
  <c r="BJ25" i="29"/>
  <c r="BI25" i="29"/>
  <c r="BK25" i="29" s="1"/>
  <c r="BK24" i="29"/>
  <c r="BI24" i="29"/>
  <c r="BJ24" i="29" s="1"/>
  <c r="BK23" i="29"/>
  <c r="BJ23" i="29"/>
  <c r="BI23" i="29"/>
  <c r="BK22" i="29"/>
  <c r="BI22" i="29"/>
  <c r="BJ22" i="29" s="1"/>
  <c r="BJ21" i="29"/>
  <c r="BI21" i="29"/>
  <c r="BK21" i="29" s="1"/>
  <c r="BK20" i="29"/>
  <c r="BI20" i="29"/>
  <c r="BJ20" i="29" s="1"/>
  <c r="BK19" i="29"/>
  <c r="BJ19" i="29"/>
  <c r="BI19" i="29"/>
  <c r="BK18" i="29"/>
  <c r="BI18" i="29"/>
  <c r="BJ18" i="29" s="1"/>
  <c r="BD50" i="29"/>
  <c r="BC50" i="29"/>
  <c r="BB50" i="29"/>
  <c r="BD49" i="29"/>
  <c r="BC49" i="29"/>
  <c r="BB49" i="29"/>
  <c r="BD48" i="29"/>
  <c r="BC48" i="29"/>
  <c r="BB48" i="29"/>
  <c r="BD47" i="29"/>
  <c r="BC47" i="29"/>
  <c r="BB47" i="29"/>
  <c r="BD46" i="29"/>
  <c r="BC46" i="29"/>
  <c r="BB46" i="29"/>
  <c r="BD45" i="29"/>
  <c r="BC45" i="29"/>
  <c r="BB45" i="29"/>
  <c r="BD44" i="29"/>
  <c r="BC44" i="29"/>
  <c r="BB44" i="29"/>
  <c r="BD43" i="29"/>
  <c r="BC43" i="29"/>
  <c r="BB43" i="29"/>
  <c r="BD42" i="29"/>
  <c r="BC42" i="29"/>
  <c r="BB42" i="29"/>
  <c r="BD41" i="29"/>
  <c r="BC41" i="29"/>
  <c r="BB41" i="29"/>
  <c r="BD40" i="29"/>
  <c r="BC40" i="29"/>
  <c r="BB40" i="29"/>
  <c r="BD39" i="29"/>
  <c r="BC39" i="29"/>
  <c r="BB39" i="29"/>
  <c r="BD38" i="29"/>
  <c r="BC38" i="29"/>
  <c r="BB38" i="29"/>
  <c r="BD37" i="29"/>
  <c r="BC37" i="29"/>
  <c r="BB37" i="29"/>
  <c r="BD36" i="29"/>
  <c r="BC36" i="29"/>
  <c r="BB36" i="29"/>
  <c r="BD35" i="29"/>
  <c r="BC35" i="29"/>
  <c r="BB35" i="29"/>
  <c r="BD34" i="29"/>
  <c r="BC34" i="29"/>
  <c r="BB34" i="29"/>
  <c r="BD33" i="29"/>
  <c r="BC33" i="29"/>
  <c r="BB33" i="29"/>
  <c r="BD32" i="29"/>
  <c r="BC32" i="29"/>
  <c r="BB32" i="29"/>
  <c r="BD31" i="29"/>
  <c r="BC31" i="29"/>
  <c r="BB31" i="29"/>
  <c r="BC30" i="29"/>
  <c r="BB30" i="29"/>
  <c r="BD30" i="29" s="1"/>
  <c r="BD29" i="29"/>
  <c r="BB29" i="29"/>
  <c r="BC29" i="29" s="1"/>
  <c r="BC28" i="29"/>
  <c r="BB28" i="29"/>
  <c r="BD28" i="29" s="1"/>
  <c r="BD27" i="29"/>
  <c r="BC27" i="29"/>
  <c r="BB27" i="29"/>
  <c r="BD26" i="29"/>
  <c r="BC26" i="29"/>
  <c r="BB26" i="29"/>
  <c r="BC25" i="29"/>
  <c r="BB25" i="29"/>
  <c r="BD25" i="29" s="1"/>
  <c r="BD24" i="29"/>
  <c r="BB24" i="29"/>
  <c r="BC24" i="29" s="1"/>
  <c r="BD23" i="29"/>
  <c r="BC23" i="29"/>
  <c r="BB23" i="29"/>
  <c r="BD22" i="29"/>
  <c r="BB22" i="29"/>
  <c r="BC22" i="29" s="1"/>
  <c r="BC21" i="29"/>
  <c r="BB21" i="29"/>
  <c r="BD21" i="29" s="1"/>
  <c r="BD20" i="29"/>
  <c r="BB20" i="29"/>
  <c r="BC20" i="29" s="1"/>
  <c r="BD19" i="29"/>
  <c r="BC19" i="29"/>
  <c r="BB19" i="29"/>
  <c r="BD18" i="29"/>
  <c r="BB18" i="29"/>
  <c r="BC18" i="29" s="1"/>
  <c r="AW50" i="29"/>
  <c r="AV50" i="29"/>
  <c r="AU50" i="29"/>
  <c r="AW49" i="29"/>
  <c r="AV49" i="29"/>
  <c r="AU49" i="29"/>
  <c r="AW48" i="29"/>
  <c r="AV48" i="29"/>
  <c r="AU48" i="29"/>
  <c r="AW47" i="29"/>
  <c r="AV47" i="29"/>
  <c r="AU47" i="29"/>
  <c r="AW46" i="29"/>
  <c r="AV46" i="29"/>
  <c r="AU46" i="29"/>
  <c r="AW45" i="29"/>
  <c r="AV45" i="29"/>
  <c r="AU45" i="29"/>
  <c r="AW44" i="29"/>
  <c r="AV44" i="29"/>
  <c r="AU44" i="29"/>
  <c r="AW43" i="29"/>
  <c r="AV43" i="29"/>
  <c r="AU43" i="29"/>
  <c r="AW42" i="29"/>
  <c r="AV42" i="29"/>
  <c r="AU42" i="29"/>
  <c r="AW41" i="29"/>
  <c r="AV41" i="29"/>
  <c r="AU41" i="29"/>
  <c r="AW40" i="29"/>
  <c r="AV40" i="29"/>
  <c r="AU40" i="29"/>
  <c r="AW39" i="29"/>
  <c r="AV39" i="29"/>
  <c r="AU39" i="29"/>
  <c r="AW38" i="29"/>
  <c r="AV38" i="29"/>
  <c r="AU38" i="29"/>
  <c r="AW37" i="29"/>
  <c r="AV37" i="29"/>
  <c r="AU37" i="29"/>
  <c r="AW36" i="29"/>
  <c r="AV36" i="29"/>
  <c r="AU36" i="29"/>
  <c r="AW35" i="29"/>
  <c r="AV35" i="29"/>
  <c r="AU35" i="29"/>
  <c r="AW34" i="29"/>
  <c r="AV34" i="29"/>
  <c r="AU34" i="29"/>
  <c r="AW33" i="29"/>
  <c r="AV33" i="29"/>
  <c r="AU33" i="29"/>
  <c r="AW32" i="29"/>
  <c r="AV32" i="29"/>
  <c r="AU32" i="29"/>
  <c r="AW31" i="29"/>
  <c r="AV31" i="29"/>
  <c r="AU31" i="29"/>
  <c r="AV30" i="29"/>
  <c r="AU30" i="29"/>
  <c r="AW30" i="29" s="1"/>
  <c r="AW29" i="29"/>
  <c r="AU29" i="29"/>
  <c r="AV29" i="29" s="1"/>
  <c r="AV28" i="29"/>
  <c r="AU28" i="29"/>
  <c r="AW28" i="29" s="1"/>
  <c r="AW27" i="29"/>
  <c r="AV27" i="29"/>
  <c r="AU27" i="29"/>
  <c r="AW26" i="29"/>
  <c r="AV26" i="29"/>
  <c r="AU26" i="29"/>
  <c r="AV25" i="29"/>
  <c r="AU25" i="29"/>
  <c r="AW25" i="29" s="1"/>
  <c r="AW24" i="29"/>
  <c r="AV24" i="29"/>
  <c r="AU24" i="29"/>
  <c r="AW23" i="29"/>
  <c r="AV23" i="29"/>
  <c r="AU23" i="29"/>
  <c r="AW22" i="29"/>
  <c r="AU22" i="29"/>
  <c r="AV22" i="29" s="1"/>
  <c r="AW21" i="29"/>
  <c r="AV21" i="29"/>
  <c r="AU21" i="29"/>
  <c r="AW20" i="29"/>
  <c r="AU20" i="29"/>
  <c r="AV20" i="29" s="1"/>
  <c r="AW19" i="29"/>
  <c r="AV19" i="29"/>
  <c r="AU19" i="29"/>
  <c r="AW18" i="29"/>
  <c r="AV18" i="29"/>
  <c r="AU18" i="29"/>
  <c r="BK50" i="28"/>
  <c r="BJ50" i="28"/>
  <c r="BI50" i="28"/>
  <c r="BK49" i="28"/>
  <c r="BJ49" i="28"/>
  <c r="BI49" i="28"/>
  <c r="BK48" i="28"/>
  <c r="BJ48" i="28"/>
  <c r="BI48" i="28"/>
  <c r="BK47" i="28"/>
  <c r="BJ47" i="28"/>
  <c r="BI47" i="28"/>
  <c r="BK46" i="28"/>
  <c r="BJ46" i="28"/>
  <c r="BI46" i="28"/>
  <c r="BK45" i="28"/>
  <c r="BJ45" i="28"/>
  <c r="BI45" i="28"/>
  <c r="BK44" i="28"/>
  <c r="BJ44" i="28"/>
  <c r="BI44" i="28"/>
  <c r="BK43" i="28"/>
  <c r="BJ43" i="28"/>
  <c r="BI43" i="28"/>
  <c r="BK42" i="28"/>
  <c r="BJ42" i="28"/>
  <c r="BI42" i="28"/>
  <c r="BK41" i="28"/>
  <c r="BJ41" i="28"/>
  <c r="BI41" i="28"/>
  <c r="BK40" i="28"/>
  <c r="BJ40" i="28"/>
  <c r="BI40" i="28"/>
  <c r="BK39" i="28"/>
  <c r="BJ39" i="28"/>
  <c r="BI39" i="28"/>
  <c r="BK38" i="28"/>
  <c r="BJ38" i="28"/>
  <c r="BI38" i="28"/>
  <c r="BK37" i="28"/>
  <c r="BJ37" i="28"/>
  <c r="BI37" i="28"/>
  <c r="BK36" i="28"/>
  <c r="BJ36" i="28"/>
  <c r="BI36" i="28"/>
  <c r="BK35" i="28"/>
  <c r="BJ35" i="28"/>
  <c r="BI35" i="28"/>
  <c r="BK34" i="28"/>
  <c r="BJ34" i="28"/>
  <c r="BI34" i="28"/>
  <c r="BK33" i="28"/>
  <c r="BJ33" i="28"/>
  <c r="BI33" i="28"/>
  <c r="BK32" i="28"/>
  <c r="BJ32" i="28"/>
  <c r="BI32" i="28"/>
  <c r="BK31" i="28"/>
  <c r="BJ31" i="28"/>
  <c r="BI31" i="28"/>
  <c r="BK30" i="28"/>
  <c r="BJ30" i="28"/>
  <c r="BI30" i="28"/>
  <c r="BK29" i="28"/>
  <c r="BI29" i="28"/>
  <c r="BJ29" i="28" s="1"/>
  <c r="BJ28" i="28"/>
  <c r="BI28" i="28"/>
  <c r="BK28" i="28" s="1"/>
  <c r="BK27" i="28"/>
  <c r="BJ27" i="28"/>
  <c r="BI27" i="28"/>
  <c r="BK26" i="28"/>
  <c r="BJ26" i="28"/>
  <c r="BI26" i="28"/>
  <c r="BJ25" i="28"/>
  <c r="BI25" i="28"/>
  <c r="BK25" i="28" s="1"/>
  <c r="BK24" i="28"/>
  <c r="BJ24" i="28"/>
  <c r="BI24" i="28"/>
  <c r="BK23" i="28"/>
  <c r="BJ23" i="28"/>
  <c r="BI23" i="28"/>
  <c r="BK22" i="28"/>
  <c r="BJ22" i="28"/>
  <c r="BI22" i="28"/>
  <c r="BK21" i="28"/>
  <c r="BJ21" i="28"/>
  <c r="BI21" i="28"/>
  <c r="BK20" i="28"/>
  <c r="BI20" i="28"/>
  <c r="BJ20" i="28" s="1"/>
  <c r="BK19" i="28"/>
  <c r="BJ19" i="28"/>
  <c r="BI19" i="28"/>
  <c r="BK18" i="28"/>
  <c r="BJ18" i="28"/>
  <c r="BI18" i="28"/>
  <c r="BD50" i="28"/>
  <c r="BC50" i="28"/>
  <c r="BB50" i="28"/>
  <c r="BD49" i="28"/>
  <c r="BC49" i="28"/>
  <c r="BB49" i="28"/>
  <c r="BD48" i="28"/>
  <c r="BC48" i="28"/>
  <c r="BB48" i="28"/>
  <c r="BD47" i="28"/>
  <c r="BC47" i="28"/>
  <c r="BB47" i="28"/>
  <c r="BD46" i="28"/>
  <c r="BC46" i="28"/>
  <c r="BB46" i="28"/>
  <c r="BD45" i="28"/>
  <c r="BC45" i="28"/>
  <c r="BB45" i="28"/>
  <c r="BD44" i="28"/>
  <c r="BC44" i="28"/>
  <c r="BB44" i="28"/>
  <c r="BD43" i="28"/>
  <c r="BC43" i="28"/>
  <c r="BB43" i="28"/>
  <c r="BD42" i="28"/>
  <c r="BC42" i="28"/>
  <c r="BB42" i="28"/>
  <c r="BD41" i="28"/>
  <c r="BC41" i="28"/>
  <c r="BB41" i="28"/>
  <c r="BD40" i="28"/>
  <c r="BC40" i="28"/>
  <c r="BB40" i="28"/>
  <c r="BD39" i="28"/>
  <c r="BC39" i="28"/>
  <c r="BB39" i="28"/>
  <c r="BD38" i="28"/>
  <c r="BC38" i="28"/>
  <c r="BB38" i="28"/>
  <c r="BD37" i="28"/>
  <c r="BC37" i="28"/>
  <c r="BB37" i="28"/>
  <c r="BD36" i="28"/>
  <c r="BC36" i="28"/>
  <c r="BB36" i="28"/>
  <c r="BD35" i="28"/>
  <c r="BC35" i="28"/>
  <c r="BB35" i="28"/>
  <c r="BD34" i="28"/>
  <c r="BC34" i="28"/>
  <c r="BB34" i="28"/>
  <c r="BD33" i="28"/>
  <c r="BC33" i="28"/>
  <c r="BB33" i="28"/>
  <c r="BD32" i="28"/>
  <c r="BC32" i="28"/>
  <c r="BB32" i="28"/>
  <c r="BD31" i="28"/>
  <c r="BC31" i="28"/>
  <c r="BB31" i="28"/>
  <c r="BC30" i="28"/>
  <c r="BB30" i="28"/>
  <c r="BD30" i="28" s="1"/>
  <c r="BD29" i="28"/>
  <c r="BC29" i="28"/>
  <c r="BB29" i="28"/>
  <c r="BC28" i="28"/>
  <c r="BB28" i="28"/>
  <c r="BD28" i="28" s="1"/>
  <c r="BD27" i="28"/>
  <c r="BC27" i="28"/>
  <c r="BB27" i="28"/>
  <c r="BD26" i="28"/>
  <c r="BC26" i="28"/>
  <c r="BB26" i="28"/>
  <c r="BC25" i="28"/>
  <c r="BB25" i="28"/>
  <c r="BD25" i="28" s="1"/>
  <c r="BD24" i="28"/>
  <c r="BB24" i="28"/>
  <c r="BC24" i="28" s="1"/>
  <c r="BD23" i="28"/>
  <c r="BC23" i="28"/>
  <c r="BB23" i="28"/>
  <c r="BD22" i="28"/>
  <c r="BB22" i="28"/>
  <c r="BC22" i="28" s="1"/>
  <c r="BC21" i="28"/>
  <c r="BB21" i="28"/>
  <c r="BD21" i="28" s="1"/>
  <c r="BD20" i="28"/>
  <c r="BB20" i="28"/>
  <c r="BC20" i="28" s="1"/>
  <c r="BD19" i="28"/>
  <c r="BC19" i="28"/>
  <c r="BB19" i="28"/>
  <c r="BD18" i="28"/>
  <c r="BB18" i="28"/>
  <c r="BC18" i="28" s="1"/>
  <c r="AW50" i="28"/>
  <c r="AV50" i="28"/>
  <c r="AU50" i="28"/>
  <c r="AW49" i="28"/>
  <c r="AV49" i="28"/>
  <c r="AU49" i="28"/>
  <c r="AW48" i="28"/>
  <c r="AV48" i="28"/>
  <c r="AU48" i="28"/>
  <c r="AW47" i="28"/>
  <c r="AV47" i="28"/>
  <c r="AU47" i="28"/>
  <c r="AW46" i="28"/>
  <c r="AV46" i="28"/>
  <c r="AU46" i="28"/>
  <c r="AW45" i="28"/>
  <c r="AV45" i="28"/>
  <c r="AU45" i="28"/>
  <c r="AW44" i="28"/>
  <c r="AV44" i="28"/>
  <c r="AU44" i="28"/>
  <c r="AW43" i="28"/>
  <c r="AV43" i="28"/>
  <c r="AU43" i="28"/>
  <c r="AW42" i="28"/>
  <c r="AV42" i="28"/>
  <c r="AU42" i="28"/>
  <c r="AW41" i="28"/>
  <c r="AV41" i="28"/>
  <c r="AU41" i="28"/>
  <c r="AW40" i="28"/>
  <c r="AV40" i="28"/>
  <c r="AU40" i="28"/>
  <c r="AW39" i="28"/>
  <c r="AV39" i="28"/>
  <c r="AU39" i="28"/>
  <c r="AW38" i="28"/>
  <c r="AV38" i="28"/>
  <c r="AU38" i="28"/>
  <c r="AW37" i="28"/>
  <c r="AV37" i="28"/>
  <c r="AU37" i="28"/>
  <c r="AW36" i="28"/>
  <c r="AV36" i="28"/>
  <c r="AU36" i="28"/>
  <c r="AW35" i="28"/>
  <c r="AV35" i="28"/>
  <c r="AU35" i="28"/>
  <c r="AW34" i="28"/>
  <c r="AV34" i="28"/>
  <c r="AU34" i="28"/>
  <c r="AW33" i="28"/>
  <c r="AV33" i="28"/>
  <c r="AU33" i="28"/>
  <c r="AW32" i="28"/>
  <c r="AV32" i="28"/>
  <c r="AU32" i="28"/>
  <c r="AW31" i="28"/>
  <c r="AV31" i="28"/>
  <c r="AU31" i="28"/>
  <c r="AW30" i="28"/>
  <c r="AV30" i="28"/>
  <c r="AU30" i="28"/>
  <c r="AW29" i="28"/>
  <c r="AU29" i="28"/>
  <c r="AV29" i="28" s="1"/>
  <c r="AV28" i="28"/>
  <c r="AU28" i="28"/>
  <c r="AW28" i="28" s="1"/>
  <c r="AW27" i="28"/>
  <c r="AU27" i="28"/>
  <c r="AV27" i="28" s="1"/>
  <c r="AW26" i="28"/>
  <c r="AV26" i="28"/>
  <c r="AU26" i="28"/>
  <c r="AW25" i="28"/>
  <c r="AV25" i="28"/>
  <c r="AU25" i="28"/>
  <c r="AW24" i="28"/>
  <c r="AU24" i="28"/>
  <c r="AV24" i="28" s="1"/>
  <c r="AW23" i="28"/>
  <c r="AV23" i="28"/>
  <c r="AU23" i="28"/>
  <c r="AW22" i="28"/>
  <c r="AV22" i="28"/>
  <c r="AU22" i="28"/>
  <c r="AV21" i="28"/>
  <c r="AU21" i="28"/>
  <c r="AW21" i="28" s="1"/>
  <c r="AW20" i="28"/>
  <c r="AV20" i="28"/>
  <c r="AU20" i="28"/>
  <c r="AW19" i="28"/>
  <c r="AV19" i="28"/>
  <c r="AU19" i="28"/>
  <c r="AW18" i="28"/>
  <c r="AV18" i="28"/>
  <c r="AU18" i="28"/>
  <c r="BK50" i="27"/>
  <c r="BJ50" i="27"/>
  <c r="BI50" i="27"/>
  <c r="BK49" i="27"/>
  <c r="BJ49" i="27"/>
  <c r="BI49" i="27"/>
  <c r="BK48" i="27"/>
  <c r="BJ48" i="27"/>
  <c r="BI48" i="27"/>
  <c r="BK47" i="27"/>
  <c r="BJ47" i="27"/>
  <c r="BI47" i="27"/>
  <c r="BK46" i="27"/>
  <c r="BJ46" i="27"/>
  <c r="BI46" i="27"/>
  <c r="BK45" i="27"/>
  <c r="BJ45" i="27"/>
  <c r="BI45" i="27"/>
  <c r="BK44" i="27"/>
  <c r="BJ44" i="27"/>
  <c r="BI44" i="27"/>
  <c r="BK43" i="27"/>
  <c r="BJ43" i="27"/>
  <c r="BI43" i="27"/>
  <c r="BK42" i="27"/>
  <c r="BJ42" i="27"/>
  <c r="BI42" i="27"/>
  <c r="BK41" i="27"/>
  <c r="BJ41" i="27"/>
  <c r="BI41" i="27"/>
  <c r="BK40" i="27"/>
  <c r="BJ40" i="27"/>
  <c r="BI40" i="27"/>
  <c r="BK39" i="27"/>
  <c r="BJ39" i="27"/>
  <c r="BI39" i="27"/>
  <c r="BK38" i="27"/>
  <c r="BJ38" i="27"/>
  <c r="BI38" i="27"/>
  <c r="BK37" i="27"/>
  <c r="BJ37" i="27"/>
  <c r="BI37" i="27"/>
  <c r="BK36" i="27"/>
  <c r="BJ36" i="27"/>
  <c r="BI36" i="27"/>
  <c r="BK35" i="27"/>
  <c r="BJ35" i="27"/>
  <c r="BI35" i="27"/>
  <c r="BK34" i="27"/>
  <c r="BJ34" i="27"/>
  <c r="BI34" i="27"/>
  <c r="BK33" i="27"/>
  <c r="BJ33" i="27"/>
  <c r="BI33" i="27"/>
  <c r="BK32" i="27"/>
  <c r="BJ32" i="27"/>
  <c r="BI32" i="27"/>
  <c r="BJ31" i="27"/>
  <c r="BI31" i="27"/>
  <c r="BK31" i="27" s="1"/>
  <c r="BK30" i="27"/>
  <c r="BJ30" i="27"/>
  <c r="BI30" i="27"/>
  <c r="BK29" i="27"/>
  <c r="BI29" i="27"/>
  <c r="BJ29" i="27" s="1"/>
  <c r="BJ28" i="27"/>
  <c r="BI28" i="27"/>
  <c r="BK28" i="27" s="1"/>
  <c r="BK27" i="27"/>
  <c r="BJ27" i="27"/>
  <c r="BI27" i="27"/>
  <c r="BK26" i="27"/>
  <c r="BJ26" i="27"/>
  <c r="BI26" i="27"/>
  <c r="BK25" i="27"/>
  <c r="BJ25" i="27"/>
  <c r="BI25" i="27"/>
  <c r="BK24" i="27"/>
  <c r="BJ24" i="27"/>
  <c r="BI24" i="27"/>
  <c r="BJ23" i="27"/>
  <c r="BI23" i="27"/>
  <c r="BK23" i="27" s="1"/>
  <c r="BK22" i="27"/>
  <c r="BI22" i="27"/>
  <c r="BJ22" i="27" s="1"/>
  <c r="BJ21" i="27"/>
  <c r="BI21" i="27"/>
  <c r="BK21" i="27" s="1"/>
  <c r="BK20" i="27"/>
  <c r="BI20" i="27"/>
  <c r="BJ20" i="27" s="1"/>
  <c r="BJ19" i="27"/>
  <c r="BI19" i="27"/>
  <c r="BK19" i="27" s="1"/>
  <c r="BK18" i="27"/>
  <c r="BJ18" i="27"/>
  <c r="BI18" i="27"/>
  <c r="BD50" i="27"/>
  <c r="BC50" i="27"/>
  <c r="BB50" i="27"/>
  <c r="BD49" i="27"/>
  <c r="BC49" i="27"/>
  <c r="BB49" i="27"/>
  <c r="BD48" i="27"/>
  <c r="BC48" i="27"/>
  <c r="BB48" i="27"/>
  <c r="BD47" i="27"/>
  <c r="BC47" i="27"/>
  <c r="BB47" i="27"/>
  <c r="BD46" i="27"/>
  <c r="BC46" i="27"/>
  <c r="BB46" i="27"/>
  <c r="BD45" i="27"/>
  <c r="BC45" i="27"/>
  <c r="BB45" i="27"/>
  <c r="BD44" i="27"/>
  <c r="BC44" i="27"/>
  <c r="BB44" i="27"/>
  <c r="BD43" i="27"/>
  <c r="BC43" i="27"/>
  <c r="BB43" i="27"/>
  <c r="BD42" i="27"/>
  <c r="BC42" i="27"/>
  <c r="BB42" i="27"/>
  <c r="BD41" i="27"/>
  <c r="BC41" i="27"/>
  <c r="BB41" i="27"/>
  <c r="BD40" i="27"/>
  <c r="BC40" i="27"/>
  <c r="BB40" i="27"/>
  <c r="BD39" i="27"/>
  <c r="BC39" i="27"/>
  <c r="BB39" i="27"/>
  <c r="BD38" i="27"/>
  <c r="BC38" i="27"/>
  <c r="BB38" i="27"/>
  <c r="BD37" i="27"/>
  <c r="BC37" i="27"/>
  <c r="BB37" i="27"/>
  <c r="BD36" i="27"/>
  <c r="BC36" i="27"/>
  <c r="BB36" i="27"/>
  <c r="BD35" i="27"/>
  <c r="BC35" i="27"/>
  <c r="BB35" i="27"/>
  <c r="BD34" i="27"/>
  <c r="BC34" i="27"/>
  <c r="BB34" i="27"/>
  <c r="BD33" i="27"/>
  <c r="BC33" i="27"/>
  <c r="BB33" i="27"/>
  <c r="BD32" i="27"/>
  <c r="BC32" i="27"/>
  <c r="BB32" i="27"/>
  <c r="BD31" i="27"/>
  <c r="BC31" i="27"/>
  <c r="BB31" i="27"/>
  <c r="BD30" i="27"/>
  <c r="BC30" i="27"/>
  <c r="BB30" i="27"/>
  <c r="BD29" i="27"/>
  <c r="BB29" i="27"/>
  <c r="BC29" i="27" s="1"/>
  <c r="BD28" i="27"/>
  <c r="BC28" i="27"/>
  <c r="BB28" i="27"/>
  <c r="BD27" i="27"/>
  <c r="BC27" i="27"/>
  <c r="BB27" i="27"/>
  <c r="BD26" i="27"/>
  <c r="BC26" i="27"/>
  <c r="BB26" i="27"/>
  <c r="BC25" i="27"/>
  <c r="BB25" i="27"/>
  <c r="BD25" i="27" s="1"/>
  <c r="BD24" i="27"/>
  <c r="BB24" i="27"/>
  <c r="BC24" i="27" s="1"/>
  <c r="BD23" i="27"/>
  <c r="BC23" i="27"/>
  <c r="BB23" i="27"/>
  <c r="BD22" i="27"/>
  <c r="BB22" i="27"/>
  <c r="BC22" i="27" s="1"/>
  <c r="BC21" i="27"/>
  <c r="BB21" i="27"/>
  <c r="BD21" i="27" s="1"/>
  <c r="BD20" i="27"/>
  <c r="BB20" i="27"/>
  <c r="BC20" i="27" s="1"/>
  <c r="BD19" i="27"/>
  <c r="BC19" i="27"/>
  <c r="BB19" i="27"/>
  <c r="BD18" i="27"/>
  <c r="BB18" i="27"/>
  <c r="BC18" i="27" s="1"/>
  <c r="AW50" i="27"/>
  <c r="AV50" i="27"/>
  <c r="AU50" i="27"/>
  <c r="AW49" i="27"/>
  <c r="AV49" i="27"/>
  <c r="AU49" i="27"/>
  <c r="AW48" i="27"/>
  <c r="AV48" i="27"/>
  <c r="AU48" i="27"/>
  <c r="AW47" i="27"/>
  <c r="AV47" i="27"/>
  <c r="AU47" i="27"/>
  <c r="AW46" i="27"/>
  <c r="AV46" i="27"/>
  <c r="AU46" i="27"/>
  <c r="AW45" i="27"/>
  <c r="AV45" i="27"/>
  <c r="AU45" i="27"/>
  <c r="AW44" i="27"/>
  <c r="AV44" i="27"/>
  <c r="AU44" i="27"/>
  <c r="AW43" i="27"/>
  <c r="AV43" i="27"/>
  <c r="AU43" i="27"/>
  <c r="AW42" i="27"/>
  <c r="AV42" i="27"/>
  <c r="AU42" i="27"/>
  <c r="AW41" i="27"/>
  <c r="AV41" i="27"/>
  <c r="AU41" i="27"/>
  <c r="AW40" i="27"/>
  <c r="AV40" i="27"/>
  <c r="AU40" i="27"/>
  <c r="AW39" i="27"/>
  <c r="AV39" i="27"/>
  <c r="AU39" i="27"/>
  <c r="AW38" i="27"/>
  <c r="AV38" i="27"/>
  <c r="AU38" i="27"/>
  <c r="AW37" i="27"/>
  <c r="AV37" i="27"/>
  <c r="AU37" i="27"/>
  <c r="AW36" i="27"/>
  <c r="AV36" i="27"/>
  <c r="AU36" i="27"/>
  <c r="AW35" i="27"/>
  <c r="AV35" i="27"/>
  <c r="AU35" i="27"/>
  <c r="AW34" i="27"/>
  <c r="AV34" i="27"/>
  <c r="AU34" i="27"/>
  <c r="AW33" i="27"/>
  <c r="AV33" i="27"/>
  <c r="AU33" i="27"/>
  <c r="AW32" i="27"/>
  <c r="AV32" i="27"/>
  <c r="AU32" i="27"/>
  <c r="AW31" i="27"/>
  <c r="AV31" i="27"/>
  <c r="AU31" i="27"/>
  <c r="AW30" i="27"/>
  <c r="AV30" i="27"/>
  <c r="AU30" i="27"/>
  <c r="AW29" i="27"/>
  <c r="AU29" i="27"/>
  <c r="AV29" i="27" s="1"/>
  <c r="AV28" i="27"/>
  <c r="AU28" i="27"/>
  <c r="AW28" i="27" s="1"/>
  <c r="AW27" i="27"/>
  <c r="AV27" i="27"/>
  <c r="AU27" i="27"/>
  <c r="AW26" i="27"/>
  <c r="AV26" i="27"/>
  <c r="AU26" i="27"/>
  <c r="AV25" i="27"/>
  <c r="AU25" i="27"/>
  <c r="AW25" i="27" s="1"/>
  <c r="AW24" i="27"/>
  <c r="AV24" i="27"/>
  <c r="AU24" i="27"/>
  <c r="AW23" i="27"/>
  <c r="AV23" i="27"/>
  <c r="AU23" i="27"/>
  <c r="AW22" i="27"/>
  <c r="AV22" i="27"/>
  <c r="AU22" i="27"/>
  <c r="AW21" i="27"/>
  <c r="AV21" i="27"/>
  <c r="AU21" i="27"/>
  <c r="AW20" i="27"/>
  <c r="AU20" i="27"/>
  <c r="AV20" i="27" s="1"/>
  <c r="AW19" i="27"/>
  <c r="AV19" i="27"/>
  <c r="AU19" i="27"/>
  <c r="AW18" i="27"/>
  <c r="AU18" i="27"/>
  <c r="AV18" i="27" s="1"/>
  <c r="BK50" i="17"/>
  <c r="BJ50" i="17"/>
  <c r="BK49" i="17"/>
  <c r="BJ49" i="17"/>
  <c r="BK48" i="17"/>
  <c r="BJ48" i="17"/>
  <c r="BK47" i="17"/>
  <c r="BJ47" i="17"/>
  <c r="BK46" i="17"/>
  <c r="BJ46" i="17"/>
  <c r="BK45" i="17"/>
  <c r="BJ45" i="17"/>
  <c r="BK44" i="17"/>
  <c r="BJ44" i="17"/>
  <c r="BK43" i="17"/>
  <c r="BJ43" i="17"/>
  <c r="BK42" i="17"/>
  <c r="BJ42" i="17"/>
  <c r="BK41" i="17"/>
  <c r="BJ41" i="17"/>
  <c r="BK40" i="17"/>
  <c r="BJ40" i="17"/>
  <c r="BK39" i="17"/>
  <c r="BJ39" i="17"/>
  <c r="BK38" i="17"/>
  <c r="BJ38" i="17"/>
  <c r="BK37" i="17"/>
  <c r="BJ37" i="17"/>
  <c r="BK36" i="17"/>
  <c r="BJ36" i="17"/>
  <c r="BK35" i="17"/>
  <c r="BJ35" i="17"/>
  <c r="BK34" i="17"/>
  <c r="BJ34" i="17"/>
  <c r="BK33" i="17"/>
  <c r="BJ33" i="17"/>
  <c r="BK32" i="17"/>
  <c r="BJ32" i="17"/>
  <c r="BJ31" i="17"/>
  <c r="BK31" i="17"/>
  <c r="BJ30" i="17"/>
  <c r="BK30" i="17"/>
  <c r="BK29" i="17"/>
  <c r="BJ29" i="17"/>
  <c r="BJ28" i="17"/>
  <c r="BK28" i="17"/>
  <c r="BK27" i="17"/>
  <c r="BJ27" i="17"/>
  <c r="BK26" i="17"/>
  <c r="BJ26" i="17"/>
  <c r="BJ25" i="17"/>
  <c r="BK25" i="17"/>
  <c r="BK24" i="17"/>
  <c r="BJ24" i="17"/>
  <c r="BJ23" i="17"/>
  <c r="BK23" i="17"/>
  <c r="BK22" i="17"/>
  <c r="BJ22" i="17"/>
  <c r="BJ21" i="17"/>
  <c r="BK21" i="17"/>
  <c r="BK20" i="17"/>
  <c r="BJ20" i="17"/>
  <c r="BJ19" i="17"/>
  <c r="BK19" i="17"/>
  <c r="BK18" i="17"/>
  <c r="BJ18" i="17"/>
  <c r="BD50" i="17"/>
  <c r="BC50" i="17"/>
  <c r="BB50" i="17"/>
  <c r="BD49" i="17"/>
  <c r="BC49" i="17"/>
  <c r="BB49" i="17"/>
  <c r="BD48" i="17"/>
  <c r="BC48" i="17"/>
  <c r="BB48" i="17"/>
  <c r="BD47" i="17"/>
  <c r="BC47" i="17"/>
  <c r="BB47" i="17"/>
  <c r="BD46" i="17"/>
  <c r="BC46" i="17"/>
  <c r="BB46" i="17"/>
  <c r="BD45" i="17"/>
  <c r="BC45" i="17"/>
  <c r="BB45" i="17"/>
  <c r="BD44" i="17"/>
  <c r="BC44" i="17"/>
  <c r="BB44" i="17"/>
  <c r="BD43" i="17"/>
  <c r="BC43" i="17"/>
  <c r="BB43" i="17"/>
  <c r="BD42" i="17"/>
  <c r="BC42" i="17"/>
  <c r="BB42" i="17"/>
  <c r="BD41" i="17"/>
  <c r="BC41" i="17"/>
  <c r="BB41" i="17"/>
  <c r="BD40" i="17"/>
  <c r="BC40" i="17"/>
  <c r="BB40" i="17"/>
  <c r="BD39" i="17"/>
  <c r="BC39" i="17"/>
  <c r="BB39" i="17"/>
  <c r="BD38" i="17"/>
  <c r="BC38" i="17"/>
  <c r="BB38" i="17"/>
  <c r="BD37" i="17"/>
  <c r="BC37" i="17"/>
  <c r="BB37" i="17"/>
  <c r="BD36" i="17"/>
  <c r="BC36" i="17"/>
  <c r="BB36" i="17"/>
  <c r="BD35" i="17"/>
  <c r="BC35" i="17"/>
  <c r="BB35" i="17"/>
  <c r="BD34" i="17"/>
  <c r="BC34" i="17"/>
  <c r="BB34" i="17"/>
  <c r="BD33" i="17"/>
  <c r="BC33" i="17"/>
  <c r="BB33" i="17"/>
  <c r="BD32" i="17"/>
  <c r="BC32" i="17"/>
  <c r="BB32" i="17"/>
  <c r="BD31" i="17"/>
  <c r="BC31" i="17"/>
  <c r="BB31" i="17"/>
  <c r="BC30" i="17"/>
  <c r="BB30" i="17"/>
  <c r="BD30" i="17" s="1"/>
  <c r="BD29" i="17"/>
  <c r="BB29" i="17"/>
  <c r="BC29" i="17" s="1"/>
  <c r="BD28" i="17"/>
  <c r="BC28" i="17"/>
  <c r="BB28" i="17"/>
  <c r="BD27" i="17"/>
  <c r="BB27" i="17"/>
  <c r="BC27" i="17" s="1"/>
  <c r="BD26" i="17"/>
  <c r="BC26" i="17"/>
  <c r="BB26" i="17"/>
  <c r="BC25" i="17"/>
  <c r="BB25" i="17"/>
  <c r="BD25" i="17" s="1"/>
  <c r="BD24" i="17"/>
  <c r="BB24" i="17"/>
  <c r="BC24" i="17" s="1"/>
  <c r="BC23" i="17"/>
  <c r="BB23" i="17"/>
  <c r="BD23" i="17" s="1"/>
  <c r="BD22" i="17"/>
  <c r="BB22" i="17"/>
  <c r="BC22" i="17" s="1"/>
  <c r="BC21" i="17"/>
  <c r="BB21" i="17"/>
  <c r="BD21" i="17" s="1"/>
  <c r="BD20" i="17"/>
  <c r="BB20" i="17"/>
  <c r="BC20" i="17" s="1"/>
  <c r="BC19" i="17"/>
  <c r="BB19" i="17"/>
  <c r="BD19" i="17" s="1"/>
  <c r="BD18" i="17"/>
  <c r="BB18" i="17"/>
  <c r="BC18" i="17" s="1"/>
  <c r="AW50" i="17"/>
  <c r="AV50" i="17"/>
  <c r="AU50" i="17"/>
  <c r="AW49" i="17"/>
  <c r="AV49" i="17"/>
  <c r="AU49" i="17"/>
  <c r="AW48" i="17"/>
  <c r="AV48" i="17"/>
  <c r="AU48" i="17"/>
  <c r="AW47" i="17"/>
  <c r="AV47" i="17"/>
  <c r="AU47" i="17"/>
  <c r="AW46" i="17"/>
  <c r="AV46" i="17"/>
  <c r="AU46" i="17"/>
  <c r="AW45" i="17"/>
  <c r="AV45" i="17"/>
  <c r="AU45" i="17"/>
  <c r="AW44" i="17"/>
  <c r="AV44" i="17"/>
  <c r="AU44" i="17"/>
  <c r="AW43" i="17"/>
  <c r="AV43" i="17"/>
  <c r="AU43" i="17"/>
  <c r="AW42" i="17"/>
  <c r="AV42" i="17"/>
  <c r="AU42" i="17"/>
  <c r="AW41" i="17"/>
  <c r="AV41" i="17"/>
  <c r="AU41" i="17"/>
  <c r="AW40" i="17"/>
  <c r="AV40" i="17"/>
  <c r="AU40" i="17"/>
  <c r="AW39" i="17"/>
  <c r="AV39" i="17"/>
  <c r="AU39" i="17"/>
  <c r="AW38" i="17"/>
  <c r="AV38" i="17"/>
  <c r="AU38" i="17"/>
  <c r="AW37" i="17"/>
  <c r="AV37" i="17"/>
  <c r="AU37" i="17"/>
  <c r="AW36" i="17"/>
  <c r="AV36" i="17"/>
  <c r="AU36" i="17"/>
  <c r="AW35" i="17"/>
  <c r="AV35" i="17"/>
  <c r="AU35" i="17"/>
  <c r="AW34" i="17"/>
  <c r="AV34" i="17"/>
  <c r="AU34" i="17"/>
  <c r="AW33" i="17"/>
  <c r="AV33" i="17"/>
  <c r="AU33" i="17"/>
  <c r="AW32" i="17"/>
  <c r="AV32" i="17"/>
  <c r="AU32" i="17"/>
  <c r="AV31" i="17"/>
  <c r="AU31" i="17"/>
  <c r="AW31" i="17" s="1"/>
  <c r="AV30" i="17"/>
  <c r="AU30" i="17"/>
  <c r="AW30" i="17" s="1"/>
  <c r="AW29" i="17"/>
  <c r="AU29" i="17"/>
  <c r="AV29" i="17" s="1"/>
  <c r="AW28" i="17"/>
  <c r="AV28" i="17"/>
  <c r="AU28" i="17"/>
  <c r="AW27" i="17"/>
  <c r="AV27" i="17"/>
  <c r="AU27" i="17"/>
  <c r="AW26" i="17"/>
  <c r="AV26" i="17"/>
  <c r="AU26" i="17"/>
  <c r="AV25" i="17"/>
  <c r="AU25" i="17"/>
  <c r="AW25" i="17" s="1"/>
  <c r="AW24" i="17"/>
  <c r="AU24" i="17"/>
  <c r="AV24" i="17" s="1"/>
  <c r="AV23" i="17"/>
  <c r="AU23" i="17"/>
  <c r="AW23" i="17" s="1"/>
  <c r="AW22" i="17"/>
  <c r="AU22" i="17"/>
  <c r="AV22" i="17" s="1"/>
  <c r="AV21" i="17"/>
  <c r="AU21" i="17"/>
  <c r="AW21" i="17" s="1"/>
  <c r="AW20" i="17"/>
  <c r="AU20" i="17"/>
  <c r="AV20" i="17" s="1"/>
  <c r="AW19" i="17"/>
  <c r="AV19" i="17"/>
  <c r="AU19" i="17"/>
  <c r="AW18" i="17"/>
  <c r="AU18" i="17"/>
  <c r="AV18" i="17" s="1"/>
  <c r="Z18" i="17"/>
  <c r="E26" i="20"/>
  <c r="F20" i="20"/>
  <c r="B14" i="29"/>
  <c r="B14" i="28"/>
  <c r="B14" i="27"/>
  <c r="AF17" i="24" l="1"/>
  <c r="AF63" i="24"/>
  <c r="AE85" i="24"/>
  <c r="AF39" i="24"/>
  <c r="AE18" i="24"/>
  <c r="AF61" i="24"/>
  <c r="AE83" i="24"/>
  <c r="AG83" i="24" s="1"/>
  <c r="AE61" i="24"/>
  <c r="AF85" i="24"/>
  <c r="AF40" i="24"/>
  <c r="AE62" i="24"/>
  <c r="AE19" i="24"/>
  <c r="AF62" i="24"/>
  <c r="AE84" i="24"/>
  <c r="AE41" i="24"/>
  <c r="AF84" i="24"/>
  <c r="AE17" i="24"/>
  <c r="AF18" i="24"/>
  <c r="AF19" i="24"/>
  <c r="AG19" i="24" s="1"/>
  <c r="AE39" i="24"/>
  <c r="AE40" i="24"/>
  <c r="AF41" i="24"/>
  <c r="AE63" i="24"/>
  <c r="AG63" i="24" s="1"/>
  <c r="AF83" i="24"/>
  <c r="AG39" i="24"/>
  <c r="G28" i="18"/>
  <c r="AF78" i="24"/>
  <c r="AE77" i="24"/>
  <c r="AE54" i="24"/>
  <c r="AF34" i="24"/>
  <c r="AE33" i="24"/>
  <c r="AE76" i="24"/>
  <c r="AF76" i="24"/>
  <c r="AF77" i="24"/>
  <c r="AE78" i="24"/>
  <c r="AG78" i="24" s="1"/>
  <c r="AF56" i="24"/>
  <c r="AE56" i="24"/>
  <c r="AE55" i="24"/>
  <c r="AF55" i="24"/>
  <c r="AF54" i="24"/>
  <c r="AE34" i="24"/>
  <c r="AF33" i="24"/>
  <c r="AE32" i="24"/>
  <c r="AF32" i="24"/>
  <c r="AF12" i="24"/>
  <c r="AE12" i="24"/>
  <c r="AE11" i="24"/>
  <c r="AF11" i="24"/>
  <c r="AE10" i="24"/>
  <c r="AF10" i="24"/>
  <c r="F19" i="20"/>
  <c r="F18" i="20"/>
  <c r="F17" i="20"/>
  <c r="F16" i="20"/>
  <c r="AG62" i="24" l="1"/>
  <c r="AG41" i="24"/>
  <c r="AG85" i="24"/>
  <c r="AG84" i="24"/>
  <c r="AG17" i="24"/>
  <c r="AG40" i="24"/>
  <c r="AG18" i="24"/>
  <c r="AG34" i="24"/>
  <c r="AG10" i="24"/>
  <c r="AG54" i="24"/>
  <c r="AG32" i="24"/>
  <c r="AG56" i="24"/>
  <c r="AG76" i="24"/>
  <c r="AG11" i="24"/>
  <c r="G29" i="18"/>
  <c r="AG55" i="24"/>
  <c r="AG77" i="24"/>
  <c r="AG33" i="24"/>
  <c r="AG12" i="24"/>
  <c r="G3" i="20"/>
  <c r="E13" i="20"/>
  <c r="E14" i="20"/>
  <c r="E10" i="20"/>
  <c r="E23" i="20"/>
  <c r="F119" i="18"/>
  <c r="E11" i="20"/>
  <c r="E57" i="17"/>
  <c r="E58" i="17"/>
  <c r="E59" i="17"/>
  <c r="E60" i="17"/>
  <c r="E61" i="17"/>
  <c r="E62" i="17"/>
  <c r="E63" i="17"/>
  <c r="E64" i="17"/>
  <c r="E65" i="17"/>
  <c r="E66" i="17"/>
  <c r="E67" i="17"/>
  <c r="E68" i="17"/>
  <c r="E69" i="17"/>
  <c r="E70" i="17"/>
  <c r="E71" i="17"/>
  <c r="E72" i="17"/>
  <c r="E73" i="17"/>
  <c r="E74" i="17"/>
  <c r="E75" i="17"/>
  <c r="E76" i="17"/>
  <c r="E77" i="17"/>
  <c r="E78" i="17"/>
  <c r="E79" i="17"/>
  <c r="E80" i="17"/>
  <c r="E81" i="17"/>
  <c r="E82" i="17"/>
  <c r="E83" i="17"/>
  <c r="E84" i="17"/>
  <c r="E85" i="17"/>
  <c r="E86" i="17"/>
  <c r="E87" i="17"/>
  <c r="E88" i="17"/>
  <c r="E89" i="17"/>
  <c r="AG90" i="24"/>
  <c r="AG68" i="24"/>
  <c r="AG46" i="24"/>
  <c r="AG24" i="24"/>
  <c r="E25" i="20"/>
  <c r="E22" i="20"/>
  <c r="E24" i="20"/>
  <c r="E21" i="20"/>
  <c r="E20" i="20"/>
  <c r="E19" i="20"/>
  <c r="E18" i="20"/>
  <c r="E17" i="20"/>
  <c r="E16" i="20"/>
  <c r="E15" i="20"/>
  <c r="B29" i="20" l="1"/>
  <c r="G2" i="20"/>
  <c r="I14" i="22"/>
  <c r="I15" i="22"/>
  <c r="I16" i="22"/>
  <c r="I17" i="22"/>
  <c r="I18" i="22"/>
  <c r="I19" i="22"/>
  <c r="I20" i="22"/>
  <c r="I21" i="22"/>
  <c r="I22" i="22"/>
  <c r="I23" i="22"/>
  <c r="I24" i="22"/>
  <c r="I25" i="22"/>
  <c r="I26" i="22"/>
  <c r="I27" i="22"/>
  <c r="I28" i="22"/>
  <c r="I29" i="22"/>
  <c r="I30" i="22"/>
  <c r="I31" i="22"/>
  <c r="I32" i="22"/>
  <c r="I33" i="22"/>
  <c r="I34" i="22"/>
  <c r="I35" i="22"/>
  <c r="I36" i="22"/>
  <c r="I37" i="22"/>
  <c r="I38" i="22"/>
  <c r="I39" i="22"/>
  <c r="I40" i="22"/>
  <c r="I41" i="22"/>
  <c r="I42" i="22"/>
  <c r="I43" i="22"/>
  <c r="I44" i="22"/>
  <c r="I45" i="22"/>
  <c r="I46" i="22"/>
  <c r="I47" i="22"/>
  <c r="I48" i="22"/>
  <c r="I49" i="22"/>
  <c r="I50" i="22"/>
  <c r="I51" i="22"/>
  <c r="I52" i="22"/>
  <c r="I53" i="22"/>
  <c r="I54" i="22"/>
  <c r="I55" i="22"/>
  <c r="I56" i="22"/>
  <c r="I57" i="22"/>
  <c r="I58" i="22"/>
  <c r="I59" i="22"/>
  <c r="I60" i="22"/>
  <c r="I61" i="22"/>
  <c r="I62" i="22"/>
  <c r="I63" i="22"/>
  <c r="I64" i="22"/>
  <c r="I65" i="22"/>
  <c r="I66" i="22"/>
  <c r="I67" i="22"/>
  <c r="I68" i="22"/>
  <c r="I69" i="22"/>
  <c r="I70" i="22"/>
  <c r="I71" i="22"/>
  <c r="I72" i="22"/>
  <c r="I73" i="22"/>
  <c r="I74" i="22"/>
  <c r="I75" i="22"/>
  <c r="I76" i="22"/>
  <c r="I77" i="22"/>
  <c r="I78" i="22"/>
  <c r="I79" i="22"/>
  <c r="I80" i="22"/>
  <c r="I81" i="22"/>
  <c r="I82" i="22"/>
  <c r="I83" i="22"/>
  <c r="I84" i="22"/>
  <c r="I85" i="22"/>
  <c r="I86" i="22"/>
  <c r="I87" i="22"/>
  <c r="I88" i="22"/>
  <c r="I89" i="22"/>
  <c r="I90" i="22"/>
  <c r="I91" i="22"/>
  <c r="I92" i="22"/>
  <c r="I93" i="22"/>
  <c r="I94" i="22"/>
  <c r="I95" i="22"/>
  <c r="I96" i="22"/>
  <c r="I97" i="22"/>
  <c r="I98" i="22"/>
  <c r="I99" i="22"/>
  <c r="I100" i="22"/>
  <c r="I101" i="22"/>
  <c r="I102" i="22"/>
  <c r="I103" i="22"/>
  <c r="I104" i="22"/>
  <c r="I105" i="22"/>
  <c r="I106" i="22"/>
  <c r="I107" i="22"/>
  <c r="I108" i="22"/>
  <c r="I109" i="22"/>
  <c r="I110" i="22"/>
  <c r="I111" i="22"/>
  <c r="I112" i="22"/>
  <c r="I113" i="22"/>
  <c r="I114" i="22"/>
  <c r="I115" i="22"/>
  <c r="I116" i="22"/>
  <c r="I117" i="22"/>
  <c r="I118" i="22"/>
  <c r="I119" i="22"/>
  <c r="I120" i="22"/>
  <c r="I121" i="22"/>
  <c r="I122" i="22"/>
  <c r="I123" i="22"/>
  <c r="I124" i="22"/>
  <c r="I125" i="22"/>
  <c r="I126" i="22"/>
  <c r="I127" i="22"/>
  <c r="I128" i="22"/>
  <c r="I129" i="22"/>
  <c r="I130" i="22"/>
  <c r="I131" i="22"/>
  <c r="I132" i="22"/>
  <c r="I133" i="22"/>
  <c r="I134" i="22"/>
  <c r="I135" i="22"/>
  <c r="I136" i="22"/>
  <c r="I137" i="22"/>
  <c r="I138" i="22"/>
  <c r="I139" i="22"/>
  <c r="I140" i="22"/>
  <c r="I141" i="22"/>
  <c r="I142" i="22"/>
  <c r="I143" i="22"/>
  <c r="I144" i="22"/>
  <c r="I145" i="22"/>
  <c r="I146" i="22"/>
  <c r="I147" i="22"/>
  <c r="I148" i="22"/>
  <c r="I149" i="22"/>
  <c r="I150" i="22"/>
  <c r="I151" i="22"/>
  <c r="I152" i="22"/>
  <c r="I153" i="22"/>
  <c r="I154" i="22"/>
  <c r="I155" i="22"/>
  <c r="I156" i="22"/>
  <c r="I157" i="22"/>
  <c r="I158" i="22"/>
  <c r="I159" i="22"/>
  <c r="I160" i="22"/>
  <c r="I161" i="22"/>
  <c r="I162" i="22"/>
  <c r="I163" i="22"/>
  <c r="I164" i="22"/>
  <c r="I165" i="22"/>
  <c r="I166" i="22"/>
  <c r="I167" i="22"/>
  <c r="I168" i="22"/>
  <c r="I169" i="22"/>
  <c r="I170" i="22"/>
  <c r="I171" i="22"/>
  <c r="I172" i="22"/>
  <c r="I173" i="22"/>
  <c r="I174" i="22"/>
  <c r="I175" i="22"/>
  <c r="I176" i="22"/>
  <c r="I177" i="22"/>
  <c r="I178" i="22"/>
  <c r="I179" i="22"/>
  <c r="I180" i="22"/>
  <c r="I181" i="22"/>
  <c r="I182" i="22"/>
  <c r="I183" i="22"/>
  <c r="I184" i="22"/>
  <c r="I185" i="22"/>
  <c r="I186" i="22"/>
  <c r="I187" i="22"/>
  <c r="I188" i="22"/>
  <c r="I189" i="22"/>
  <c r="I190" i="22"/>
  <c r="I191" i="22"/>
  <c r="I192" i="22"/>
  <c r="I193" i="22"/>
  <c r="I194" i="22"/>
  <c r="I195" i="22"/>
  <c r="I196" i="22"/>
  <c r="I197" i="22"/>
  <c r="I198" i="22"/>
  <c r="I199" i="22"/>
  <c r="I200" i="22"/>
  <c r="I201" i="22"/>
  <c r="I202" i="22"/>
  <c r="I203" i="22"/>
  <c r="I204" i="22"/>
  <c r="I205" i="22"/>
  <c r="I206" i="22"/>
  <c r="I207" i="22"/>
  <c r="I208" i="22"/>
  <c r="I209" i="22"/>
  <c r="I210" i="22"/>
  <c r="I211" i="22"/>
  <c r="I212" i="22"/>
  <c r="I213" i="22"/>
  <c r="I214" i="22"/>
  <c r="I215" i="22"/>
  <c r="I216" i="22"/>
  <c r="I217" i="22"/>
  <c r="I218" i="22"/>
  <c r="I219" i="22"/>
  <c r="I220" i="22"/>
  <c r="I221" i="22"/>
  <c r="I222" i="22"/>
  <c r="I223" i="22"/>
  <c r="I224" i="22"/>
  <c r="I225" i="22"/>
  <c r="I226" i="22"/>
  <c r="I227" i="22"/>
  <c r="I228" i="22"/>
  <c r="I229" i="22"/>
  <c r="I230" i="22"/>
  <c r="I231" i="22"/>
  <c r="I232" i="22"/>
  <c r="I233" i="22"/>
  <c r="I234" i="22"/>
  <c r="I235" i="22"/>
  <c r="I236" i="22"/>
  <c r="I237" i="22"/>
  <c r="I238" i="22"/>
  <c r="I239" i="22"/>
  <c r="I240" i="22"/>
  <c r="I241" i="22"/>
  <c r="I242" i="22"/>
  <c r="I243" i="22"/>
  <c r="I244" i="22"/>
  <c r="I245" i="22"/>
  <c r="I246" i="22"/>
  <c r="I247" i="22"/>
  <c r="I248" i="22"/>
  <c r="I249" i="22"/>
  <c r="I250" i="22"/>
  <c r="I251" i="22"/>
  <c r="I252" i="22"/>
  <c r="I253" i="22"/>
  <c r="I254" i="22"/>
  <c r="I255" i="22"/>
  <c r="I256" i="22"/>
  <c r="I257" i="22"/>
  <c r="I258" i="22"/>
  <c r="I259" i="22"/>
  <c r="I260" i="22"/>
  <c r="I261" i="22"/>
  <c r="I262" i="22"/>
  <c r="I263" i="22"/>
  <c r="I264" i="22"/>
  <c r="I265" i="22"/>
  <c r="I266" i="22"/>
  <c r="I267" i="22"/>
  <c r="I268" i="22"/>
  <c r="I269" i="22"/>
  <c r="I270" i="22"/>
  <c r="I271" i="22"/>
  <c r="I272" i="22"/>
  <c r="I273" i="22"/>
  <c r="I274" i="22"/>
  <c r="I275" i="22"/>
  <c r="I276" i="22"/>
  <c r="I277" i="22"/>
  <c r="I278" i="22"/>
  <c r="I279" i="22"/>
  <c r="I280" i="22"/>
  <c r="I281" i="22"/>
  <c r="I282" i="22"/>
  <c r="I283" i="22"/>
  <c r="I284" i="22"/>
  <c r="I285" i="22"/>
  <c r="I286" i="22"/>
  <c r="I287" i="22"/>
  <c r="I288" i="22"/>
  <c r="I289" i="22"/>
  <c r="I290" i="22"/>
  <c r="I291" i="22"/>
  <c r="I292" i="22"/>
  <c r="I293" i="22"/>
  <c r="I294" i="22"/>
  <c r="I295" i="22"/>
  <c r="I296" i="22"/>
  <c r="I297" i="22"/>
  <c r="I298" i="22"/>
  <c r="I299" i="22"/>
  <c r="I300" i="22"/>
  <c r="I301" i="22"/>
  <c r="I302" i="22"/>
  <c r="I303" i="22"/>
  <c r="I304" i="22"/>
  <c r="I305" i="22"/>
  <c r="I306" i="22"/>
  <c r="I307" i="22"/>
  <c r="I308" i="22"/>
  <c r="I309" i="22"/>
  <c r="I310" i="22"/>
  <c r="I311" i="22"/>
  <c r="I312" i="22"/>
  <c r="I313" i="22"/>
  <c r="I314" i="22"/>
  <c r="I315" i="22"/>
  <c r="I316" i="22"/>
  <c r="I317" i="22"/>
  <c r="I318" i="22"/>
  <c r="I319" i="22"/>
  <c r="I320" i="22"/>
  <c r="I321" i="22"/>
  <c r="I322" i="22"/>
  <c r="I323" i="22"/>
  <c r="I324" i="22"/>
  <c r="I325" i="22"/>
  <c r="I326" i="22"/>
  <c r="I327" i="22"/>
  <c r="I328" i="22"/>
  <c r="I329" i="22"/>
  <c r="I330" i="22"/>
  <c r="I331" i="22"/>
  <c r="I332" i="22"/>
  <c r="I333" i="22"/>
  <c r="I334" i="22"/>
  <c r="I335" i="22"/>
  <c r="I336" i="22"/>
  <c r="I337" i="22"/>
  <c r="I338" i="22"/>
  <c r="I339" i="22"/>
  <c r="I340" i="22"/>
  <c r="I341" i="22"/>
  <c r="I342" i="22"/>
  <c r="I343" i="22"/>
  <c r="I344" i="22"/>
  <c r="I345" i="22"/>
  <c r="I346" i="22"/>
  <c r="I347" i="22"/>
  <c r="I348" i="22"/>
  <c r="I349" i="22"/>
  <c r="I350" i="22"/>
  <c r="I351" i="22"/>
  <c r="I352" i="22"/>
  <c r="I353" i="22"/>
  <c r="I354" i="22"/>
  <c r="I355" i="22"/>
  <c r="I356" i="22"/>
  <c r="I357" i="22"/>
  <c r="I358" i="22"/>
  <c r="I359" i="22"/>
  <c r="I360" i="22"/>
  <c r="I13" i="22"/>
  <c r="K13" i="22" s="1"/>
  <c r="K14" i="22"/>
  <c r="K15" i="22"/>
  <c r="K16" i="22"/>
  <c r="K17" i="22"/>
  <c r="K18" i="22"/>
  <c r="K19" i="22"/>
  <c r="K20" i="22"/>
  <c r="K21" i="22"/>
  <c r="K22" i="22"/>
  <c r="K23" i="22"/>
  <c r="K24" i="22"/>
  <c r="K25" i="22"/>
  <c r="K26" i="22"/>
  <c r="K27" i="22"/>
  <c r="K28" i="22"/>
  <c r="K29" i="22"/>
  <c r="K30" i="22"/>
  <c r="K31" i="22"/>
  <c r="K32" i="22"/>
  <c r="K33" i="22"/>
  <c r="K34" i="22"/>
  <c r="K35" i="22"/>
  <c r="K36" i="22"/>
  <c r="K37" i="22"/>
  <c r="K38" i="22"/>
  <c r="K39" i="22"/>
  <c r="K40" i="22"/>
  <c r="K41" i="22"/>
  <c r="K42" i="22"/>
  <c r="K43" i="22"/>
  <c r="K44" i="22"/>
  <c r="K45" i="22"/>
  <c r="K46" i="22"/>
  <c r="K47" i="22"/>
  <c r="K48" i="22"/>
  <c r="K49" i="22"/>
  <c r="K50" i="22"/>
  <c r="K51" i="22"/>
  <c r="K52" i="22"/>
  <c r="K53" i="22"/>
  <c r="K54" i="22"/>
  <c r="K55" i="22"/>
  <c r="K56" i="22"/>
  <c r="K57" i="22"/>
  <c r="K58" i="22"/>
  <c r="K59" i="22"/>
  <c r="K60" i="22"/>
  <c r="K61" i="22"/>
  <c r="K62" i="22"/>
  <c r="K63" i="22"/>
  <c r="K64" i="22"/>
  <c r="K65" i="22"/>
  <c r="K66" i="22"/>
  <c r="K67" i="22"/>
  <c r="K68" i="22"/>
  <c r="K69" i="22"/>
  <c r="K70" i="22"/>
  <c r="K71" i="22"/>
  <c r="K72" i="22"/>
  <c r="K73" i="22"/>
  <c r="K74" i="22"/>
  <c r="K75" i="22"/>
  <c r="K76" i="22"/>
  <c r="K77" i="22"/>
  <c r="K78" i="22"/>
  <c r="K79" i="22"/>
  <c r="K80" i="22"/>
  <c r="K81" i="22"/>
  <c r="K82" i="22"/>
  <c r="K83" i="22"/>
  <c r="K84" i="22"/>
  <c r="K85" i="22"/>
  <c r="K86" i="22"/>
  <c r="K87" i="22"/>
  <c r="K88" i="22"/>
  <c r="K89" i="22"/>
  <c r="K90" i="22"/>
  <c r="K91" i="22"/>
  <c r="K92" i="22"/>
  <c r="K93" i="22"/>
  <c r="K94" i="22"/>
  <c r="K95" i="22"/>
  <c r="K96" i="22"/>
  <c r="K97" i="22"/>
  <c r="K98" i="22"/>
  <c r="K99" i="22"/>
  <c r="K100" i="22"/>
  <c r="K101" i="22"/>
  <c r="K102" i="22"/>
  <c r="K103" i="22"/>
  <c r="K104" i="22"/>
  <c r="K105" i="22"/>
  <c r="K106" i="22"/>
  <c r="K107" i="22"/>
  <c r="K108" i="22"/>
  <c r="K109" i="22"/>
  <c r="K110" i="22"/>
  <c r="K111" i="22"/>
  <c r="K112" i="22"/>
  <c r="K113" i="22"/>
  <c r="K114" i="22"/>
  <c r="K115" i="22"/>
  <c r="K116" i="22"/>
  <c r="K117" i="22"/>
  <c r="K118" i="22"/>
  <c r="K119" i="22"/>
  <c r="K120" i="22"/>
  <c r="K121" i="22"/>
  <c r="K122" i="22"/>
  <c r="K123" i="22"/>
  <c r="K124" i="22"/>
  <c r="K125" i="22"/>
  <c r="K126" i="22"/>
  <c r="K127" i="22"/>
  <c r="K128" i="22"/>
  <c r="K129" i="22"/>
  <c r="K130" i="22"/>
  <c r="K131" i="22"/>
  <c r="K132" i="22"/>
  <c r="K133" i="22"/>
  <c r="K134" i="22"/>
  <c r="K135" i="22"/>
  <c r="K136" i="22"/>
  <c r="K137" i="22"/>
  <c r="K138" i="22"/>
  <c r="K139" i="22"/>
  <c r="K140" i="22"/>
  <c r="K141" i="22"/>
  <c r="K142" i="22"/>
  <c r="K143" i="22"/>
  <c r="K144" i="22"/>
  <c r="K145" i="22"/>
  <c r="K146" i="22"/>
  <c r="K147" i="22"/>
  <c r="K148" i="22"/>
  <c r="K149" i="22"/>
  <c r="K150" i="22"/>
  <c r="K151" i="22"/>
  <c r="K152" i="22"/>
  <c r="K153" i="22"/>
  <c r="K154" i="22"/>
  <c r="K155" i="22"/>
  <c r="K156" i="22"/>
  <c r="K157" i="22"/>
  <c r="K158" i="22"/>
  <c r="K159" i="22"/>
  <c r="K160" i="22"/>
  <c r="K161" i="22"/>
  <c r="K162" i="22"/>
  <c r="K163" i="22"/>
  <c r="K164" i="22"/>
  <c r="K165" i="22"/>
  <c r="K166" i="22"/>
  <c r="K167" i="22"/>
  <c r="K168" i="22"/>
  <c r="K169" i="22"/>
  <c r="K170" i="22"/>
  <c r="K171" i="22"/>
  <c r="K172" i="22"/>
  <c r="K173" i="22"/>
  <c r="K174" i="22"/>
  <c r="K175" i="22"/>
  <c r="K176" i="22"/>
  <c r="K177" i="22"/>
  <c r="K178" i="22"/>
  <c r="K179" i="22"/>
  <c r="K180" i="22"/>
  <c r="K181" i="22"/>
  <c r="K182" i="22"/>
  <c r="K183" i="22"/>
  <c r="K184" i="22"/>
  <c r="K185" i="22"/>
  <c r="K186" i="22"/>
  <c r="K187" i="22"/>
  <c r="K188" i="22"/>
  <c r="K189" i="22"/>
  <c r="K190" i="22"/>
  <c r="K191" i="22"/>
  <c r="K192" i="22"/>
  <c r="K193" i="22"/>
  <c r="K194" i="22"/>
  <c r="K195" i="22"/>
  <c r="K196" i="22"/>
  <c r="K197" i="22"/>
  <c r="K198" i="22"/>
  <c r="K199" i="22"/>
  <c r="K200" i="22"/>
  <c r="K201" i="22"/>
  <c r="K202" i="22"/>
  <c r="K203" i="22"/>
  <c r="K204" i="22"/>
  <c r="K205" i="22"/>
  <c r="K206" i="22"/>
  <c r="K207" i="22"/>
  <c r="K208" i="22"/>
  <c r="K209" i="22"/>
  <c r="K210" i="22"/>
  <c r="K211" i="22"/>
  <c r="K212" i="22"/>
  <c r="K213" i="22"/>
  <c r="K214" i="22"/>
  <c r="K215" i="22"/>
  <c r="K216" i="22"/>
  <c r="K217" i="22"/>
  <c r="K218" i="22"/>
  <c r="K219" i="22"/>
  <c r="K220" i="22"/>
  <c r="K221" i="22"/>
  <c r="K222" i="22"/>
  <c r="K223" i="22"/>
  <c r="K224" i="22"/>
  <c r="K225" i="22"/>
  <c r="K226" i="22"/>
  <c r="K227" i="22"/>
  <c r="K228" i="22"/>
  <c r="K229" i="22"/>
  <c r="K230" i="22"/>
  <c r="K231" i="22"/>
  <c r="K232" i="22"/>
  <c r="K233" i="22"/>
  <c r="K234" i="22"/>
  <c r="K235" i="22"/>
  <c r="K236" i="22"/>
  <c r="K237" i="22"/>
  <c r="K238" i="22"/>
  <c r="K239" i="22"/>
  <c r="K240" i="22"/>
  <c r="K241" i="22"/>
  <c r="K242" i="22"/>
  <c r="K243" i="22"/>
  <c r="K244" i="22"/>
  <c r="K245" i="22"/>
  <c r="K246" i="22"/>
  <c r="K247" i="22"/>
  <c r="K248" i="22"/>
  <c r="K249" i="22"/>
  <c r="K250" i="22"/>
  <c r="K251" i="22"/>
  <c r="K252" i="22"/>
  <c r="K253" i="22"/>
  <c r="K254" i="22"/>
  <c r="K255" i="22"/>
  <c r="K256" i="22"/>
  <c r="K257" i="22"/>
  <c r="K258" i="22"/>
  <c r="K259" i="22"/>
  <c r="K260" i="22"/>
  <c r="K261" i="22"/>
  <c r="K262" i="22"/>
  <c r="K263" i="22"/>
  <c r="K264" i="22"/>
  <c r="K265" i="22"/>
  <c r="K266" i="22"/>
  <c r="K267" i="22"/>
  <c r="K268" i="22"/>
  <c r="K269" i="22"/>
  <c r="K270" i="22"/>
  <c r="K271" i="22"/>
  <c r="K272" i="22"/>
  <c r="K273" i="22"/>
  <c r="K274" i="22"/>
  <c r="K275" i="22"/>
  <c r="K276" i="22"/>
  <c r="K277" i="22"/>
  <c r="K278" i="22"/>
  <c r="K279" i="22"/>
  <c r="K280" i="22"/>
  <c r="K281" i="22"/>
  <c r="K282" i="22"/>
  <c r="K283" i="22"/>
  <c r="K284" i="22"/>
  <c r="K285" i="22"/>
  <c r="K286" i="22"/>
  <c r="K287" i="22"/>
  <c r="K288" i="22"/>
  <c r="K289" i="22"/>
  <c r="K290" i="22"/>
  <c r="K291" i="22"/>
  <c r="K292" i="22"/>
  <c r="K293" i="22"/>
  <c r="K294" i="22"/>
  <c r="K295" i="22"/>
  <c r="K296" i="22"/>
  <c r="K297" i="22"/>
  <c r="K298" i="22"/>
  <c r="K299" i="22"/>
  <c r="K300" i="22"/>
  <c r="K301" i="22"/>
  <c r="K302" i="22"/>
  <c r="K303" i="22"/>
  <c r="K304" i="22"/>
  <c r="K305" i="22"/>
  <c r="K306" i="22"/>
  <c r="K307" i="22"/>
  <c r="K308" i="22"/>
  <c r="K309" i="22"/>
  <c r="K310" i="22"/>
  <c r="K311" i="22"/>
  <c r="K312" i="22"/>
  <c r="K313" i="22"/>
  <c r="K314" i="22"/>
  <c r="K315" i="22"/>
  <c r="K316" i="22"/>
  <c r="K317" i="22"/>
  <c r="K318" i="22"/>
  <c r="K319" i="22"/>
  <c r="K320" i="22"/>
  <c r="K321" i="22"/>
  <c r="K322" i="22"/>
  <c r="K323" i="22"/>
  <c r="K324" i="22"/>
  <c r="K325" i="22"/>
  <c r="K326" i="22"/>
  <c r="K327" i="22"/>
  <c r="K328" i="22"/>
  <c r="K329" i="22"/>
  <c r="K330" i="22"/>
  <c r="K331" i="22"/>
  <c r="K332" i="22"/>
  <c r="K333" i="22"/>
  <c r="K334" i="22"/>
  <c r="K335" i="22"/>
  <c r="K336" i="22"/>
  <c r="K337" i="22"/>
  <c r="K338" i="22"/>
  <c r="K339" i="22"/>
  <c r="K340" i="22"/>
  <c r="K341" i="22"/>
  <c r="K342" i="22"/>
  <c r="K343" i="22"/>
  <c r="K344" i="22"/>
  <c r="K345" i="22"/>
  <c r="K346" i="22"/>
  <c r="K347" i="22"/>
  <c r="K348" i="22"/>
  <c r="K349" i="22"/>
  <c r="K350" i="22"/>
  <c r="K351" i="22"/>
  <c r="K352" i="22"/>
  <c r="K353" i="22"/>
  <c r="K354" i="22"/>
  <c r="K355" i="22"/>
  <c r="K356" i="22"/>
  <c r="K357" i="22"/>
  <c r="K358" i="22"/>
  <c r="K359" i="22"/>
  <c r="K360" i="22"/>
  <c r="J13" i="22"/>
  <c r="U99" i="29"/>
  <c r="U100" i="29"/>
  <c r="U101" i="29"/>
  <c r="U102" i="29"/>
  <c r="U103" i="29"/>
  <c r="U104" i="29"/>
  <c r="U105" i="29"/>
  <c r="U106" i="29"/>
  <c r="U107" i="29"/>
  <c r="U108" i="29"/>
  <c r="U109" i="29"/>
  <c r="U110" i="29"/>
  <c r="U111" i="29"/>
  <c r="U112" i="29"/>
  <c r="U113" i="29"/>
  <c r="U114" i="29"/>
  <c r="U115" i="29"/>
  <c r="U116" i="29"/>
  <c r="U117" i="29"/>
  <c r="U118" i="29"/>
  <c r="U119" i="29"/>
  <c r="U120" i="29"/>
  <c r="U121" i="29"/>
  <c r="U122" i="29"/>
  <c r="U123" i="29"/>
  <c r="U124" i="29"/>
  <c r="U125" i="29"/>
  <c r="U126" i="29"/>
  <c r="U127" i="29"/>
  <c r="U128" i="29"/>
  <c r="U129" i="29"/>
  <c r="U130" i="29"/>
  <c r="U131" i="29"/>
  <c r="T99" i="29"/>
  <c r="T100" i="29"/>
  <c r="T101" i="29"/>
  <c r="T102" i="29"/>
  <c r="T103" i="29"/>
  <c r="T104" i="29"/>
  <c r="T105" i="29"/>
  <c r="T106" i="29"/>
  <c r="T107" i="29"/>
  <c r="T108" i="29"/>
  <c r="T109" i="29"/>
  <c r="T110" i="29"/>
  <c r="T111" i="29"/>
  <c r="T112" i="29"/>
  <c r="T113" i="29"/>
  <c r="T114" i="29"/>
  <c r="T115" i="29"/>
  <c r="T116" i="29"/>
  <c r="T117" i="29"/>
  <c r="T118" i="29"/>
  <c r="T119" i="29"/>
  <c r="T120" i="29"/>
  <c r="T121" i="29"/>
  <c r="T122" i="29"/>
  <c r="T123" i="29"/>
  <c r="T124" i="29"/>
  <c r="T125" i="29"/>
  <c r="T126" i="29"/>
  <c r="T127" i="29"/>
  <c r="T128" i="29"/>
  <c r="T129" i="29"/>
  <c r="T130" i="29"/>
  <c r="T131" i="29"/>
  <c r="N99" i="29"/>
  <c r="N100" i="29"/>
  <c r="N101" i="29"/>
  <c r="N102" i="29"/>
  <c r="N103" i="29"/>
  <c r="N104" i="29"/>
  <c r="N105" i="29"/>
  <c r="N106" i="29"/>
  <c r="N107" i="29"/>
  <c r="N108" i="29"/>
  <c r="N109" i="29"/>
  <c r="N110" i="29"/>
  <c r="N111" i="29"/>
  <c r="N112" i="29"/>
  <c r="N113" i="29"/>
  <c r="N114" i="29"/>
  <c r="N115" i="29"/>
  <c r="N116" i="29"/>
  <c r="N117" i="29"/>
  <c r="N118" i="29"/>
  <c r="N119" i="29"/>
  <c r="N120" i="29"/>
  <c r="N121" i="29"/>
  <c r="N122" i="29"/>
  <c r="N123" i="29"/>
  <c r="N124" i="29"/>
  <c r="N125" i="29"/>
  <c r="N126" i="29"/>
  <c r="N127" i="29"/>
  <c r="N128" i="29"/>
  <c r="N129" i="29"/>
  <c r="N130" i="29"/>
  <c r="N131" i="29"/>
  <c r="M99" i="29"/>
  <c r="M100" i="29"/>
  <c r="M101" i="29"/>
  <c r="M102" i="29"/>
  <c r="M103" i="29"/>
  <c r="M104" i="29"/>
  <c r="M105" i="29"/>
  <c r="M106" i="29"/>
  <c r="M107" i="29"/>
  <c r="M108" i="29"/>
  <c r="M109" i="29"/>
  <c r="M110" i="29"/>
  <c r="M111" i="29"/>
  <c r="M112" i="29"/>
  <c r="M113" i="29"/>
  <c r="M114" i="29"/>
  <c r="M115" i="29"/>
  <c r="M116" i="29"/>
  <c r="M117" i="29"/>
  <c r="M118" i="29"/>
  <c r="M119" i="29"/>
  <c r="M120" i="29"/>
  <c r="M121" i="29"/>
  <c r="M122" i="29"/>
  <c r="M123" i="29"/>
  <c r="M124" i="29"/>
  <c r="M125" i="29"/>
  <c r="M126" i="29"/>
  <c r="M127" i="29"/>
  <c r="M128" i="29"/>
  <c r="M129" i="29"/>
  <c r="M130" i="29"/>
  <c r="M131" i="29"/>
  <c r="G99" i="29"/>
  <c r="G100" i="29"/>
  <c r="G101" i="29"/>
  <c r="G102" i="29"/>
  <c r="G103" i="29"/>
  <c r="G104" i="29"/>
  <c r="G105" i="29"/>
  <c r="G106" i="29"/>
  <c r="G107" i="29"/>
  <c r="G108" i="29"/>
  <c r="G109" i="29"/>
  <c r="G110" i="29"/>
  <c r="G111" i="29"/>
  <c r="G112" i="29"/>
  <c r="G113" i="29"/>
  <c r="G114" i="29"/>
  <c r="G115" i="29"/>
  <c r="G116" i="29"/>
  <c r="G117" i="29"/>
  <c r="G118" i="29"/>
  <c r="G119" i="29"/>
  <c r="G120" i="29"/>
  <c r="G121" i="29"/>
  <c r="G122" i="29"/>
  <c r="G123" i="29"/>
  <c r="G124" i="29"/>
  <c r="G125" i="29"/>
  <c r="G126" i="29"/>
  <c r="G127" i="29"/>
  <c r="G128" i="29"/>
  <c r="G129" i="29"/>
  <c r="G130" i="29"/>
  <c r="G131" i="29"/>
  <c r="F99" i="29"/>
  <c r="F100" i="29"/>
  <c r="F101" i="29"/>
  <c r="F102" i="29"/>
  <c r="F103" i="29"/>
  <c r="F104" i="29"/>
  <c r="F105" i="29"/>
  <c r="F106" i="29"/>
  <c r="F107" i="29"/>
  <c r="F108" i="29"/>
  <c r="F109" i="29"/>
  <c r="F110" i="29"/>
  <c r="F111" i="29"/>
  <c r="F112" i="29"/>
  <c r="F113" i="29"/>
  <c r="F114" i="29"/>
  <c r="F115" i="29"/>
  <c r="F116" i="29"/>
  <c r="F117" i="29"/>
  <c r="F118" i="29"/>
  <c r="F119" i="29"/>
  <c r="F120" i="29"/>
  <c r="F121" i="29"/>
  <c r="F122" i="29"/>
  <c r="F123" i="29"/>
  <c r="F124" i="29"/>
  <c r="F125" i="29"/>
  <c r="F126" i="29"/>
  <c r="F127" i="29"/>
  <c r="F128" i="29"/>
  <c r="F129" i="29"/>
  <c r="F130" i="29"/>
  <c r="F131" i="29"/>
  <c r="U57" i="29"/>
  <c r="U58" i="29"/>
  <c r="U59" i="29"/>
  <c r="U60" i="29"/>
  <c r="U61" i="29"/>
  <c r="U62" i="29"/>
  <c r="U63" i="29"/>
  <c r="U64" i="29"/>
  <c r="U65" i="29"/>
  <c r="U66" i="29"/>
  <c r="U67" i="29"/>
  <c r="U68" i="29"/>
  <c r="U69" i="29"/>
  <c r="U70" i="29"/>
  <c r="U71" i="29"/>
  <c r="U72" i="29"/>
  <c r="U73" i="29"/>
  <c r="U74" i="29"/>
  <c r="U75" i="29"/>
  <c r="U76" i="29"/>
  <c r="U77" i="29"/>
  <c r="U78" i="29"/>
  <c r="U79" i="29"/>
  <c r="U80" i="29"/>
  <c r="U81" i="29"/>
  <c r="U82" i="29"/>
  <c r="U83" i="29"/>
  <c r="U84" i="29"/>
  <c r="U85" i="29"/>
  <c r="U86" i="29"/>
  <c r="U87" i="29"/>
  <c r="U88" i="29"/>
  <c r="U89" i="29"/>
  <c r="T57" i="29"/>
  <c r="T58" i="29"/>
  <c r="T59" i="29"/>
  <c r="T60" i="29"/>
  <c r="T61" i="29"/>
  <c r="T62" i="29"/>
  <c r="T63" i="29"/>
  <c r="T64" i="29"/>
  <c r="T65" i="29"/>
  <c r="T66" i="29"/>
  <c r="T67" i="29"/>
  <c r="T68" i="29"/>
  <c r="T69" i="29"/>
  <c r="T70" i="29"/>
  <c r="T71" i="29"/>
  <c r="T72" i="29"/>
  <c r="T73" i="29"/>
  <c r="T74" i="29"/>
  <c r="T75" i="29"/>
  <c r="T76" i="29"/>
  <c r="T77" i="29"/>
  <c r="T78" i="29"/>
  <c r="T79" i="29"/>
  <c r="T80" i="29"/>
  <c r="T81" i="29"/>
  <c r="T82" i="29"/>
  <c r="T83" i="29"/>
  <c r="T84" i="29"/>
  <c r="T85" i="29"/>
  <c r="T86" i="29"/>
  <c r="T87" i="29"/>
  <c r="T88" i="29"/>
  <c r="T89" i="29"/>
  <c r="N57" i="29"/>
  <c r="N58" i="29"/>
  <c r="N59" i="29"/>
  <c r="N60" i="29"/>
  <c r="N61" i="29"/>
  <c r="N62" i="29"/>
  <c r="N63" i="29"/>
  <c r="N64" i="29"/>
  <c r="N65" i="29"/>
  <c r="N66" i="29"/>
  <c r="N67" i="29"/>
  <c r="N68" i="29"/>
  <c r="N69" i="29"/>
  <c r="N70" i="29"/>
  <c r="N71" i="29"/>
  <c r="N72" i="29"/>
  <c r="N73" i="29"/>
  <c r="N74" i="29"/>
  <c r="N75" i="29"/>
  <c r="N76" i="29"/>
  <c r="N77" i="29"/>
  <c r="N78" i="29"/>
  <c r="N79" i="29"/>
  <c r="N80" i="29"/>
  <c r="N81" i="29"/>
  <c r="N82" i="29"/>
  <c r="N83" i="29"/>
  <c r="N84" i="29"/>
  <c r="N85" i="29"/>
  <c r="N86" i="29"/>
  <c r="N87" i="29"/>
  <c r="N88" i="29"/>
  <c r="N89" i="29"/>
  <c r="M57" i="29"/>
  <c r="M58" i="29"/>
  <c r="M59" i="29"/>
  <c r="M60" i="29"/>
  <c r="M61" i="29"/>
  <c r="M62" i="29"/>
  <c r="M63" i="29"/>
  <c r="M64" i="29"/>
  <c r="M65" i="29"/>
  <c r="M66" i="29"/>
  <c r="M67" i="29"/>
  <c r="M68" i="29"/>
  <c r="M69" i="29"/>
  <c r="M70" i="29"/>
  <c r="M71" i="29"/>
  <c r="M72" i="29"/>
  <c r="M73" i="29"/>
  <c r="M74" i="29"/>
  <c r="M75" i="29"/>
  <c r="M76" i="29"/>
  <c r="M77" i="29"/>
  <c r="M78" i="29"/>
  <c r="M79" i="29"/>
  <c r="M80" i="29"/>
  <c r="M81" i="29"/>
  <c r="M82" i="29"/>
  <c r="M83" i="29"/>
  <c r="M84" i="29"/>
  <c r="M85" i="29"/>
  <c r="M86" i="29"/>
  <c r="M87" i="29"/>
  <c r="M88" i="29"/>
  <c r="M89" i="29"/>
  <c r="G57" i="29"/>
  <c r="G58" i="29"/>
  <c r="G59" i="29"/>
  <c r="G60" i="29"/>
  <c r="G61" i="29"/>
  <c r="G62" i="29"/>
  <c r="G63" i="29"/>
  <c r="G64" i="29"/>
  <c r="G65" i="29"/>
  <c r="G66" i="29"/>
  <c r="G67" i="29"/>
  <c r="G68" i="29"/>
  <c r="G69" i="29"/>
  <c r="G70" i="29"/>
  <c r="G71" i="29"/>
  <c r="G72" i="29"/>
  <c r="G73" i="29"/>
  <c r="G74" i="29"/>
  <c r="G75" i="29"/>
  <c r="G76" i="29"/>
  <c r="G77" i="29"/>
  <c r="G78" i="29"/>
  <c r="G79" i="29"/>
  <c r="G80" i="29"/>
  <c r="G81" i="29"/>
  <c r="G82" i="29"/>
  <c r="G83" i="29"/>
  <c r="G84" i="29"/>
  <c r="G85" i="29"/>
  <c r="G86" i="29"/>
  <c r="G87" i="29"/>
  <c r="G88" i="29"/>
  <c r="G89" i="29"/>
  <c r="F57" i="29"/>
  <c r="F58" i="29"/>
  <c r="F59" i="29"/>
  <c r="F60" i="29"/>
  <c r="F61" i="29"/>
  <c r="F62" i="29"/>
  <c r="F63" i="29"/>
  <c r="F64" i="29"/>
  <c r="F65" i="29"/>
  <c r="F66" i="29"/>
  <c r="F67" i="29"/>
  <c r="F68" i="29"/>
  <c r="F69" i="29"/>
  <c r="F70" i="29"/>
  <c r="F71" i="29"/>
  <c r="F72" i="29"/>
  <c r="F73" i="29"/>
  <c r="F74" i="29"/>
  <c r="F75" i="29"/>
  <c r="F76" i="29"/>
  <c r="F77" i="29"/>
  <c r="F78" i="29"/>
  <c r="F79" i="29"/>
  <c r="F80" i="29"/>
  <c r="F81" i="29"/>
  <c r="F82" i="29"/>
  <c r="F83" i="29"/>
  <c r="F84" i="29"/>
  <c r="F85" i="29"/>
  <c r="F86" i="29"/>
  <c r="F87" i="29"/>
  <c r="F88" i="29"/>
  <c r="F89" i="29"/>
  <c r="BR18" i="29"/>
  <c r="BR20" i="29"/>
  <c r="BR22" i="29"/>
  <c r="BR23" i="29"/>
  <c r="BR24" i="29"/>
  <c r="BR26" i="29"/>
  <c r="BR27" i="29"/>
  <c r="BR28" i="29"/>
  <c r="BR29" i="29"/>
  <c r="BR31" i="29"/>
  <c r="BR32" i="29"/>
  <c r="BR33" i="29"/>
  <c r="BR34" i="29"/>
  <c r="BR35" i="29"/>
  <c r="BR36" i="29"/>
  <c r="BR37" i="29"/>
  <c r="BR38" i="29"/>
  <c r="BR39" i="29"/>
  <c r="BR40" i="29"/>
  <c r="BR41" i="29"/>
  <c r="BR42" i="29"/>
  <c r="BR43" i="29"/>
  <c r="BR44" i="29"/>
  <c r="BR45" i="29"/>
  <c r="BR46" i="29"/>
  <c r="BR47" i="29"/>
  <c r="BR48" i="29"/>
  <c r="BR49" i="29"/>
  <c r="BR50" i="29"/>
  <c r="BQ19" i="29"/>
  <c r="BQ21" i="29"/>
  <c r="BQ23" i="29"/>
  <c r="BQ25" i="29"/>
  <c r="BQ26" i="29"/>
  <c r="BQ28" i="29"/>
  <c r="BQ30" i="29"/>
  <c r="BQ31" i="29"/>
  <c r="BQ32" i="29"/>
  <c r="BQ33" i="29"/>
  <c r="BQ34" i="29"/>
  <c r="BQ35" i="29"/>
  <c r="BQ36" i="29"/>
  <c r="BQ37" i="29"/>
  <c r="BQ38" i="29"/>
  <c r="BQ39" i="29"/>
  <c r="BQ40" i="29"/>
  <c r="BQ41" i="29"/>
  <c r="BQ42" i="29"/>
  <c r="BQ43" i="29"/>
  <c r="BQ44" i="29"/>
  <c r="BQ45" i="29"/>
  <c r="BQ46" i="29"/>
  <c r="BQ47" i="29"/>
  <c r="BQ48" i="29"/>
  <c r="BQ49" i="29"/>
  <c r="BQ50" i="29"/>
  <c r="AP18" i="29"/>
  <c r="AP20" i="29"/>
  <c r="AP22" i="29"/>
  <c r="AP24" i="29"/>
  <c r="AP26" i="29"/>
  <c r="AP27" i="29"/>
  <c r="AP28" i="29"/>
  <c r="AP29" i="29"/>
  <c r="AP32" i="29"/>
  <c r="AP33" i="29"/>
  <c r="AP34" i="29"/>
  <c r="AP35" i="29"/>
  <c r="AP36" i="29"/>
  <c r="AP37" i="29"/>
  <c r="AP38" i="29"/>
  <c r="AP39" i="29"/>
  <c r="AP40" i="29"/>
  <c r="AP41" i="29"/>
  <c r="AP42" i="29"/>
  <c r="AP43" i="29"/>
  <c r="AP44" i="29"/>
  <c r="AP45" i="29"/>
  <c r="AP46" i="29"/>
  <c r="AP47" i="29"/>
  <c r="AP48" i="29"/>
  <c r="AP49" i="29"/>
  <c r="AP50" i="29"/>
  <c r="AO19" i="29"/>
  <c r="AO21" i="29"/>
  <c r="AO23" i="29"/>
  <c r="AO25" i="29"/>
  <c r="AO26" i="29"/>
  <c r="AO27" i="29"/>
  <c r="AO28" i="29"/>
  <c r="AO30" i="29"/>
  <c r="AO31" i="29"/>
  <c r="AO32" i="29"/>
  <c r="AO33" i="29"/>
  <c r="AO34" i="29"/>
  <c r="AO35" i="29"/>
  <c r="AO36" i="29"/>
  <c r="AO37" i="29"/>
  <c r="AO38" i="29"/>
  <c r="AO39" i="29"/>
  <c r="AO40" i="29"/>
  <c r="AO41" i="29"/>
  <c r="AO42" i="29"/>
  <c r="AO43" i="29"/>
  <c r="AO44" i="29"/>
  <c r="AO45" i="29"/>
  <c r="AO46" i="29"/>
  <c r="AO47" i="29"/>
  <c r="AO48" i="29"/>
  <c r="AO49" i="29"/>
  <c r="AO50" i="29"/>
  <c r="AI18" i="29"/>
  <c r="AI20" i="29"/>
  <c r="AI21" i="29"/>
  <c r="AI22" i="29"/>
  <c r="AI24" i="29"/>
  <c r="AI26" i="29"/>
  <c r="AI27" i="29"/>
  <c r="AI28" i="29"/>
  <c r="AI29" i="29"/>
  <c r="AI32" i="29"/>
  <c r="AI33" i="29"/>
  <c r="AI34" i="29"/>
  <c r="AI35" i="29"/>
  <c r="AI36" i="29"/>
  <c r="AI37" i="29"/>
  <c r="AI38" i="29"/>
  <c r="AI39" i="29"/>
  <c r="AI40" i="29"/>
  <c r="AI41" i="29"/>
  <c r="AI42" i="29"/>
  <c r="AI43" i="29"/>
  <c r="AI44" i="29"/>
  <c r="AI45" i="29"/>
  <c r="AI46" i="29"/>
  <c r="AI47" i="29"/>
  <c r="AI48" i="29"/>
  <c r="AI49" i="29"/>
  <c r="AI50" i="29"/>
  <c r="AH19" i="29"/>
  <c r="AH20" i="29"/>
  <c r="AH21" i="29"/>
  <c r="AH23" i="29"/>
  <c r="AH25" i="29"/>
  <c r="AH26" i="29"/>
  <c r="AH28" i="29"/>
  <c r="AH30" i="29"/>
  <c r="AH31" i="29"/>
  <c r="AH32" i="29"/>
  <c r="AH33" i="29"/>
  <c r="AH34" i="29"/>
  <c r="AH35" i="29"/>
  <c r="AH36" i="29"/>
  <c r="AH37" i="29"/>
  <c r="AH38" i="29"/>
  <c r="AH39" i="29"/>
  <c r="AH40" i="29"/>
  <c r="AH41" i="29"/>
  <c r="AH42" i="29"/>
  <c r="AH43" i="29"/>
  <c r="AH44" i="29"/>
  <c r="AH45" i="29"/>
  <c r="AH46" i="29"/>
  <c r="AH47" i="29"/>
  <c r="AH48" i="29"/>
  <c r="AH49" i="29"/>
  <c r="AH50" i="29"/>
  <c r="AB18" i="29"/>
  <c r="AB19" i="29"/>
  <c r="AB20" i="29"/>
  <c r="AB21" i="29"/>
  <c r="AB22" i="29"/>
  <c r="AB24" i="29"/>
  <c r="AB26" i="29"/>
  <c r="AB27" i="29"/>
  <c r="AB29" i="29"/>
  <c r="AB32" i="29"/>
  <c r="AB33" i="29"/>
  <c r="AB34" i="29"/>
  <c r="AB35" i="29"/>
  <c r="AB36" i="29"/>
  <c r="AB37" i="29"/>
  <c r="AB38" i="29"/>
  <c r="AB39" i="29"/>
  <c r="AB40" i="29"/>
  <c r="AB41" i="29"/>
  <c r="AB42" i="29"/>
  <c r="AB43" i="29"/>
  <c r="AB44" i="29"/>
  <c r="AB45" i="29"/>
  <c r="AB46" i="29"/>
  <c r="AB47" i="29"/>
  <c r="AB48" i="29"/>
  <c r="AB49" i="29"/>
  <c r="AB50" i="29"/>
  <c r="AA19" i="29"/>
  <c r="AA21" i="29"/>
  <c r="AA23" i="29"/>
  <c r="AA25" i="29"/>
  <c r="AA26" i="29"/>
  <c r="AA28" i="29"/>
  <c r="AA30" i="29"/>
  <c r="AA31" i="29"/>
  <c r="AA32" i="29"/>
  <c r="AA33" i="29"/>
  <c r="AA34" i="29"/>
  <c r="AA35" i="29"/>
  <c r="AA36" i="29"/>
  <c r="AA37" i="29"/>
  <c r="AA38" i="29"/>
  <c r="AA39" i="29"/>
  <c r="AA40" i="29"/>
  <c r="AA41" i="29"/>
  <c r="AA42" i="29"/>
  <c r="AA43" i="29"/>
  <c r="AA44" i="29"/>
  <c r="AA45" i="29"/>
  <c r="AA46" i="29"/>
  <c r="AA47" i="29"/>
  <c r="AA48" i="29"/>
  <c r="AA49" i="29"/>
  <c r="AA50" i="29"/>
  <c r="U18" i="29"/>
  <c r="U20" i="29"/>
  <c r="U22" i="29"/>
  <c r="U24" i="29"/>
  <c r="U26" i="29"/>
  <c r="U27" i="29"/>
  <c r="U29" i="29"/>
  <c r="U32" i="29"/>
  <c r="U33" i="29"/>
  <c r="U34" i="29"/>
  <c r="U35" i="29"/>
  <c r="U36" i="29"/>
  <c r="U37" i="29"/>
  <c r="U38" i="29"/>
  <c r="U39" i="29"/>
  <c r="U40" i="29"/>
  <c r="U41" i="29"/>
  <c r="U42" i="29"/>
  <c r="U43" i="29"/>
  <c r="U44" i="29"/>
  <c r="U45" i="29"/>
  <c r="U46" i="29"/>
  <c r="U47" i="29"/>
  <c r="U48" i="29"/>
  <c r="U49" i="29"/>
  <c r="U50" i="29"/>
  <c r="T19" i="29"/>
  <c r="T21" i="29"/>
  <c r="T23" i="29"/>
  <c r="T25" i="29"/>
  <c r="T26" i="29"/>
  <c r="T28" i="29"/>
  <c r="T29" i="29"/>
  <c r="T30" i="29"/>
  <c r="T31" i="29"/>
  <c r="T32" i="29"/>
  <c r="T33" i="29"/>
  <c r="T34" i="29"/>
  <c r="T35" i="29"/>
  <c r="T36" i="29"/>
  <c r="T37" i="29"/>
  <c r="T38" i="29"/>
  <c r="T39" i="29"/>
  <c r="T40" i="29"/>
  <c r="T41" i="29"/>
  <c r="T42" i="29"/>
  <c r="T43" i="29"/>
  <c r="T44" i="29"/>
  <c r="T45" i="29"/>
  <c r="T46" i="29"/>
  <c r="T47" i="29"/>
  <c r="T48" i="29"/>
  <c r="T49" i="29"/>
  <c r="T50" i="29"/>
  <c r="N18" i="29"/>
  <c r="N20" i="29"/>
  <c r="N22" i="29"/>
  <c r="N24" i="29"/>
  <c r="N26" i="29"/>
  <c r="N27" i="29"/>
  <c r="N29" i="29"/>
  <c r="N30" i="29"/>
  <c r="N32" i="29"/>
  <c r="N33" i="29"/>
  <c r="N34" i="29"/>
  <c r="N35" i="29"/>
  <c r="N36" i="29"/>
  <c r="N37" i="29"/>
  <c r="N38" i="29"/>
  <c r="N39" i="29"/>
  <c r="N40" i="29"/>
  <c r="N41" i="29"/>
  <c r="N42" i="29"/>
  <c r="N43" i="29"/>
  <c r="N44" i="29"/>
  <c r="N45" i="29"/>
  <c r="N46" i="29"/>
  <c r="N47" i="29"/>
  <c r="N48" i="29"/>
  <c r="N49" i="29"/>
  <c r="N50" i="29"/>
  <c r="M19" i="29"/>
  <c r="M21" i="29"/>
  <c r="M23" i="29"/>
  <c r="M25" i="29"/>
  <c r="M26" i="29"/>
  <c r="M28" i="29"/>
  <c r="M29" i="29"/>
  <c r="M30" i="29"/>
  <c r="M31" i="29"/>
  <c r="M32" i="29"/>
  <c r="M33" i="29"/>
  <c r="M34" i="29"/>
  <c r="M35" i="29"/>
  <c r="M36" i="29"/>
  <c r="M37" i="29"/>
  <c r="M38" i="29"/>
  <c r="M39" i="29"/>
  <c r="M40" i="29"/>
  <c r="M41" i="29"/>
  <c r="M42" i="29"/>
  <c r="M43" i="29"/>
  <c r="M44" i="29"/>
  <c r="M45" i="29"/>
  <c r="M46" i="29"/>
  <c r="M47" i="29"/>
  <c r="M48" i="29"/>
  <c r="M49" i="29"/>
  <c r="M50" i="29"/>
  <c r="G18" i="29"/>
  <c r="G20" i="29"/>
  <c r="G22" i="29"/>
  <c r="G24" i="29"/>
  <c r="G25" i="29"/>
  <c r="G26" i="29"/>
  <c r="G27" i="29"/>
  <c r="G29" i="29"/>
  <c r="G32" i="29"/>
  <c r="G33" i="29"/>
  <c r="G34" i="29"/>
  <c r="G35" i="29"/>
  <c r="G36" i="29"/>
  <c r="G37" i="29"/>
  <c r="G38" i="29"/>
  <c r="G39" i="29"/>
  <c r="G40" i="29"/>
  <c r="G41" i="29"/>
  <c r="G42" i="29"/>
  <c r="G43" i="29"/>
  <c r="G44" i="29"/>
  <c r="G45" i="29"/>
  <c r="G46" i="29"/>
  <c r="G47" i="29"/>
  <c r="G48" i="29"/>
  <c r="G49" i="29"/>
  <c r="G50" i="29"/>
  <c r="F19" i="29"/>
  <c r="F21" i="29"/>
  <c r="F23" i="29"/>
  <c r="F24" i="29"/>
  <c r="F25" i="29"/>
  <c r="F26" i="29"/>
  <c r="F28" i="29"/>
  <c r="F30" i="29"/>
  <c r="F31" i="29"/>
  <c r="F32" i="29"/>
  <c r="F33" i="29"/>
  <c r="F34" i="29"/>
  <c r="F35" i="29"/>
  <c r="F36" i="29"/>
  <c r="F37" i="29"/>
  <c r="F38" i="29"/>
  <c r="F39" i="29"/>
  <c r="F40" i="29"/>
  <c r="F41" i="29"/>
  <c r="F42" i="29"/>
  <c r="F43" i="29"/>
  <c r="F44" i="29"/>
  <c r="F45" i="29"/>
  <c r="F46" i="29"/>
  <c r="F47" i="29"/>
  <c r="F48" i="29"/>
  <c r="F49" i="29"/>
  <c r="F50" i="29"/>
  <c r="E99" i="29"/>
  <c r="E100" i="29"/>
  <c r="E101" i="29"/>
  <c r="E102" i="29"/>
  <c r="E103" i="29"/>
  <c r="E104" i="29"/>
  <c r="E105" i="29"/>
  <c r="E106" i="29"/>
  <c r="E107" i="29"/>
  <c r="E108" i="29"/>
  <c r="E109" i="29"/>
  <c r="E110" i="29"/>
  <c r="E111" i="29"/>
  <c r="E112" i="29"/>
  <c r="E113" i="29"/>
  <c r="E114" i="29"/>
  <c r="E115" i="29"/>
  <c r="E116" i="29"/>
  <c r="E117" i="29"/>
  <c r="E118" i="29"/>
  <c r="E119" i="29"/>
  <c r="E120" i="29"/>
  <c r="E121" i="29"/>
  <c r="E122" i="29"/>
  <c r="E123" i="29"/>
  <c r="E124" i="29"/>
  <c r="E125" i="29"/>
  <c r="E126" i="29"/>
  <c r="E127" i="29"/>
  <c r="E128" i="29"/>
  <c r="E129" i="29"/>
  <c r="E130" i="29"/>
  <c r="E131" i="29"/>
  <c r="L99" i="29"/>
  <c r="L100" i="29"/>
  <c r="L101" i="29"/>
  <c r="L102" i="29"/>
  <c r="L103" i="29"/>
  <c r="L104" i="29"/>
  <c r="L105" i="29"/>
  <c r="L106" i="29"/>
  <c r="L107" i="29"/>
  <c r="L108" i="29"/>
  <c r="L109" i="29"/>
  <c r="L110" i="29"/>
  <c r="L111" i="29"/>
  <c r="L112" i="29"/>
  <c r="L113" i="29"/>
  <c r="L114" i="29"/>
  <c r="L115" i="29"/>
  <c r="L116" i="29"/>
  <c r="L117" i="29"/>
  <c r="L118" i="29"/>
  <c r="L119" i="29"/>
  <c r="L120" i="29"/>
  <c r="L121" i="29"/>
  <c r="L122" i="29"/>
  <c r="L123" i="29"/>
  <c r="L124" i="29"/>
  <c r="L125" i="29"/>
  <c r="L126" i="29"/>
  <c r="L127" i="29"/>
  <c r="L128" i="29"/>
  <c r="L129" i="29"/>
  <c r="L130" i="29"/>
  <c r="L131" i="29"/>
  <c r="S99" i="29"/>
  <c r="S100" i="29"/>
  <c r="S101" i="29"/>
  <c r="S102" i="29"/>
  <c r="S103" i="29"/>
  <c r="S104" i="29"/>
  <c r="S105" i="29"/>
  <c r="S106" i="29"/>
  <c r="S107" i="29"/>
  <c r="S108" i="29"/>
  <c r="S109" i="29"/>
  <c r="S110" i="29"/>
  <c r="S111" i="29"/>
  <c r="S112" i="29"/>
  <c r="S113" i="29"/>
  <c r="S114" i="29"/>
  <c r="S115" i="29"/>
  <c r="S116" i="29"/>
  <c r="S117" i="29"/>
  <c r="S118" i="29"/>
  <c r="S119" i="29"/>
  <c r="S120" i="29"/>
  <c r="S121" i="29"/>
  <c r="S122" i="29"/>
  <c r="S123" i="29"/>
  <c r="S124" i="29"/>
  <c r="S125" i="29"/>
  <c r="S126" i="29"/>
  <c r="S127" i="29"/>
  <c r="S128" i="29"/>
  <c r="S129" i="29"/>
  <c r="S130" i="29"/>
  <c r="S131" i="29"/>
  <c r="S57" i="29"/>
  <c r="S58" i="29"/>
  <c r="S59" i="29"/>
  <c r="S60" i="29"/>
  <c r="S61" i="29"/>
  <c r="S62" i="29"/>
  <c r="S63" i="29"/>
  <c r="S64" i="29"/>
  <c r="S65" i="29"/>
  <c r="S66" i="29"/>
  <c r="S67" i="29"/>
  <c r="S68" i="29"/>
  <c r="S69" i="29"/>
  <c r="S70" i="29"/>
  <c r="S71" i="29"/>
  <c r="S72" i="29"/>
  <c r="S73" i="29"/>
  <c r="S74" i="29"/>
  <c r="S75" i="29"/>
  <c r="S76" i="29"/>
  <c r="S77" i="29"/>
  <c r="S78" i="29"/>
  <c r="S79" i="29"/>
  <c r="S80" i="29"/>
  <c r="S81" i="29"/>
  <c r="S82" i="29"/>
  <c r="S83" i="29"/>
  <c r="S84" i="29"/>
  <c r="S85" i="29"/>
  <c r="S86" i="29"/>
  <c r="S87" i="29"/>
  <c r="S88" i="29"/>
  <c r="S89" i="29"/>
  <c r="L57" i="29"/>
  <c r="L58" i="29"/>
  <c r="L59" i="29"/>
  <c r="L60" i="29"/>
  <c r="L61" i="29"/>
  <c r="L62" i="29"/>
  <c r="L63" i="29"/>
  <c r="L64" i="29"/>
  <c r="L65" i="29"/>
  <c r="L66" i="29"/>
  <c r="L67" i="29"/>
  <c r="L68" i="29"/>
  <c r="L69" i="29"/>
  <c r="L70" i="29"/>
  <c r="L71" i="29"/>
  <c r="L72" i="29"/>
  <c r="L73" i="29"/>
  <c r="L74" i="29"/>
  <c r="L75" i="29"/>
  <c r="L76" i="29"/>
  <c r="L77" i="29"/>
  <c r="L78" i="29"/>
  <c r="L79" i="29"/>
  <c r="L80" i="29"/>
  <c r="L81" i="29"/>
  <c r="L82" i="29"/>
  <c r="L83" i="29"/>
  <c r="L84" i="29"/>
  <c r="L85" i="29"/>
  <c r="L86" i="29"/>
  <c r="L87" i="29"/>
  <c r="L88" i="29"/>
  <c r="L89" i="29"/>
  <c r="E57" i="29"/>
  <c r="E58" i="29"/>
  <c r="E59" i="29"/>
  <c r="E60" i="29"/>
  <c r="E61" i="29"/>
  <c r="E62" i="29"/>
  <c r="E63" i="29"/>
  <c r="E64" i="29"/>
  <c r="E65" i="29"/>
  <c r="E66" i="29"/>
  <c r="E67" i="29"/>
  <c r="E68" i="29"/>
  <c r="E69" i="29"/>
  <c r="E70" i="29"/>
  <c r="E71" i="29"/>
  <c r="E72" i="29"/>
  <c r="E73" i="29"/>
  <c r="E74" i="29"/>
  <c r="E75" i="29"/>
  <c r="E76" i="29"/>
  <c r="E77" i="29"/>
  <c r="E78" i="29"/>
  <c r="E79" i="29"/>
  <c r="E80" i="29"/>
  <c r="E81" i="29"/>
  <c r="E82" i="29"/>
  <c r="E83" i="29"/>
  <c r="E84" i="29"/>
  <c r="E85" i="29"/>
  <c r="E86" i="29"/>
  <c r="E87" i="29"/>
  <c r="E88" i="29"/>
  <c r="E89" i="29"/>
  <c r="BP18" i="29"/>
  <c r="BQ18" i="29" s="1"/>
  <c r="BP19" i="29"/>
  <c r="BR19" i="29" s="1"/>
  <c r="BP20" i="29"/>
  <c r="BQ20" i="29" s="1"/>
  <c r="BP21" i="29"/>
  <c r="BR21" i="29" s="1"/>
  <c r="BP22" i="29"/>
  <c r="BQ22" i="29" s="1"/>
  <c r="BP23" i="29"/>
  <c r="BP24" i="29"/>
  <c r="BQ24" i="29" s="1"/>
  <c r="BP25" i="29"/>
  <c r="BR25" i="29" s="1"/>
  <c r="BP26" i="29"/>
  <c r="BP27" i="29"/>
  <c r="BQ27" i="29" s="1"/>
  <c r="BP28" i="29"/>
  <c r="BP29" i="29"/>
  <c r="BQ29" i="29" s="1"/>
  <c r="BP30" i="29"/>
  <c r="BR30" i="29" s="1"/>
  <c r="BP31" i="29"/>
  <c r="BP32" i="29"/>
  <c r="BP33" i="29"/>
  <c r="BP34" i="29"/>
  <c r="BP35" i="29"/>
  <c r="BP36" i="29"/>
  <c r="BP37" i="29"/>
  <c r="BP38" i="29"/>
  <c r="BP39" i="29"/>
  <c r="BP40" i="29"/>
  <c r="BP41" i="29"/>
  <c r="BP42" i="29"/>
  <c r="BP43" i="29"/>
  <c r="BP44" i="29"/>
  <c r="BP45" i="29"/>
  <c r="BP46" i="29"/>
  <c r="BP47" i="29"/>
  <c r="BP48" i="29"/>
  <c r="BP49" i="29"/>
  <c r="BP50" i="29"/>
  <c r="AN18" i="29"/>
  <c r="AO18" i="29" s="1"/>
  <c r="AN19" i="29"/>
  <c r="AP19" i="29" s="1"/>
  <c r="AN20" i="29"/>
  <c r="AO20" i="29" s="1"/>
  <c r="AN21" i="29"/>
  <c r="AP21" i="29" s="1"/>
  <c r="AN22" i="29"/>
  <c r="AO22" i="29" s="1"/>
  <c r="AN23" i="29"/>
  <c r="AP23" i="29" s="1"/>
  <c r="AN24" i="29"/>
  <c r="AO24" i="29" s="1"/>
  <c r="AN25" i="29"/>
  <c r="AP25" i="29" s="1"/>
  <c r="AN26" i="29"/>
  <c r="AN27" i="29"/>
  <c r="AN28" i="29"/>
  <c r="AN29" i="29"/>
  <c r="AO29" i="29" s="1"/>
  <c r="AN30" i="29"/>
  <c r="AP30" i="29" s="1"/>
  <c r="AN31" i="29"/>
  <c r="AP31" i="29" s="1"/>
  <c r="AN32" i="29"/>
  <c r="AN33" i="29"/>
  <c r="AN34" i="29"/>
  <c r="AN35" i="29"/>
  <c r="AN36" i="29"/>
  <c r="AN37" i="29"/>
  <c r="AN38" i="29"/>
  <c r="AN39" i="29"/>
  <c r="AN40" i="29"/>
  <c r="AN41" i="29"/>
  <c r="AN42" i="29"/>
  <c r="AN43" i="29"/>
  <c r="AN44" i="29"/>
  <c r="AN45" i="29"/>
  <c r="AN46" i="29"/>
  <c r="AN47" i="29"/>
  <c r="AN48" i="29"/>
  <c r="AN49" i="29"/>
  <c r="AN50" i="29"/>
  <c r="AG18" i="29"/>
  <c r="AH18" i="29" s="1"/>
  <c r="AG19" i="29"/>
  <c r="AI19" i="29" s="1"/>
  <c r="AG20" i="29"/>
  <c r="AG21" i="29"/>
  <c r="AG22" i="29"/>
  <c r="AH22" i="29" s="1"/>
  <c r="AG23" i="29"/>
  <c r="AI23" i="29" s="1"/>
  <c r="AG24" i="29"/>
  <c r="AH24" i="29" s="1"/>
  <c r="AG25" i="29"/>
  <c r="AI25" i="29" s="1"/>
  <c r="AG26" i="29"/>
  <c r="AG27" i="29"/>
  <c r="AH27" i="29" s="1"/>
  <c r="AG28" i="29"/>
  <c r="AG29" i="29"/>
  <c r="AH29" i="29" s="1"/>
  <c r="AG30" i="29"/>
  <c r="AI30" i="29" s="1"/>
  <c r="AG31" i="29"/>
  <c r="AI31" i="29" s="1"/>
  <c r="AG32" i="29"/>
  <c r="AG33" i="29"/>
  <c r="AG34" i="29"/>
  <c r="AG35" i="29"/>
  <c r="AG36" i="29"/>
  <c r="AG37" i="29"/>
  <c r="AG38" i="29"/>
  <c r="AG39" i="29"/>
  <c r="AG40" i="29"/>
  <c r="AG41" i="29"/>
  <c r="AG42" i="29"/>
  <c r="AG43" i="29"/>
  <c r="AG44" i="29"/>
  <c r="AG45" i="29"/>
  <c r="AG46" i="29"/>
  <c r="AG47" i="29"/>
  <c r="AG48" i="29"/>
  <c r="AG49" i="29"/>
  <c r="AG50" i="29"/>
  <c r="Z18" i="29"/>
  <c r="AA18" i="29" s="1"/>
  <c r="Z19" i="29"/>
  <c r="Z20" i="29"/>
  <c r="AA20" i="29" s="1"/>
  <c r="Z21" i="29"/>
  <c r="Z22" i="29"/>
  <c r="AA22" i="29" s="1"/>
  <c r="Z23" i="29"/>
  <c r="AB23" i="29" s="1"/>
  <c r="Z24" i="29"/>
  <c r="AA24" i="29" s="1"/>
  <c r="Z25" i="29"/>
  <c r="AB25" i="29" s="1"/>
  <c r="Z26" i="29"/>
  <c r="Z27" i="29"/>
  <c r="AA27" i="29" s="1"/>
  <c r="Z28" i="29"/>
  <c r="AB28" i="29" s="1"/>
  <c r="Z29" i="29"/>
  <c r="AA29" i="29" s="1"/>
  <c r="Z30" i="29"/>
  <c r="AB30" i="29" s="1"/>
  <c r="Z31" i="29"/>
  <c r="AB31" i="29" s="1"/>
  <c r="Z32" i="29"/>
  <c r="Z33" i="29"/>
  <c r="Z34" i="29"/>
  <c r="Z35" i="29"/>
  <c r="Z36" i="29"/>
  <c r="Z37" i="29"/>
  <c r="Z38" i="29"/>
  <c r="Z39" i="29"/>
  <c r="Z40" i="29"/>
  <c r="Z41" i="29"/>
  <c r="Z42" i="29"/>
  <c r="Z43" i="29"/>
  <c r="Z44" i="29"/>
  <c r="Z45" i="29"/>
  <c r="Z46" i="29"/>
  <c r="Z47" i="29"/>
  <c r="Z48" i="29"/>
  <c r="Z49" i="29"/>
  <c r="Z50" i="29"/>
  <c r="S18" i="29"/>
  <c r="T18" i="29" s="1"/>
  <c r="S19" i="29"/>
  <c r="U19" i="29" s="1"/>
  <c r="S20" i="29"/>
  <c r="T20" i="29" s="1"/>
  <c r="S21" i="29"/>
  <c r="U21" i="29" s="1"/>
  <c r="S22" i="29"/>
  <c r="T22" i="29" s="1"/>
  <c r="S23" i="29"/>
  <c r="U23" i="29" s="1"/>
  <c r="S24" i="29"/>
  <c r="T24" i="29" s="1"/>
  <c r="S25" i="29"/>
  <c r="U25" i="29" s="1"/>
  <c r="S26" i="29"/>
  <c r="S27" i="29"/>
  <c r="T27" i="29" s="1"/>
  <c r="S28" i="29"/>
  <c r="U28" i="29" s="1"/>
  <c r="S29" i="29"/>
  <c r="S30" i="29"/>
  <c r="U30" i="29" s="1"/>
  <c r="S31" i="29"/>
  <c r="U31" i="29" s="1"/>
  <c r="S32" i="29"/>
  <c r="S33" i="29"/>
  <c r="S34" i="29"/>
  <c r="S35" i="29"/>
  <c r="S36" i="29"/>
  <c r="S37" i="29"/>
  <c r="S38" i="29"/>
  <c r="S39" i="29"/>
  <c r="S40" i="29"/>
  <c r="S41" i="29"/>
  <c r="S42" i="29"/>
  <c r="S43" i="29"/>
  <c r="S44" i="29"/>
  <c r="S45" i="29"/>
  <c r="S46" i="29"/>
  <c r="S47" i="29"/>
  <c r="S48" i="29"/>
  <c r="S49" i="29"/>
  <c r="S50" i="29"/>
  <c r="L18" i="29"/>
  <c r="M18" i="29" s="1"/>
  <c r="L19" i="29"/>
  <c r="N19" i="29" s="1"/>
  <c r="L20" i="29"/>
  <c r="M20" i="29" s="1"/>
  <c r="L21" i="29"/>
  <c r="N21" i="29" s="1"/>
  <c r="L22" i="29"/>
  <c r="M22" i="29" s="1"/>
  <c r="L23" i="29"/>
  <c r="N23" i="29" s="1"/>
  <c r="L24" i="29"/>
  <c r="M24" i="29" s="1"/>
  <c r="L25" i="29"/>
  <c r="N25" i="29" s="1"/>
  <c r="L26" i="29"/>
  <c r="L27" i="29"/>
  <c r="M27" i="29" s="1"/>
  <c r="L28" i="29"/>
  <c r="N28" i="29" s="1"/>
  <c r="L29" i="29"/>
  <c r="L30" i="29"/>
  <c r="L31" i="29"/>
  <c r="N31" i="29" s="1"/>
  <c r="L32" i="29"/>
  <c r="L33" i="29"/>
  <c r="L34" i="29"/>
  <c r="L35" i="29"/>
  <c r="L36" i="29"/>
  <c r="L37" i="29"/>
  <c r="L38" i="29"/>
  <c r="L39" i="29"/>
  <c r="L40" i="29"/>
  <c r="L41" i="29"/>
  <c r="L42" i="29"/>
  <c r="L43" i="29"/>
  <c r="L44" i="29"/>
  <c r="L45" i="29"/>
  <c r="L46" i="29"/>
  <c r="L47" i="29"/>
  <c r="L48" i="29"/>
  <c r="L49" i="29"/>
  <c r="L50" i="29"/>
  <c r="E18" i="29"/>
  <c r="F18" i="29" s="1"/>
  <c r="E19" i="29"/>
  <c r="G19" i="29" s="1"/>
  <c r="E20" i="29"/>
  <c r="F20" i="29" s="1"/>
  <c r="E21" i="29"/>
  <c r="G21" i="29" s="1"/>
  <c r="E22" i="29"/>
  <c r="F22" i="29" s="1"/>
  <c r="E23" i="29"/>
  <c r="G23" i="29" s="1"/>
  <c r="E24" i="29"/>
  <c r="E25" i="29"/>
  <c r="E26" i="29"/>
  <c r="E27" i="29"/>
  <c r="F27" i="29" s="1"/>
  <c r="E28" i="29"/>
  <c r="G28" i="29" s="1"/>
  <c r="E29" i="29"/>
  <c r="F29" i="29" s="1"/>
  <c r="E30" i="29"/>
  <c r="G30" i="29" s="1"/>
  <c r="E31" i="29"/>
  <c r="G31" i="29" s="1"/>
  <c r="E32" i="29"/>
  <c r="E33" i="29"/>
  <c r="E34" i="29"/>
  <c r="E35" i="29"/>
  <c r="E36" i="29"/>
  <c r="E37" i="29"/>
  <c r="E38" i="29"/>
  <c r="E39" i="29"/>
  <c r="E40" i="29"/>
  <c r="E41" i="29"/>
  <c r="E42" i="29"/>
  <c r="E43" i="29"/>
  <c r="E44" i="29"/>
  <c r="E45" i="29"/>
  <c r="E46" i="29"/>
  <c r="E47" i="29"/>
  <c r="E48" i="29"/>
  <c r="E49" i="29"/>
  <c r="E50" i="29"/>
  <c r="E99" i="27"/>
  <c r="E100" i="27"/>
  <c r="E101" i="27"/>
  <c r="E102" i="27"/>
  <c r="E103" i="27"/>
  <c r="E104" i="27"/>
  <c r="E105" i="27"/>
  <c r="E106" i="27"/>
  <c r="E107" i="27"/>
  <c r="E108" i="27"/>
  <c r="E109" i="27"/>
  <c r="E110" i="27"/>
  <c r="E111" i="27"/>
  <c r="E112" i="27"/>
  <c r="E113" i="27"/>
  <c r="E114" i="27"/>
  <c r="E115" i="27"/>
  <c r="E116" i="27"/>
  <c r="E117" i="27"/>
  <c r="E118" i="27"/>
  <c r="E119" i="27"/>
  <c r="E120" i="27"/>
  <c r="E121" i="27"/>
  <c r="E122" i="27"/>
  <c r="E123" i="27"/>
  <c r="E124" i="27"/>
  <c r="E125" i="27"/>
  <c r="E126" i="27"/>
  <c r="E127" i="27"/>
  <c r="E128" i="27"/>
  <c r="E129" i="27"/>
  <c r="E130" i="27"/>
  <c r="E131" i="27"/>
  <c r="L99" i="27"/>
  <c r="L100" i="27"/>
  <c r="L101" i="27"/>
  <c r="L102" i="27"/>
  <c r="L103" i="27"/>
  <c r="L104" i="27"/>
  <c r="L105" i="27"/>
  <c r="L106" i="27"/>
  <c r="L107" i="27"/>
  <c r="L108" i="27"/>
  <c r="L109" i="27"/>
  <c r="L110" i="27"/>
  <c r="L111" i="27"/>
  <c r="L112" i="27"/>
  <c r="L113" i="27"/>
  <c r="L114" i="27"/>
  <c r="L115" i="27"/>
  <c r="L116" i="27"/>
  <c r="L117" i="27"/>
  <c r="L118" i="27"/>
  <c r="L119" i="27"/>
  <c r="L120" i="27"/>
  <c r="L121" i="27"/>
  <c r="L122" i="27"/>
  <c r="L123" i="27"/>
  <c r="L124" i="27"/>
  <c r="L125" i="27"/>
  <c r="L126" i="27"/>
  <c r="L127" i="27"/>
  <c r="L128" i="27"/>
  <c r="L129" i="27"/>
  <c r="L130" i="27"/>
  <c r="L131" i="27"/>
  <c r="S99" i="27"/>
  <c r="S100" i="27"/>
  <c r="S101" i="27"/>
  <c r="S102" i="27"/>
  <c r="S103" i="27"/>
  <c r="S104" i="27"/>
  <c r="S105" i="27"/>
  <c r="S106" i="27"/>
  <c r="S107" i="27"/>
  <c r="S108" i="27"/>
  <c r="S109" i="27"/>
  <c r="S110" i="27"/>
  <c r="S111" i="27"/>
  <c r="S112" i="27"/>
  <c r="S113" i="27"/>
  <c r="S114" i="27"/>
  <c r="S115" i="27"/>
  <c r="S116" i="27"/>
  <c r="S117" i="27"/>
  <c r="S118" i="27"/>
  <c r="S119" i="27"/>
  <c r="S120" i="27"/>
  <c r="S121" i="27"/>
  <c r="S122" i="27"/>
  <c r="S123" i="27"/>
  <c r="S124" i="27"/>
  <c r="S125" i="27"/>
  <c r="S126" i="27"/>
  <c r="S127" i="27"/>
  <c r="S128" i="27"/>
  <c r="S129" i="27"/>
  <c r="S130" i="27"/>
  <c r="S131" i="27"/>
  <c r="S57" i="27"/>
  <c r="S58" i="27"/>
  <c r="S59" i="27"/>
  <c r="S60" i="27"/>
  <c r="S61" i="27"/>
  <c r="S62" i="27"/>
  <c r="S63" i="27"/>
  <c r="S64" i="27"/>
  <c r="S65" i="27"/>
  <c r="S66" i="27"/>
  <c r="S67" i="27"/>
  <c r="S68" i="27"/>
  <c r="S69" i="27"/>
  <c r="S70" i="27"/>
  <c r="S71" i="27"/>
  <c r="S72" i="27"/>
  <c r="S73" i="27"/>
  <c r="S74" i="27"/>
  <c r="S75" i="27"/>
  <c r="S76" i="27"/>
  <c r="S77" i="27"/>
  <c r="S78" i="27"/>
  <c r="S79" i="27"/>
  <c r="S80" i="27"/>
  <c r="S81" i="27"/>
  <c r="S82" i="27"/>
  <c r="S83" i="27"/>
  <c r="S84" i="27"/>
  <c r="S85" i="27"/>
  <c r="S86" i="27"/>
  <c r="S87" i="27"/>
  <c r="S88" i="27"/>
  <c r="S89" i="27"/>
  <c r="L57" i="27"/>
  <c r="L58" i="27"/>
  <c r="L59" i="27"/>
  <c r="L60" i="27"/>
  <c r="L61" i="27"/>
  <c r="L62" i="27"/>
  <c r="L63" i="27"/>
  <c r="L64" i="27"/>
  <c r="L65" i="27"/>
  <c r="L66" i="27"/>
  <c r="L67" i="27"/>
  <c r="L68" i="27"/>
  <c r="L69" i="27"/>
  <c r="L70" i="27"/>
  <c r="L71" i="27"/>
  <c r="L72" i="27"/>
  <c r="L73" i="27"/>
  <c r="L74" i="27"/>
  <c r="L75" i="27"/>
  <c r="L76" i="27"/>
  <c r="L77" i="27"/>
  <c r="L78" i="27"/>
  <c r="L79" i="27"/>
  <c r="L80" i="27"/>
  <c r="L81" i="27"/>
  <c r="L82" i="27"/>
  <c r="L83" i="27"/>
  <c r="L84" i="27"/>
  <c r="L85" i="27"/>
  <c r="L86" i="27"/>
  <c r="L87" i="27"/>
  <c r="L88" i="27"/>
  <c r="L89" i="27"/>
  <c r="E57" i="27"/>
  <c r="E58" i="27"/>
  <c r="E59" i="27"/>
  <c r="E60" i="27"/>
  <c r="E61" i="27"/>
  <c r="E62" i="27"/>
  <c r="E63" i="27"/>
  <c r="E64" i="27"/>
  <c r="E65" i="27"/>
  <c r="E66" i="27"/>
  <c r="E67" i="27"/>
  <c r="E68" i="27"/>
  <c r="E69" i="27"/>
  <c r="E70" i="27"/>
  <c r="E71" i="27"/>
  <c r="E72" i="27"/>
  <c r="E73" i="27"/>
  <c r="E74" i="27"/>
  <c r="E75" i="27"/>
  <c r="E76" i="27"/>
  <c r="E77" i="27"/>
  <c r="E78" i="27"/>
  <c r="E79" i="27"/>
  <c r="E80" i="27"/>
  <c r="E81" i="27"/>
  <c r="E82" i="27"/>
  <c r="E83" i="27"/>
  <c r="E84" i="27"/>
  <c r="E85" i="27"/>
  <c r="E86" i="27"/>
  <c r="E87" i="27"/>
  <c r="E88" i="27"/>
  <c r="E89" i="27"/>
  <c r="BP18" i="27"/>
  <c r="BQ18" i="27" s="1"/>
  <c r="BP19" i="27"/>
  <c r="BR19" i="27" s="1"/>
  <c r="BP20" i="27"/>
  <c r="BP21" i="27"/>
  <c r="BP22" i="27"/>
  <c r="BP23" i="27"/>
  <c r="BP24" i="27"/>
  <c r="BP25" i="27"/>
  <c r="BR25" i="27" s="1"/>
  <c r="BP26" i="27"/>
  <c r="BP27" i="27"/>
  <c r="BQ27" i="27" s="1"/>
  <c r="BP28" i="27"/>
  <c r="BP29" i="27"/>
  <c r="BP30" i="27"/>
  <c r="BP31" i="27"/>
  <c r="BP32" i="27"/>
  <c r="BP33" i="27"/>
  <c r="BP34" i="27"/>
  <c r="BP35" i="27"/>
  <c r="BP36" i="27"/>
  <c r="BP37" i="27"/>
  <c r="BP38" i="27"/>
  <c r="BP39" i="27"/>
  <c r="BP40" i="27"/>
  <c r="BP41" i="27"/>
  <c r="BP42" i="27"/>
  <c r="BP43" i="27"/>
  <c r="BP44" i="27"/>
  <c r="BP45" i="27"/>
  <c r="BP46" i="27"/>
  <c r="BP47" i="27"/>
  <c r="BP48" i="27"/>
  <c r="BP49" i="27"/>
  <c r="BP50" i="27"/>
  <c r="AN18" i="27"/>
  <c r="AO18" i="27" s="1"/>
  <c r="AN19" i="27"/>
  <c r="AN20" i="27"/>
  <c r="AN21" i="27"/>
  <c r="AN22" i="27"/>
  <c r="AN23" i="27"/>
  <c r="AN24" i="27"/>
  <c r="AN25" i="27"/>
  <c r="AP25" i="27" s="1"/>
  <c r="AN26" i="27"/>
  <c r="AN27" i="27"/>
  <c r="AN28" i="27"/>
  <c r="AN29" i="27"/>
  <c r="AN30" i="27"/>
  <c r="AN31" i="27"/>
  <c r="AN32" i="27"/>
  <c r="AN33" i="27"/>
  <c r="AN34" i="27"/>
  <c r="AN35" i="27"/>
  <c r="AN36" i="27"/>
  <c r="AN37" i="27"/>
  <c r="AN38" i="27"/>
  <c r="AN39" i="27"/>
  <c r="AN40" i="27"/>
  <c r="AN41" i="27"/>
  <c r="AN42" i="27"/>
  <c r="AN43" i="27"/>
  <c r="AN44" i="27"/>
  <c r="AN45" i="27"/>
  <c r="AN46" i="27"/>
  <c r="AN47" i="27"/>
  <c r="AN48" i="27"/>
  <c r="AN49" i="27"/>
  <c r="AN50" i="27"/>
  <c r="AG18" i="27"/>
  <c r="AG19" i="27"/>
  <c r="AG20" i="27"/>
  <c r="AG21" i="27"/>
  <c r="AG22" i="27"/>
  <c r="AH22" i="27" s="1"/>
  <c r="AG23" i="27"/>
  <c r="AI23" i="27" s="1"/>
  <c r="AG24" i="27"/>
  <c r="AG25" i="27"/>
  <c r="AG26" i="27"/>
  <c r="AG27" i="27"/>
  <c r="AG28" i="27"/>
  <c r="AG29" i="27"/>
  <c r="AG30" i="27"/>
  <c r="AI30" i="27" s="1"/>
  <c r="AG31" i="27"/>
  <c r="AI31" i="27" s="1"/>
  <c r="AG32" i="27"/>
  <c r="AG33" i="27"/>
  <c r="AG34" i="27"/>
  <c r="AG35" i="27"/>
  <c r="AG36" i="27"/>
  <c r="AG37" i="27"/>
  <c r="AG38" i="27"/>
  <c r="AG39" i="27"/>
  <c r="AG40" i="27"/>
  <c r="AG41" i="27"/>
  <c r="AG42" i="27"/>
  <c r="AG43" i="27"/>
  <c r="AG44" i="27"/>
  <c r="AG45" i="27"/>
  <c r="AG46" i="27"/>
  <c r="AG47" i="27"/>
  <c r="AG48" i="27"/>
  <c r="AG49" i="27"/>
  <c r="AG50" i="27"/>
  <c r="Z18" i="27"/>
  <c r="Z19" i="27"/>
  <c r="Z20" i="27"/>
  <c r="Z21" i="27"/>
  <c r="Z22" i="27"/>
  <c r="Z23" i="27"/>
  <c r="Z24" i="27"/>
  <c r="Z25" i="27"/>
  <c r="Z26" i="27"/>
  <c r="Z27" i="27"/>
  <c r="Z28" i="27"/>
  <c r="Z29" i="27"/>
  <c r="Z30" i="27"/>
  <c r="Z31" i="27"/>
  <c r="Z32" i="27"/>
  <c r="Z33" i="27"/>
  <c r="Z34" i="27"/>
  <c r="Z35" i="27"/>
  <c r="Z36" i="27"/>
  <c r="Z37" i="27"/>
  <c r="Z38" i="27"/>
  <c r="Z39" i="27"/>
  <c r="Z40" i="27"/>
  <c r="Z41" i="27"/>
  <c r="Z42" i="27"/>
  <c r="Z43" i="27"/>
  <c r="Z44" i="27"/>
  <c r="Z45" i="27"/>
  <c r="Z46" i="27"/>
  <c r="Z47" i="27"/>
  <c r="Z48" i="27"/>
  <c r="Z49" i="27"/>
  <c r="Z50" i="27"/>
  <c r="S18" i="27"/>
  <c r="S19" i="27"/>
  <c r="S20" i="27"/>
  <c r="S21" i="27"/>
  <c r="S22" i="27"/>
  <c r="S23" i="27"/>
  <c r="S24" i="27"/>
  <c r="S25" i="27"/>
  <c r="S26" i="27"/>
  <c r="S27" i="27"/>
  <c r="S28" i="27"/>
  <c r="S29" i="27"/>
  <c r="T29" i="27" s="1"/>
  <c r="S30" i="27"/>
  <c r="S31" i="27"/>
  <c r="S32" i="27"/>
  <c r="S33" i="27"/>
  <c r="S34" i="27"/>
  <c r="S35" i="27"/>
  <c r="S36" i="27"/>
  <c r="S37" i="27"/>
  <c r="S38" i="27"/>
  <c r="S39" i="27"/>
  <c r="S40" i="27"/>
  <c r="S41" i="27"/>
  <c r="S42" i="27"/>
  <c r="S43" i="27"/>
  <c r="S44" i="27"/>
  <c r="S45" i="27"/>
  <c r="S46" i="27"/>
  <c r="S47" i="27"/>
  <c r="S48" i="27"/>
  <c r="S49" i="27"/>
  <c r="S50" i="27"/>
  <c r="L18" i="27"/>
  <c r="L19" i="27"/>
  <c r="L20" i="27"/>
  <c r="M20" i="27" s="1"/>
  <c r="L21" i="27"/>
  <c r="L22" i="27"/>
  <c r="L23" i="27"/>
  <c r="L24" i="27"/>
  <c r="L25" i="27"/>
  <c r="M25" i="27" s="1"/>
  <c r="L26" i="27"/>
  <c r="L27" i="27"/>
  <c r="M27" i="27" s="1"/>
  <c r="L28" i="27"/>
  <c r="N28" i="27" s="1"/>
  <c r="L29" i="27"/>
  <c r="L30" i="27"/>
  <c r="L31" i="27"/>
  <c r="L32" i="27"/>
  <c r="N32" i="27" s="1"/>
  <c r="L33" i="27"/>
  <c r="N33" i="27" s="1"/>
  <c r="L34" i="27"/>
  <c r="M34" i="27" s="1"/>
  <c r="L35" i="27"/>
  <c r="L36" i="27"/>
  <c r="L37" i="27"/>
  <c r="L38" i="27"/>
  <c r="L39" i="27"/>
  <c r="L40" i="27"/>
  <c r="L41" i="27"/>
  <c r="L42" i="27"/>
  <c r="L43" i="27"/>
  <c r="L44" i="27"/>
  <c r="L45" i="27"/>
  <c r="L46" i="27"/>
  <c r="L47" i="27"/>
  <c r="L48" i="27"/>
  <c r="L49" i="27"/>
  <c r="L50" i="27"/>
  <c r="E18" i="27"/>
  <c r="E19" i="27"/>
  <c r="E20" i="27"/>
  <c r="F20" i="27" s="1"/>
  <c r="E21" i="27"/>
  <c r="G21" i="27" s="1"/>
  <c r="E22" i="27"/>
  <c r="E23" i="27"/>
  <c r="G23" i="27" s="1"/>
  <c r="E24" i="27"/>
  <c r="G24" i="27" s="1"/>
  <c r="E25" i="27"/>
  <c r="F25" i="27" s="1"/>
  <c r="E26" i="27"/>
  <c r="E27" i="27"/>
  <c r="E28" i="27"/>
  <c r="G28" i="27" s="1"/>
  <c r="E29" i="27"/>
  <c r="F29" i="27" s="1"/>
  <c r="E30" i="27"/>
  <c r="E31" i="27"/>
  <c r="G31" i="27" s="1"/>
  <c r="E32" i="27"/>
  <c r="G32" i="27" s="1"/>
  <c r="E33" i="27"/>
  <c r="G33" i="27" s="1"/>
  <c r="E34" i="27"/>
  <c r="E35" i="27"/>
  <c r="E36" i="27"/>
  <c r="E37" i="27"/>
  <c r="E38" i="27"/>
  <c r="E39" i="27"/>
  <c r="E40" i="27"/>
  <c r="E41" i="27"/>
  <c r="E42" i="27"/>
  <c r="E43" i="27"/>
  <c r="E44" i="27"/>
  <c r="E45" i="27"/>
  <c r="E46" i="27"/>
  <c r="E47" i="27"/>
  <c r="E48" i="27"/>
  <c r="E49" i="27"/>
  <c r="E50" i="27"/>
  <c r="E99" i="17"/>
  <c r="E100" i="17"/>
  <c r="E101" i="17"/>
  <c r="E102" i="17"/>
  <c r="E103" i="17"/>
  <c r="E104" i="17"/>
  <c r="E105" i="17"/>
  <c r="E106" i="17"/>
  <c r="E107" i="17"/>
  <c r="E108" i="17"/>
  <c r="E109" i="17"/>
  <c r="E110" i="17"/>
  <c r="E111" i="17"/>
  <c r="E112" i="17"/>
  <c r="E113" i="17"/>
  <c r="E114" i="17"/>
  <c r="E115" i="17"/>
  <c r="E116" i="17"/>
  <c r="E117" i="17"/>
  <c r="E118" i="17"/>
  <c r="E119" i="17"/>
  <c r="E120" i="17"/>
  <c r="E121" i="17"/>
  <c r="E122" i="17"/>
  <c r="E123" i="17"/>
  <c r="E124" i="17"/>
  <c r="E125" i="17"/>
  <c r="E126" i="17"/>
  <c r="E127" i="17"/>
  <c r="E128" i="17"/>
  <c r="E129" i="17"/>
  <c r="E130" i="17"/>
  <c r="E131" i="17"/>
  <c r="L99" i="17"/>
  <c r="L100" i="17"/>
  <c r="L101" i="17"/>
  <c r="L102" i="17"/>
  <c r="L103" i="17"/>
  <c r="L104" i="17"/>
  <c r="L105" i="17"/>
  <c r="L106" i="17"/>
  <c r="L107" i="17"/>
  <c r="L108" i="17"/>
  <c r="L109" i="17"/>
  <c r="L110" i="17"/>
  <c r="L111" i="17"/>
  <c r="L112" i="17"/>
  <c r="L113" i="17"/>
  <c r="L114" i="17"/>
  <c r="L115" i="17"/>
  <c r="L116" i="17"/>
  <c r="L117" i="17"/>
  <c r="L118" i="17"/>
  <c r="L119" i="17"/>
  <c r="L120" i="17"/>
  <c r="L121" i="17"/>
  <c r="L122" i="17"/>
  <c r="L123" i="17"/>
  <c r="L124" i="17"/>
  <c r="L125" i="17"/>
  <c r="L126" i="17"/>
  <c r="L127" i="17"/>
  <c r="L128" i="17"/>
  <c r="L129" i="17"/>
  <c r="L130" i="17"/>
  <c r="L131" i="17"/>
  <c r="S99" i="17"/>
  <c r="S100" i="17"/>
  <c r="S101" i="17"/>
  <c r="S102" i="17"/>
  <c r="S103" i="17"/>
  <c r="S104" i="17"/>
  <c r="S105" i="17"/>
  <c r="S106" i="17"/>
  <c r="S107" i="17"/>
  <c r="S108" i="17"/>
  <c r="S109" i="17"/>
  <c r="S110" i="17"/>
  <c r="S111" i="17"/>
  <c r="S112" i="17"/>
  <c r="S113" i="17"/>
  <c r="S114" i="17"/>
  <c r="S115" i="17"/>
  <c r="S116" i="17"/>
  <c r="S117" i="17"/>
  <c r="S118" i="17"/>
  <c r="S119" i="17"/>
  <c r="S120" i="17"/>
  <c r="S121" i="17"/>
  <c r="S122" i="17"/>
  <c r="S123" i="17"/>
  <c r="S124" i="17"/>
  <c r="S125" i="17"/>
  <c r="S126" i="17"/>
  <c r="S127" i="17"/>
  <c r="S128" i="17"/>
  <c r="S129" i="17"/>
  <c r="S130" i="17"/>
  <c r="S131" i="17"/>
  <c r="S57" i="17"/>
  <c r="S58" i="17"/>
  <c r="S59" i="17"/>
  <c r="S60" i="17"/>
  <c r="S61" i="17"/>
  <c r="S62" i="17"/>
  <c r="S63" i="17"/>
  <c r="S64" i="17"/>
  <c r="S65" i="17"/>
  <c r="S66" i="17"/>
  <c r="S67" i="17"/>
  <c r="S68" i="17"/>
  <c r="S69" i="17"/>
  <c r="S70" i="17"/>
  <c r="S71" i="17"/>
  <c r="S72" i="17"/>
  <c r="S73" i="17"/>
  <c r="S74" i="17"/>
  <c r="S75" i="17"/>
  <c r="S76" i="17"/>
  <c r="S77" i="17"/>
  <c r="S78" i="17"/>
  <c r="S79" i="17"/>
  <c r="S80" i="17"/>
  <c r="S81" i="17"/>
  <c r="S82" i="17"/>
  <c r="S83" i="17"/>
  <c r="S84" i="17"/>
  <c r="S85" i="17"/>
  <c r="S86" i="17"/>
  <c r="S87" i="17"/>
  <c r="S88" i="17"/>
  <c r="S89" i="17"/>
  <c r="L57" i="17"/>
  <c r="L58" i="17"/>
  <c r="L59" i="17"/>
  <c r="L60" i="17"/>
  <c r="L61" i="17"/>
  <c r="L62" i="17"/>
  <c r="L63" i="17"/>
  <c r="L64" i="17"/>
  <c r="L65" i="17"/>
  <c r="L66" i="17"/>
  <c r="L67" i="17"/>
  <c r="L68" i="17"/>
  <c r="L69" i="17"/>
  <c r="L70" i="17"/>
  <c r="L71" i="17"/>
  <c r="L72" i="17"/>
  <c r="L73" i="17"/>
  <c r="L74" i="17"/>
  <c r="L75" i="17"/>
  <c r="L76" i="17"/>
  <c r="L77" i="17"/>
  <c r="L78" i="17"/>
  <c r="L79" i="17"/>
  <c r="L80" i="17"/>
  <c r="L81" i="17"/>
  <c r="L82" i="17"/>
  <c r="L83" i="17"/>
  <c r="L84" i="17"/>
  <c r="L85" i="17"/>
  <c r="L86" i="17"/>
  <c r="L87" i="17"/>
  <c r="L88" i="17"/>
  <c r="L89" i="17"/>
  <c r="BP18" i="17"/>
  <c r="BP19" i="17"/>
  <c r="BP20" i="17"/>
  <c r="BP21" i="17"/>
  <c r="BR21" i="17" s="1"/>
  <c r="BP22" i="17"/>
  <c r="BP23" i="17"/>
  <c r="BR23" i="17" s="1"/>
  <c r="BP24" i="17"/>
  <c r="BP25" i="17"/>
  <c r="BP26" i="17"/>
  <c r="BP27" i="17"/>
  <c r="BP28" i="17"/>
  <c r="BP29" i="17"/>
  <c r="BQ29" i="17" s="1"/>
  <c r="BP30" i="17"/>
  <c r="BP31" i="17"/>
  <c r="BR31" i="17" s="1"/>
  <c r="BP32" i="17"/>
  <c r="BP33" i="17"/>
  <c r="BP34" i="17"/>
  <c r="BP35" i="17"/>
  <c r="BP36" i="17"/>
  <c r="BP37" i="17"/>
  <c r="BP38" i="17"/>
  <c r="BP39" i="17"/>
  <c r="BP40" i="17"/>
  <c r="BP41" i="17"/>
  <c r="BP42" i="17"/>
  <c r="BP43" i="17"/>
  <c r="BP44" i="17"/>
  <c r="BP45" i="17"/>
  <c r="BP46" i="17"/>
  <c r="BP47" i="17"/>
  <c r="BP48" i="17"/>
  <c r="BP49" i="17"/>
  <c r="BP50" i="17"/>
  <c r="AN18" i="17"/>
  <c r="AN19" i="17"/>
  <c r="AN20" i="17"/>
  <c r="AN21" i="17"/>
  <c r="AN22" i="17"/>
  <c r="AO22" i="17" s="1"/>
  <c r="AN23" i="17"/>
  <c r="AN24" i="17"/>
  <c r="AN25" i="17"/>
  <c r="AN26" i="17"/>
  <c r="AN27" i="17"/>
  <c r="AN28" i="17"/>
  <c r="AN29" i="17"/>
  <c r="AN30" i="17"/>
  <c r="AP30" i="17" s="1"/>
  <c r="AN31" i="17"/>
  <c r="AN32" i="17"/>
  <c r="AN33" i="17"/>
  <c r="AN34" i="17"/>
  <c r="AN35" i="17"/>
  <c r="AN36" i="17"/>
  <c r="AN37" i="17"/>
  <c r="AN38" i="17"/>
  <c r="AN39" i="17"/>
  <c r="AN40" i="17"/>
  <c r="AN41" i="17"/>
  <c r="AN42" i="17"/>
  <c r="AN43" i="17"/>
  <c r="AN44" i="17"/>
  <c r="AN45" i="17"/>
  <c r="AN46" i="17"/>
  <c r="AN47" i="17"/>
  <c r="AN48" i="17"/>
  <c r="AN49" i="17"/>
  <c r="AN50" i="17"/>
  <c r="AG18" i="17"/>
  <c r="AG19" i="17"/>
  <c r="AG20" i="17"/>
  <c r="AG21" i="17"/>
  <c r="AI21" i="17" s="1"/>
  <c r="AG22" i="17"/>
  <c r="AG23" i="17"/>
  <c r="AG24" i="17"/>
  <c r="AG25" i="17"/>
  <c r="AG26" i="17"/>
  <c r="AG27" i="17"/>
  <c r="AG28" i="17"/>
  <c r="AG29" i="17"/>
  <c r="AH29" i="17" s="1"/>
  <c r="AG30" i="17"/>
  <c r="AG31" i="17"/>
  <c r="AG32" i="17"/>
  <c r="AG33" i="17"/>
  <c r="AG34" i="17"/>
  <c r="AG35" i="17"/>
  <c r="AG36" i="17"/>
  <c r="AG37" i="17"/>
  <c r="AG38" i="17"/>
  <c r="AG39" i="17"/>
  <c r="AG40" i="17"/>
  <c r="AG41" i="17"/>
  <c r="AG42" i="17"/>
  <c r="AG43" i="17"/>
  <c r="AG44" i="17"/>
  <c r="AG45" i="17"/>
  <c r="AG46" i="17"/>
  <c r="AG47" i="17"/>
  <c r="AG48" i="17"/>
  <c r="AG49" i="17"/>
  <c r="AG50" i="17"/>
  <c r="Z19" i="17"/>
  <c r="AB19" i="17" s="1"/>
  <c r="Z20" i="17"/>
  <c r="Z21" i="17"/>
  <c r="AB21" i="17" s="1"/>
  <c r="Z22" i="17"/>
  <c r="Z23" i="17"/>
  <c r="Z24" i="17"/>
  <c r="Z25" i="17"/>
  <c r="Z26" i="17"/>
  <c r="Z27" i="17"/>
  <c r="AA27" i="17" s="1"/>
  <c r="Z28" i="17"/>
  <c r="Z29" i="17"/>
  <c r="AA29" i="17" s="1"/>
  <c r="Z30" i="17"/>
  <c r="Z31" i="17"/>
  <c r="Z32" i="17"/>
  <c r="Z33" i="17"/>
  <c r="Z34" i="17"/>
  <c r="Z35" i="17"/>
  <c r="Z36" i="17"/>
  <c r="Z37" i="17"/>
  <c r="Z38" i="17"/>
  <c r="Z39" i="17"/>
  <c r="Z40" i="17"/>
  <c r="Z41" i="17"/>
  <c r="Z42" i="17"/>
  <c r="Z43" i="17"/>
  <c r="Z44" i="17"/>
  <c r="Z45" i="17"/>
  <c r="Z46" i="17"/>
  <c r="Z47" i="17"/>
  <c r="Z48" i="17"/>
  <c r="Z49" i="17"/>
  <c r="Z50" i="17"/>
  <c r="S18" i="17"/>
  <c r="S19" i="17"/>
  <c r="U19" i="17" s="1"/>
  <c r="S20" i="17"/>
  <c r="T20" i="17" s="1"/>
  <c r="S21" i="17"/>
  <c r="S22" i="17"/>
  <c r="S23" i="17"/>
  <c r="S24" i="17"/>
  <c r="T24" i="17" s="1"/>
  <c r="S25" i="17"/>
  <c r="S26" i="17"/>
  <c r="S27" i="17"/>
  <c r="T27" i="17" s="1"/>
  <c r="S28" i="17"/>
  <c r="U28" i="17" s="1"/>
  <c r="S29" i="17"/>
  <c r="S30" i="17"/>
  <c r="S31" i="17"/>
  <c r="S32" i="17"/>
  <c r="S33" i="17"/>
  <c r="S34" i="17"/>
  <c r="S35" i="17"/>
  <c r="S36" i="17"/>
  <c r="S37" i="17"/>
  <c r="S38" i="17"/>
  <c r="S39" i="17"/>
  <c r="S40" i="17"/>
  <c r="S41" i="17"/>
  <c r="S42" i="17"/>
  <c r="S43" i="17"/>
  <c r="S44" i="17"/>
  <c r="S45" i="17"/>
  <c r="S46" i="17"/>
  <c r="S47" i="17"/>
  <c r="S48" i="17"/>
  <c r="S49" i="17"/>
  <c r="S50" i="17"/>
  <c r="E33" i="17"/>
  <c r="E34" i="17"/>
  <c r="E35" i="17"/>
  <c r="E36" i="17"/>
  <c r="E37" i="17"/>
  <c r="E38" i="17"/>
  <c r="E39" i="17"/>
  <c r="E40" i="17"/>
  <c r="E41" i="17"/>
  <c r="E42" i="17"/>
  <c r="E43" i="17"/>
  <c r="E44" i="17"/>
  <c r="E45" i="17"/>
  <c r="E46" i="17"/>
  <c r="E47" i="17"/>
  <c r="E48" i="17"/>
  <c r="E49" i="17"/>
  <c r="E50" i="17"/>
  <c r="S99" i="28"/>
  <c r="S100" i="28"/>
  <c r="S101" i="28"/>
  <c r="S102" i="28"/>
  <c r="S103" i="28"/>
  <c r="S104" i="28"/>
  <c r="S105" i="28"/>
  <c r="S106" i="28"/>
  <c r="S107" i="28"/>
  <c r="S108" i="28"/>
  <c r="S109" i="28"/>
  <c r="S110" i="28"/>
  <c r="S111" i="28"/>
  <c r="S112" i="28"/>
  <c r="S113" i="28"/>
  <c r="S114" i="28"/>
  <c r="S115" i="28"/>
  <c r="S116" i="28"/>
  <c r="S117" i="28"/>
  <c r="S118" i="28"/>
  <c r="S119" i="28"/>
  <c r="S120" i="28"/>
  <c r="S121" i="28"/>
  <c r="S122" i="28"/>
  <c r="S123" i="28"/>
  <c r="S124" i="28"/>
  <c r="S125" i="28"/>
  <c r="S126" i="28"/>
  <c r="S127" i="28"/>
  <c r="S128" i="28"/>
  <c r="S129" i="28"/>
  <c r="S130" i="28"/>
  <c r="S131" i="28"/>
  <c r="L99" i="28"/>
  <c r="L100" i="28"/>
  <c r="L101" i="28"/>
  <c r="L102" i="28"/>
  <c r="L103" i="28"/>
  <c r="L104" i="28"/>
  <c r="L105" i="28"/>
  <c r="L106" i="28"/>
  <c r="L107" i="28"/>
  <c r="L108" i="28"/>
  <c r="L109" i="28"/>
  <c r="L110" i="28"/>
  <c r="L111" i="28"/>
  <c r="L112" i="28"/>
  <c r="L113" i="28"/>
  <c r="L114" i="28"/>
  <c r="L115" i="28"/>
  <c r="L116" i="28"/>
  <c r="L117" i="28"/>
  <c r="L118" i="28"/>
  <c r="L119" i="28"/>
  <c r="L120" i="28"/>
  <c r="L121" i="28"/>
  <c r="L122" i="28"/>
  <c r="L123" i="28"/>
  <c r="L124" i="28"/>
  <c r="L125" i="28"/>
  <c r="L126" i="28"/>
  <c r="L127" i="28"/>
  <c r="L128" i="28"/>
  <c r="L129" i="28"/>
  <c r="L130" i="28"/>
  <c r="L131" i="28"/>
  <c r="E99" i="28"/>
  <c r="E100" i="28"/>
  <c r="E101" i="28"/>
  <c r="E102" i="28"/>
  <c r="E103" i="28"/>
  <c r="E104" i="28"/>
  <c r="E105" i="28"/>
  <c r="E106" i="28"/>
  <c r="E107" i="28"/>
  <c r="E108" i="28"/>
  <c r="E109" i="28"/>
  <c r="E110" i="28"/>
  <c r="E111" i="28"/>
  <c r="E112" i="28"/>
  <c r="E113" i="28"/>
  <c r="E114" i="28"/>
  <c r="E115" i="28"/>
  <c r="E116" i="28"/>
  <c r="E117" i="28"/>
  <c r="E118" i="28"/>
  <c r="E119" i="28"/>
  <c r="E120" i="28"/>
  <c r="E121" i="28"/>
  <c r="E122" i="28"/>
  <c r="E123" i="28"/>
  <c r="E124" i="28"/>
  <c r="E125" i="28"/>
  <c r="E126" i="28"/>
  <c r="E127" i="28"/>
  <c r="E128" i="28"/>
  <c r="E129" i="28"/>
  <c r="E130" i="28"/>
  <c r="E131" i="28"/>
  <c r="G99" i="28"/>
  <c r="G100" i="28"/>
  <c r="G101" i="28"/>
  <c r="G102" i="28"/>
  <c r="G103" i="28"/>
  <c r="G104" i="28"/>
  <c r="G105" i="28"/>
  <c r="G106" i="28"/>
  <c r="G107" i="28"/>
  <c r="G108" i="28"/>
  <c r="G109" i="28"/>
  <c r="G110" i="28"/>
  <c r="G111" i="28"/>
  <c r="G112" i="28"/>
  <c r="G113" i="28"/>
  <c r="G114" i="28"/>
  <c r="G115" i="28"/>
  <c r="G116" i="28"/>
  <c r="G117" i="28"/>
  <c r="G118" i="28"/>
  <c r="G119" i="28"/>
  <c r="G120" i="28"/>
  <c r="G121" i="28"/>
  <c r="G122" i="28"/>
  <c r="G123" i="28"/>
  <c r="G124" i="28"/>
  <c r="G125" i="28"/>
  <c r="G126" i="28"/>
  <c r="G127" i="28"/>
  <c r="G128" i="28"/>
  <c r="G129" i="28"/>
  <c r="G130" i="28"/>
  <c r="G131" i="28"/>
  <c r="F99" i="28"/>
  <c r="F100" i="28"/>
  <c r="F101" i="28"/>
  <c r="F102" i="28"/>
  <c r="F103" i="28"/>
  <c r="F104" i="28"/>
  <c r="F105" i="28"/>
  <c r="F106" i="28"/>
  <c r="F107" i="28"/>
  <c r="F108" i="28"/>
  <c r="F109" i="28"/>
  <c r="F110" i="28"/>
  <c r="F111" i="28"/>
  <c r="F112" i="28"/>
  <c r="F113" i="28"/>
  <c r="F114" i="28"/>
  <c r="F115" i="28"/>
  <c r="F116" i="28"/>
  <c r="F117" i="28"/>
  <c r="F118" i="28"/>
  <c r="F119" i="28"/>
  <c r="F120" i="28"/>
  <c r="F121" i="28"/>
  <c r="F122" i="28"/>
  <c r="F123" i="28"/>
  <c r="F124" i="28"/>
  <c r="F125" i="28"/>
  <c r="F126" i="28"/>
  <c r="F127" i="28"/>
  <c r="F128" i="28"/>
  <c r="F129" i="28"/>
  <c r="F130" i="28"/>
  <c r="F131" i="28"/>
  <c r="N99" i="28"/>
  <c r="N100" i="28"/>
  <c r="N101" i="28"/>
  <c r="N102" i="28"/>
  <c r="N103" i="28"/>
  <c r="N104" i="28"/>
  <c r="N105" i="28"/>
  <c r="N106" i="28"/>
  <c r="N107" i="28"/>
  <c r="N108" i="28"/>
  <c r="N109" i="28"/>
  <c r="N110" i="28"/>
  <c r="N111" i="28"/>
  <c r="N112" i="28"/>
  <c r="N113" i="28"/>
  <c r="N114" i="28"/>
  <c r="N115" i="28"/>
  <c r="N116" i="28"/>
  <c r="N117" i="28"/>
  <c r="N118" i="28"/>
  <c r="N119" i="28"/>
  <c r="N120" i="28"/>
  <c r="N121" i="28"/>
  <c r="N122" i="28"/>
  <c r="N123" i="28"/>
  <c r="N124" i="28"/>
  <c r="N125" i="28"/>
  <c r="N126" i="28"/>
  <c r="N127" i="28"/>
  <c r="N128" i="28"/>
  <c r="N129" i="28"/>
  <c r="N130" i="28"/>
  <c r="N131" i="28"/>
  <c r="M99" i="28"/>
  <c r="M100" i="28"/>
  <c r="M101" i="28"/>
  <c r="M102" i="28"/>
  <c r="M103" i="28"/>
  <c r="M104" i="28"/>
  <c r="M105" i="28"/>
  <c r="M106" i="28"/>
  <c r="M107" i="28"/>
  <c r="M108" i="28"/>
  <c r="M109" i="28"/>
  <c r="M110" i="28"/>
  <c r="M111" i="28"/>
  <c r="M112" i="28"/>
  <c r="M113" i="28"/>
  <c r="M114" i="28"/>
  <c r="M115" i="28"/>
  <c r="M116" i="28"/>
  <c r="M117" i="28"/>
  <c r="M118" i="28"/>
  <c r="M119" i="28"/>
  <c r="M120" i="28"/>
  <c r="M121" i="28"/>
  <c r="M122" i="28"/>
  <c r="M123" i="28"/>
  <c r="M124" i="28"/>
  <c r="M125" i="28"/>
  <c r="M126" i="28"/>
  <c r="M127" i="28"/>
  <c r="M128" i="28"/>
  <c r="M129" i="28"/>
  <c r="M130" i="28"/>
  <c r="M131" i="28"/>
  <c r="U99" i="28"/>
  <c r="U100" i="28"/>
  <c r="U101" i="28"/>
  <c r="U102" i="28"/>
  <c r="U103" i="28"/>
  <c r="U104" i="28"/>
  <c r="U105" i="28"/>
  <c r="U106" i="28"/>
  <c r="U107" i="28"/>
  <c r="U108" i="28"/>
  <c r="U109" i="28"/>
  <c r="U110" i="28"/>
  <c r="U111" i="28"/>
  <c r="U112" i="28"/>
  <c r="U113" i="28"/>
  <c r="U114" i="28"/>
  <c r="U115" i="28"/>
  <c r="U116" i="28"/>
  <c r="U117" i="28"/>
  <c r="U118" i="28"/>
  <c r="U119" i="28"/>
  <c r="U120" i="28"/>
  <c r="U121" i="28"/>
  <c r="U122" i="28"/>
  <c r="U123" i="28"/>
  <c r="U124" i="28"/>
  <c r="U125" i="28"/>
  <c r="U126" i="28"/>
  <c r="U127" i="28"/>
  <c r="U128" i="28"/>
  <c r="U129" i="28"/>
  <c r="U130" i="28"/>
  <c r="U131" i="28"/>
  <c r="T99" i="28"/>
  <c r="T100" i="28"/>
  <c r="T101" i="28"/>
  <c r="T102" i="28"/>
  <c r="T103" i="28"/>
  <c r="T104" i="28"/>
  <c r="T105" i="28"/>
  <c r="T106" i="28"/>
  <c r="T107" i="28"/>
  <c r="T108" i="28"/>
  <c r="T109" i="28"/>
  <c r="T110" i="28"/>
  <c r="T111" i="28"/>
  <c r="T112" i="28"/>
  <c r="T113" i="28"/>
  <c r="T114" i="28"/>
  <c r="T115" i="28"/>
  <c r="T116" i="28"/>
  <c r="T117" i="28"/>
  <c r="T118" i="28"/>
  <c r="T119" i="28"/>
  <c r="T120" i="28"/>
  <c r="T121" i="28"/>
  <c r="T122" i="28"/>
  <c r="T123" i="28"/>
  <c r="T124" i="28"/>
  <c r="T125" i="28"/>
  <c r="T126" i="28"/>
  <c r="T127" i="28"/>
  <c r="T128" i="28"/>
  <c r="T129" i="28"/>
  <c r="T130" i="28"/>
  <c r="T131" i="28"/>
  <c r="U57" i="28"/>
  <c r="U58" i="28"/>
  <c r="U59" i="28"/>
  <c r="U60" i="28"/>
  <c r="U61" i="28"/>
  <c r="U62" i="28"/>
  <c r="U63" i="28"/>
  <c r="U64" i="28"/>
  <c r="U65" i="28"/>
  <c r="U66" i="28"/>
  <c r="U67" i="28"/>
  <c r="U68" i="28"/>
  <c r="U69" i="28"/>
  <c r="U70" i="28"/>
  <c r="U71" i="28"/>
  <c r="U72" i="28"/>
  <c r="U73" i="28"/>
  <c r="U74" i="28"/>
  <c r="U75" i="28"/>
  <c r="U76" i="28"/>
  <c r="U77" i="28"/>
  <c r="U78" i="28"/>
  <c r="U79" i="28"/>
  <c r="U80" i="28"/>
  <c r="U81" i="28"/>
  <c r="U82" i="28"/>
  <c r="U83" i="28"/>
  <c r="U84" i="28"/>
  <c r="U85" i="28"/>
  <c r="U86" i="28"/>
  <c r="U87" i="28"/>
  <c r="U88" i="28"/>
  <c r="U89" i="28"/>
  <c r="T57" i="28"/>
  <c r="T58" i="28"/>
  <c r="T59" i="28"/>
  <c r="T60" i="28"/>
  <c r="T61" i="28"/>
  <c r="T62" i="28"/>
  <c r="T63" i="28"/>
  <c r="T64" i="28"/>
  <c r="T65" i="28"/>
  <c r="T66" i="28"/>
  <c r="T67" i="28"/>
  <c r="T68" i="28"/>
  <c r="T69" i="28"/>
  <c r="T70" i="28"/>
  <c r="T71" i="28"/>
  <c r="T72" i="28"/>
  <c r="T73" i="28"/>
  <c r="T74" i="28"/>
  <c r="T75" i="28"/>
  <c r="T76" i="28"/>
  <c r="T77" i="28"/>
  <c r="T78" i="28"/>
  <c r="T79" i="28"/>
  <c r="T80" i="28"/>
  <c r="T81" i="28"/>
  <c r="T82" i="28"/>
  <c r="T83" i="28"/>
  <c r="T84" i="28"/>
  <c r="T85" i="28"/>
  <c r="T86" i="28"/>
  <c r="T87" i="28"/>
  <c r="T88" i="28"/>
  <c r="T89" i="28"/>
  <c r="N57" i="28"/>
  <c r="N58" i="28"/>
  <c r="N59" i="28"/>
  <c r="N60" i="28"/>
  <c r="N61" i="28"/>
  <c r="N62" i="28"/>
  <c r="N63" i="28"/>
  <c r="N64" i="28"/>
  <c r="N65" i="28"/>
  <c r="N66" i="28"/>
  <c r="N67" i="28"/>
  <c r="N68" i="28"/>
  <c r="N69" i="28"/>
  <c r="N70" i="28"/>
  <c r="N71" i="28"/>
  <c r="N72" i="28"/>
  <c r="N73" i="28"/>
  <c r="N74" i="28"/>
  <c r="N75" i="28"/>
  <c r="N76" i="28"/>
  <c r="N77" i="28"/>
  <c r="N78" i="28"/>
  <c r="N79" i="28"/>
  <c r="N80" i="28"/>
  <c r="N81" i="28"/>
  <c r="N82" i="28"/>
  <c r="N83" i="28"/>
  <c r="N84" i="28"/>
  <c r="N85" i="28"/>
  <c r="N86" i="28"/>
  <c r="N87" i="28"/>
  <c r="N88" i="28"/>
  <c r="N89" i="28"/>
  <c r="M57" i="28"/>
  <c r="M58" i="28"/>
  <c r="M59" i="28"/>
  <c r="M60" i="28"/>
  <c r="M61" i="28"/>
  <c r="M62" i="28"/>
  <c r="M63" i="28"/>
  <c r="M64" i="28"/>
  <c r="M65" i="28"/>
  <c r="M66" i="28"/>
  <c r="M67" i="28"/>
  <c r="M68" i="28"/>
  <c r="M69" i="28"/>
  <c r="M70" i="28"/>
  <c r="M71" i="28"/>
  <c r="M72" i="28"/>
  <c r="M73" i="28"/>
  <c r="M74" i="28"/>
  <c r="M75" i="28"/>
  <c r="M76" i="28"/>
  <c r="M77" i="28"/>
  <c r="M78" i="28"/>
  <c r="M79" i="28"/>
  <c r="M80" i="28"/>
  <c r="M81" i="28"/>
  <c r="M82" i="28"/>
  <c r="M83" i="28"/>
  <c r="M84" i="28"/>
  <c r="M85" i="28"/>
  <c r="M86" i="28"/>
  <c r="M87" i="28"/>
  <c r="M88" i="28"/>
  <c r="M89" i="28"/>
  <c r="G57" i="28"/>
  <c r="G58" i="28"/>
  <c r="G59" i="28"/>
  <c r="G60" i="28"/>
  <c r="G61" i="28"/>
  <c r="G62" i="28"/>
  <c r="G63" i="28"/>
  <c r="G64" i="28"/>
  <c r="G65" i="28"/>
  <c r="G66" i="28"/>
  <c r="G67" i="28"/>
  <c r="G68" i="28"/>
  <c r="G69" i="28"/>
  <c r="G70" i="28"/>
  <c r="G71" i="28"/>
  <c r="G72" i="28"/>
  <c r="G73" i="28"/>
  <c r="G74" i="28"/>
  <c r="G75" i="28"/>
  <c r="G76" i="28"/>
  <c r="G77" i="28"/>
  <c r="G78" i="28"/>
  <c r="G79" i="28"/>
  <c r="G80" i="28"/>
  <c r="G81" i="28"/>
  <c r="G82" i="28"/>
  <c r="G83" i="28"/>
  <c r="G84" i="28"/>
  <c r="G85" i="28"/>
  <c r="G86" i="28"/>
  <c r="G87" i="28"/>
  <c r="G88" i="28"/>
  <c r="G89" i="28"/>
  <c r="F57" i="28"/>
  <c r="F58" i="28"/>
  <c r="F59" i="28"/>
  <c r="F60" i="28"/>
  <c r="F61" i="28"/>
  <c r="F62" i="28"/>
  <c r="F63" i="28"/>
  <c r="F64" i="28"/>
  <c r="F65" i="28"/>
  <c r="F66" i="28"/>
  <c r="F67" i="28"/>
  <c r="F68" i="28"/>
  <c r="F69" i="28"/>
  <c r="F70" i="28"/>
  <c r="F71" i="28"/>
  <c r="F72" i="28"/>
  <c r="F73" i="28"/>
  <c r="F74" i="28"/>
  <c r="F75" i="28"/>
  <c r="F76" i="28"/>
  <c r="F77" i="28"/>
  <c r="F78" i="28"/>
  <c r="F79" i="28"/>
  <c r="F80" i="28"/>
  <c r="F81" i="28"/>
  <c r="F82" i="28"/>
  <c r="F83" i="28"/>
  <c r="F84" i="28"/>
  <c r="F85" i="28"/>
  <c r="F86" i="28"/>
  <c r="F87" i="28"/>
  <c r="F88" i="28"/>
  <c r="F89" i="28"/>
  <c r="S57" i="28"/>
  <c r="S58" i="28"/>
  <c r="S59" i="28"/>
  <c r="S60" i="28"/>
  <c r="S61" i="28"/>
  <c r="S62" i="28"/>
  <c r="S63" i="28"/>
  <c r="S64" i="28"/>
  <c r="S65" i="28"/>
  <c r="S66" i="28"/>
  <c r="S67" i="28"/>
  <c r="S68" i="28"/>
  <c r="S69" i="28"/>
  <c r="S70" i="28"/>
  <c r="S71" i="28"/>
  <c r="S72" i="28"/>
  <c r="S73" i="28"/>
  <c r="S74" i="28"/>
  <c r="S75" i="28"/>
  <c r="S76" i="28"/>
  <c r="S77" i="28"/>
  <c r="S78" i="28"/>
  <c r="S79" i="28"/>
  <c r="S80" i="28"/>
  <c r="S81" i="28"/>
  <c r="S82" i="28"/>
  <c r="S83" i="28"/>
  <c r="S84" i="28"/>
  <c r="S85" i="28"/>
  <c r="S86" i="28"/>
  <c r="S87" i="28"/>
  <c r="S88" i="28"/>
  <c r="S89" i="28"/>
  <c r="L57" i="28"/>
  <c r="L58" i="28"/>
  <c r="L59" i="28"/>
  <c r="L60" i="28"/>
  <c r="L61" i="28"/>
  <c r="L62" i="28"/>
  <c r="L63" i="28"/>
  <c r="L64" i="28"/>
  <c r="L65" i="28"/>
  <c r="L66" i="28"/>
  <c r="L67" i="28"/>
  <c r="L68" i="28"/>
  <c r="L69" i="28"/>
  <c r="L70" i="28"/>
  <c r="L71" i="28"/>
  <c r="L72" i="28"/>
  <c r="L73" i="28"/>
  <c r="L74" i="28"/>
  <c r="L75" i="28"/>
  <c r="L76" i="28"/>
  <c r="L77" i="28"/>
  <c r="L78" i="28"/>
  <c r="L79" i="28"/>
  <c r="L80" i="28"/>
  <c r="L81" i="28"/>
  <c r="L82" i="28"/>
  <c r="L83" i="28"/>
  <c r="L84" i="28"/>
  <c r="L85" i="28"/>
  <c r="L86" i="28"/>
  <c r="L87" i="28"/>
  <c r="L88" i="28"/>
  <c r="L89" i="28"/>
  <c r="E57" i="28"/>
  <c r="E58" i="28"/>
  <c r="E59" i="28"/>
  <c r="E60" i="28"/>
  <c r="E61" i="28"/>
  <c r="E62" i="28"/>
  <c r="E63" i="28"/>
  <c r="E64" i="28"/>
  <c r="E65" i="28"/>
  <c r="E66" i="28"/>
  <c r="E67" i="28"/>
  <c r="E68" i="28"/>
  <c r="E69" i="28"/>
  <c r="E70" i="28"/>
  <c r="E71" i="28"/>
  <c r="E72" i="28"/>
  <c r="E73" i="28"/>
  <c r="E74" i="28"/>
  <c r="E75" i="28"/>
  <c r="E76" i="28"/>
  <c r="E77" i="28"/>
  <c r="E78" i="28"/>
  <c r="E79" i="28"/>
  <c r="E80" i="28"/>
  <c r="E81" i="28"/>
  <c r="E82" i="28"/>
  <c r="E83" i="28"/>
  <c r="E84" i="28"/>
  <c r="E85" i="28"/>
  <c r="E86" i="28"/>
  <c r="E87" i="28"/>
  <c r="E88" i="28"/>
  <c r="E89" i="28"/>
  <c r="BP18" i="28"/>
  <c r="BP19" i="28"/>
  <c r="BP20" i="28"/>
  <c r="BP21" i="28"/>
  <c r="BP22" i="28"/>
  <c r="BP23" i="28"/>
  <c r="BR23" i="28" s="1"/>
  <c r="BP24" i="28"/>
  <c r="BP25" i="28"/>
  <c r="BP26" i="28"/>
  <c r="BP27" i="28"/>
  <c r="BP28" i="28"/>
  <c r="BP29" i="28"/>
  <c r="BP30" i="28"/>
  <c r="BP31" i="28"/>
  <c r="BR31" i="28" s="1"/>
  <c r="BP32" i="28"/>
  <c r="BP33" i="28"/>
  <c r="BP34" i="28"/>
  <c r="BP35" i="28"/>
  <c r="BP36" i="28"/>
  <c r="BP37" i="28"/>
  <c r="BP38" i="28"/>
  <c r="BP39" i="28"/>
  <c r="BP40" i="28"/>
  <c r="BP41" i="28"/>
  <c r="BP42" i="28"/>
  <c r="BP43" i="28"/>
  <c r="BP44" i="28"/>
  <c r="BP45" i="28"/>
  <c r="BP46" i="28"/>
  <c r="BP47" i="28"/>
  <c r="BP48" i="28"/>
  <c r="BP49" i="28"/>
  <c r="BP50" i="28"/>
  <c r="AN18" i="28"/>
  <c r="AN19" i="28"/>
  <c r="AN20" i="28"/>
  <c r="AO20" i="28" s="1"/>
  <c r="AN21" i="28"/>
  <c r="AN22" i="28"/>
  <c r="AO22" i="28" s="1"/>
  <c r="AN23" i="28"/>
  <c r="AN24" i="28"/>
  <c r="AN25" i="28"/>
  <c r="AN26" i="28"/>
  <c r="AN27" i="28"/>
  <c r="AN28" i="28"/>
  <c r="AN29" i="28"/>
  <c r="AN30" i="28"/>
  <c r="AN31" i="28"/>
  <c r="AN32" i="28"/>
  <c r="AN33" i="28"/>
  <c r="AN34" i="28"/>
  <c r="AN35" i="28"/>
  <c r="AN36" i="28"/>
  <c r="AN37" i="28"/>
  <c r="AN38" i="28"/>
  <c r="AN39" i="28"/>
  <c r="AN40" i="28"/>
  <c r="AN41" i="28"/>
  <c r="AN42" i="28"/>
  <c r="AN43" i="28"/>
  <c r="AN44" i="28"/>
  <c r="AN45" i="28"/>
  <c r="AN46" i="28"/>
  <c r="AN47" i="28"/>
  <c r="AN48" i="28"/>
  <c r="AN49" i="28"/>
  <c r="AN50" i="28"/>
  <c r="AG18" i="28"/>
  <c r="AH18" i="28" s="1"/>
  <c r="AG19" i="28"/>
  <c r="AI19" i="28" s="1"/>
  <c r="AG20" i="28"/>
  <c r="AG21" i="28"/>
  <c r="AG22" i="28"/>
  <c r="AG23" i="28"/>
  <c r="AG24" i="28"/>
  <c r="AG25" i="28"/>
  <c r="AG26" i="28"/>
  <c r="AG27" i="28"/>
  <c r="AH27" i="28" s="1"/>
  <c r="AG28" i="28"/>
  <c r="AG29" i="28"/>
  <c r="AG30" i="28"/>
  <c r="AG31" i="28"/>
  <c r="AG32" i="28"/>
  <c r="AG33" i="28"/>
  <c r="AG34" i="28"/>
  <c r="AG35" i="28"/>
  <c r="AG36" i="28"/>
  <c r="AG37" i="28"/>
  <c r="AG38" i="28"/>
  <c r="AG39" i="28"/>
  <c r="AG40" i="28"/>
  <c r="AG41" i="28"/>
  <c r="AG42" i="28"/>
  <c r="AG43" i="28"/>
  <c r="AG44" i="28"/>
  <c r="AG45" i="28"/>
  <c r="AG46" i="28"/>
  <c r="AG47" i="28"/>
  <c r="AG48" i="28"/>
  <c r="AG49" i="28"/>
  <c r="AG50" i="28"/>
  <c r="Z18" i="28"/>
  <c r="AA18" i="28" s="1"/>
  <c r="Z19" i="28"/>
  <c r="Z20" i="28"/>
  <c r="AA20" i="28" s="1"/>
  <c r="Z21" i="28"/>
  <c r="Z22" i="28"/>
  <c r="Z23" i="28"/>
  <c r="Z24" i="28"/>
  <c r="Z25" i="28"/>
  <c r="Z26" i="28"/>
  <c r="Z27" i="28"/>
  <c r="Z28" i="28"/>
  <c r="AB28" i="28" s="1"/>
  <c r="Z29" i="28"/>
  <c r="Z30" i="28"/>
  <c r="Z31" i="28"/>
  <c r="Z32" i="28"/>
  <c r="Z33" i="28"/>
  <c r="Z34" i="28"/>
  <c r="Z35" i="28"/>
  <c r="Z36" i="28"/>
  <c r="Z37" i="28"/>
  <c r="Z38" i="28"/>
  <c r="Z39" i="28"/>
  <c r="Z40" i="28"/>
  <c r="Z41" i="28"/>
  <c r="Z42" i="28"/>
  <c r="Z43" i="28"/>
  <c r="Z44" i="28"/>
  <c r="Z45" i="28"/>
  <c r="Z46" i="28"/>
  <c r="Z47" i="28"/>
  <c r="Z48" i="28"/>
  <c r="Z49" i="28"/>
  <c r="Z50" i="28"/>
  <c r="S18" i="28"/>
  <c r="S19" i="28"/>
  <c r="U19" i="28" s="1"/>
  <c r="S20" i="28"/>
  <c r="S21" i="28"/>
  <c r="S22" i="28"/>
  <c r="S23" i="28"/>
  <c r="S24" i="28"/>
  <c r="S25" i="28"/>
  <c r="S26" i="28"/>
  <c r="S27" i="28"/>
  <c r="T27" i="28" s="1"/>
  <c r="S28" i="28"/>
  <c r="S29" i="28"/>
  <c r="S30" i="28"/>
  <c r="S31" i="28"/>
  <c r="S32" i="28"/>
  <c r="S33" i="28"/>
  <c r="S34" i="28"/>
  <c r="S35" i="28"/>
  <c r="S36" i="28"/>
  <c r="S37" i="28"/>
  <c r="S38" i="28"/>
  <c r="S39" i="28"/>
  <c r="S40" i="28"/>
  <c r="S41" i="28"/>
  <c r="S42" i="28"/>
  <c r="S43" i="28"/>
  <c r="S44" i="28"/>
  <c r="S45" i="28"/>
  <c r="S46" i="28"/>
  <c r="S47" i="28"/>
  <c r="S48" i="28"/>
  <c r="S49" i="28"/>
  <c r="S50" i="28"/>
  <c r="L18" i="28"/>
  <c r="M18" i="28" s="1"/>
  <c r="L19" i="28"/>
  <c r="L20" i="28"/>
  <c r="L21" i="28"/>
  <c r="L22" i="28"/>
  <c r="L23" i="28"/>
  <c r="L24" i="28"/>
  <c r="L25" i="28"/>
  <c r="L26" i="28"/>
  <c r="L27" i="28"/>
  <c r="L28" i="28"/>
  <c r="L29" i="28"/>
  <c r="L30" i="28"/>
  <c r="L31" i="28"/>
  <c r="L32" i="28"/>
  <c r="L33" i="28"/>
  <c r="L34" i="28"/>
  <c r="L35" i="28"/>
  <c r="L36" i="28"/>
  <c r="L37" i="28"/>
  <c r="L38" i="28"/>
  <c r="L39" i="28"/>
  <c r="L40" i="28"/>
  <c r="L41" i="28"/>
  <c r="L42" i="28"/>
  <c r="L43" i="28"/>
  <c r="L44" i="28"/>
  <c r="L45" i="28"/>
  <c r="L46" i="28"/>
  <c r="L47" i="28"/>
  <c r="L48" i="28"/>
  <c r="L49" i="28"/>
  <c r="L50" i="28"/>
  <c r="E18" i="28"/>
  <c r="G18" i="28" s="1"/>
  <c r="E19" i="28"/>
  <c r="E20" i="28"/>
  <c r="E21" i="28"/>
  <c r="E22" i="28"/>
  <c r="E23" i="28"/>
  <c r="E24" i="28"/>
  <c r="E25" i="28"/>
  <c r="G25" i="28" s="1"/>
  <c r="E26" i="28"/>
  <c r="E27" i="28"/>
  <c r="E28" i="28"/>
  <c r="E29" i="28"/>
  <c r="E30" i="28"/>
  <c r="E31" i="28"/>
  <c r="E32" i="28"/>
  <c r="E33" i="28"/>
  <c r="E34" i="28"/>
  <c r="E35" i="28"/>
  <c r="E36" i="28"/>
  <c r="E37" i="28"/>
  <c r="E38" i="28"/>
  <c r="E39" i="28"/>
  <c r="E40" i="28"/>
  <c r="E41" i="28"/>
  <c r="E42" i="28"/>
  <c r="E43" i="28"/>
  <c r="E44" i="28"/>
  <c r="E45" i="28"/>
  <c r="E46" i="28"/>
  <c r="E47" i="28"/>
  <c r="E48" i="28"/>
  <c r="E49" i="28"/>
  <c r="E50" i="28"/>
  <c r="BR18" i="28"/>
  <c r="BR19" i="28"/>
  <c r="BR20" i="28"/>
  <c r="BR21" i="28"/>
  <c r="BR22" i="28"/>
  <c r="BR24" i="28"/>
  <c r="BR25" i="28"/>
  <c r="BR26" i="28"/>
  <c r="BR27" i="28"/>
  <c r="BR28" i="28"/>
  <c r="BR29" i="28"/>
  <c r="BR30" i="28"/>
  <c r="BR32" i="28"/>
  <c r="BR33" i="28"/>
  <c r="BR34" i="28"/>
  <c r="BR35" i="28"/>
  <c r="BR36" i="28"/>
  <c r="BR37" i="28"/>
  <c r="BR38" i="28"/>
  <c r="BR39" i="28"/>
  <c r="BR40" i="28"/>
  <c r="BR41" i="28"/>
  <c r="BR42" i="28"/>
  <c r="BR43" i="28"/>
  <c r="BR44" i="28"/>
  <c r="BR45" i="28"/>
  <c r="BR46" i="28"/>
  <c r="BR47" i="28"/>
  <c r="BR48" i="28"/>
  <c r="BR49" i="28"/>
  <c r="BR50" i="28"/>
  <c r="BQ18" i="28"/>
  <c r="BQ19" i="28"/>
  <c r="BQ20" i="28"/>
  <c r="BQ21" i="28"/>
  <c r="BQ22" i="28"/>
  <c r="BQ23" i="28"/>
  <c r="BQ24" i="28"/>
  <c r="BQ25" i="28"/>
  <c r="BQ26" i="28"/>
  <c r="BQ27" i="28"/>
  <c r="BQ28" i="28"/>
  <c r="BQ29" i="28"/>
  <c r="BQ30" i="28"/>
  <c r="BQ31" i="28"/>
  <c r="BQ32" i="28"/>
  <c r="BQ33" i="28"/>
  <c r="BQ34" i="28"/>
  <c r="BQ35" i="28"/>
  <c r="BQ36" i="28"/>
  <c r="BQ37" i="28"/>
  <c r="BQ38" i="28"/>
  <c r="BQ39" i="28"/>
  <c r="BQ40" i="28"/>
  <c r="BQ41" i="28"/>
  <c r="BQ42" i="28"/>
  <c r="BQ43" i="28"/>
  <c r="BQ44" i="28"/>
  <c r="BQ45" i="28"/>
  <c r="BQ46" i="28"/>
  <c r="BQ47" i="28"/>
  <c r="BQ48" i="28"/>
  <c r="BQ49" i="28"/>
  <c r="BQ50" i="28"/>
  <c r="AP18" i="28"/>
  <c r="AP19" i="28"/>
  <c r="AP20" i="28"/>
  <c r="AP21" i="28"/>
  <c r="AP22" i="28"/>
  <c r="AP23" i="28"/>
  <c r="AP24" i="28"/>
  <c r="AP25" i="28"/>
  <c r="AP26" i="28"/>
  <c r="AP27" i="28"/>
  <c r="AP28" i="28"/>
  <c r="AP29" i="28"/>
  <c r="AP30" i="28"/>
  <c r="AP31" i="28"/>
  <c r="AP32" i="28"/>
  <c r="AP33" i="28"/>
  <c r="AP34" i="28"/>
  <c r="AP35" i="28"/>
  <c r="AP36" i="28"/>
  <c r="AP37" i="28"/>
  <c r="AP38" i="28"/>
  <c r="AP39" i="28"/>
  <c r="AP40" i="28"/>
  <c r="AP41" i="28"/>
  <c r="AP42" i="28"/>
  <c r="AP43" i="28"/>
  <c r="AP44" i="28"/>
  <c r="AP45" i="28"/>
  <c r="AP46" i="28"/>
  <c r="AP47" i="28"/>
  <c r="AP48" i="28"/>
  <c r="AP49" i="28"/>
  <c r="AP50" i="28"/>
  <c r="AO18" i="28"/>
  <c r="AO19" i="28"/>
  <c r="AO21" i="28"/>
  <c r="AO23" i="28"/>
  <c r="AO24" i="28"/>
  <c r="AO25" i="28"/>
  <c r="AO26" i="28"/>
  <c r="AO27" i="28"/>
  <c r="AO28" i="28"/>
  <c r="AO29" i="28"/>
  <c r="AO30" i="28"/>
  <c r="AO31" i="28"/>
  <c r="AO32" i="28"/>
  <c r="AO33" i="28"/>
  <c r="AO34" i="28"/>
  <c r="AO35" i="28"/>
  <c r="AO36" i="28"/>
  <c r="AO37" i="28"/>
  <c r="AO38" i="28"/>
  <c r="AO39" i="28"/>
  <c r="AO40" i="28"/>
  <c r="AO41" i="28"/>
  <c r="AO42" i="28"/>
  <c r="AO43" i="28"/>
  <c r="AO44" i="28"/>
  <c r="AO45" i="28"/>
  <c r="AO46" i="28"/>
  <c r="AO47" i="28"/>
  <c r="AO48" i="28"/>
  <c r="AO49" i="28"/>
  <c r="AO50" i="28"/>
  <c r="AI18" i="28"/>
  <c r="AI20" i="28"/>
  <c r="AI21" i="28"/>
  <c r="AI22" i="28"/>
  <c r="AI23" i="28"/>
  <c r="AI24" i="28"/>
  <c r="AI25" i="28"/>
  <c r="AI26" i="28"/>
  <c r="AI27" i="28"/>
  <c r="AI28" i="28"/>
  <c r="AI29" i="28"/>
  <c r="AI30" i="28"/>
  <c r="AI31" i="28"/>
  <c r="AI32" i="28"/>
  <c r="AI33" i="28"/>
  <c r="AI34" i="28"/>
  <c r="AI35" i="28"/>
  <c r="AI36" i="28"/>
  <c r="AI37" i="28"/>
  <c r="AI38" i="28"/>
  <c r="AI39" i="28"/>
  <c r="AI40" i="28"/>
  <c r="AI41" i="28"/>
  <c r="AI42" i="28"/>
  <c r="AI43" i="28"/>
  <c r="AI44" i="28"/>
  <c r="AI45" i="28"/>
  <c r="AI46" i="28"/>
  <c r="AI47" i="28"/>
  <c r="AI48" i="28"/>
  <c r="AI49" i="28"/>
  <c r="AI50" i="28"/>
  <c r="AH19" i="28"/>
  <c r="AH20" i="28"/>
  <c r="AH21" i="28"/>
  <c r="AH22" i="28"/>
  <c r="AH23" i="28"/>
  <c r="AH24" i="28"/>
  <c r="AH25" i="28"/>
  <c r="AH26" i="28"/>
  <c r="AH28" i="28"/>
  <c r="AH29" i="28"/>
  <c r="AH30" i="28"/>
  <c r="AH31" i="28"/>
  <c r="AH32" i="28"/>
  <c r="AH33" i="28"/>
  <c r="AH34" i="28"/>
  <c r="AH35" i="28"/>
  <c r="AH36" i="28"/>
  <c r="AH37" i="28"/>
  <c r="AH38" i="28"/>
  <c r="AH39" i="28"/>
  <c r="AH40" i="28"/>
  <c r="AH41" i="28"/>
  <c r="AH42" i="28"/>
  <c r="AH43" i="28"/>
  <c r="AH44" i="28"/>
  <c r="AH45" i="28"/>
  <c r="AH46" i="28"/>
  <c r="AH47" i="28"/>
  <c r="AH48" i="28"/>
  <c r="AH49" i="28"/>
  <c r="AH50" i="28"/>
  <c r="AB18" i="28"/>
  <c r="AB19" i="28"/>
  <c r="AB20" i="28"/>
  <c r="AB21" i="28"/>
  <c r="AB22" i="28"/>
  <c r="AB23" i="28"/>
  <c r="AB24" i="28"/>
  <c r="AB25" i="28"/>
  <c r="AB26" i="28"/>
  <c r="AB27" i="28"/>
  <c r="AB29" i="28"/>
  <c r="AB30" i="28"/>
  <c r="AB31" i="28"/>
  <c r="AB32" i="28"/>
  <c r="AB33" i="28"/>
  <c r="AB34" i="28"/>
  <c r="AB35" i="28"/>
  <c r="AB36" i="28"/>
  <c r="AB37" i="28"/>
  <c r="AB38" i="28"/>
  <c r="AB39" i="28"/>
  <c r="AB40" i="28"/>
  <c r="AB41" i="28"/>
  <c r="AB42" i="28"/>
  <c r="AB43" i="28"/>
  <c r="AB44" i="28"/>
  <c r="AB45" i="28"/>
  <c r="AB46" i="28"/>
  <c r="AB47" i="28"/>
  <c r="AB48" i="28"/>
  <c r="AB49" i="28"/>
  <c r="AB50" i="28"/>
  <c r="AA19" i="28"/>
  <c r="AA21" i="28"/>
  <c r="AA22" i="28"/>
  <c r="AA23" i="28"/>
  <c r="AA24" i="28"/>
  <c r="AA25" i="28"/>
  <c r="AA26" i="28"/>
  <c r="AA27" i="28"/>
  <c r="AA28" i="28"/>
  <c r="AA29" i="28"/>
  <c r="AA30" i="28"/>
  <c r="AA31" i="28"/>
  <c r="AA32" i="28"/>
  <c r="AA33" i="28"/>
  <c r="AA34" i="28"/>
  <c r="AA35" i="28"/>
  <c r="AA36" i="28"/>
  <c r="AA37" i="28"/>
  <c r="AA38" i="28"/>
  <c r="AA39" i="28"/>
  <c r="AA40" i="28"/>
  <c r="AA41" i="28"/>
  <c r="AA42" i="28"/>
  <c r="AA43" i="28"/>
  <c r="AA44" i="28"/>
  <c r="AA45" i="28"/>
  <c r="AA46" i="28"/>
  <c r="AA47" i="28"/>
  <c r="AA48" i="28"/>
  <c r="AA49" i="28"/>
  <c r="AA50" i="28"/>
  <c r="U18" i="28"/>
  <c r="U20" i="28"/>
  <c r="U21" i="28"/>
  <c r="U22" i="28"/>
  <c r="U23" i="28"/>
  <c r="U24" i="28"/>
  <c r="U25" i="28"/>
  <c r="U26" i="28"/>
  <c r="U27" i="28"/>
  <c r="U28" i="28"/>
  <c r="U29" i="28"/>
  <c r="U30" i="28"/>
  <c r="U31" i="28"/>
  <c r="U32" i="28"/>
  <c r="U33" i="28"/>
  <c r="U34" i="28"/>
  <c r="U35" i="28"/>
  <c r="U36" i="28"/>
  <c r="U37" i="28"/>
  <c r="U38" i="28"/>
  <c r="U39" i="28"/>
  <c r="U40" i="28"/>
  <c r="U41" i="28"/>
  <c r="U42" i="28"/>
  <c r="U43" i="28"/>
  <c r="U44" i="28"/>
  <c r="U45" i="28"/>
  <c r="U46" i="28"/>
  <c r="U47" i="28"/>
  <c r="U48" i="28"/>
  <c r="U49" i="28"/>
  <c r="U50" i="28"/>
  <c r="T18" i="28"/>
  <c r="T19" i="28"/>
  <c r="T20" i="28"/>
  <c r="T21" i="28"/>
  <c r="T22" i="28"/>
  <c r="T23" i="28"/>
  <c r="T24" i="28"/>
  <c r="T25" i="28"/>
  <c r="T26" i="28"/>
  <c r="T28" i="28"/>
  <c r="T29" i="28"/>
  <c r="T30" i="28"/>
  <c r="T31" i="28"/>
  <c r="T32" i="28"/>
  <c r="T33" i="28"/>
  <c r="T34" i="28"/>
  <c r="T35" i="28"/>
  <c r="T36" i="28"/>
  <c r="T37" i="28"/>
  <c r="T38" i="28"/>
  <c r="T39" i="28"/>
  <c r="T40" i="28"/>
  <c r="T41" i="28"/>
  <c r="T42" i="28"/>
  <c r="T43" i="28"/>
  <c r="T44" i="28"/>
  <c r="T45" i="28"/>
  <c r="T46" i="28"/>
  <c r="T47" i="28"/>
  <c r="T48" i="28"/>
  <c r="T49" i="28"/>
  <c r="T50" i="28"/>
  <c r="N18" i="28"/>
  <c r="N19" i="28"/>
  <c r="N20" i="28"/>
  <c r="N21" i="28"/>
  <c r="N22" i="28"/>
  <c r="N23" i="28"/>
  <c r="N24" i="28"/>
  <c r="N25" i="28"/>
  <c r="N26" i="28"/>
  <c r="N27" i="28"/>
  <c r="N28" i="28"/>
  <c r="N29" i="28"/>
  <c r="N30" i="28"/>
  <c r="N31" i="28"/>
  <c r="N32" i="28"/>
  <c r="N33" i="28"/>
  <c r="N34" i="28"/>
  <c r="N35" i="28"/>
  <c r="N36" i="28"/>
  <c r="N37" i="28"/>
  <c r="N38" i="28"/>
  <c r="N39" i="28"/>
  <c r="N40" i="28"/>
  <c r="N41" i="28"/>
  <c r="N42" i="28"/>
  <c r="N43" i="28"/>
  <c r="N44" i="28"/>
  <c r="N45" i="28"/>
  <c r="N46" i="28"/>
  <c r="N47" i="28"/>
  <c r="N48" i="28"/>
  <c r="N49" i="28"/>
  <c r="N50" i="28"/>
  <c r="M19" i="28"/>
  <c r="M20" i="28"/>
  <c r="M21" i="28"/>
  <c r="M22" i="28"/>
  <c r="M23" i="28"/>
  <c r="M24" i="28"/>
  <c r="M25" i="28"/>
  <c r="M26" i="28"/>
  <c r="M27" i="28"/>
  <c r="M28" i="28"/>
  <c r="M29" i="28"/>
  <c r="M30" i="28"/>
  <c r="M31" i="28"/>
  <c r="M32" i="28"/>
  <c r="M33" i="28"/>
  <c r="M34" i="28"/>
  <c r="M35" i="28"/>
  <c r="M36" i="28"/>
  <c r="M37" i="28"/>
  <c r="M38" i="28"/>
  <c r="M39" i="28"/>
  <c r="M40" i="28"/>
  <c r="M41" i="28"/>
  <c r="M42" i="28"/>
  <c r="M43" i="28"/>
  <c r="M44" i="28"/>
  <c r="M45" i="28"/>
  <c r="M46" i="28"/>
  <c r="M47" i="28"/>
  <c r="M48" i="28"/>
  <c r="M49" i="28"/>
  <c r="M50" i="28"/>
  <c r="G19" i="28"/>
  <c r="G20" i="28"/>
  <c r="G21" i="28"/>
  <c r="G22" i="28"/>
  <c r="G23" i="28"/>
  <c r="G24" i="28"/>
  <c r="G26" i="28"/>
  <c r="G27" i="28"/>
  <c r="G28" i="28"/>
  <c r="G29" i="28"/>
  <c r="G30" i="28"/>
  <c r="G31" i="28"/>
  <c r="G32" i="28"/>
  <c r="G33" i="28"/>
  <c r="G34" i="28"/>
  <c r="G35" i="28"/>
  <c r="G36" i="28"/>
  <c r="G37" i="28"/>
  <c r="G38" i="28"/>
  <c r="G39" i="28"/>
  <c r="G40" i="28"/>
  <c r="G41" i="28"/>
  <c r="G42" i="28"/>
  <c r="G43" i="28"/>
  <c r="G44" i="28"/>
  <c r="G45" i="28"/>
  <c r="G46" i="28"/>
  <c r="G47" i="28"/>
  <c r="G48" i="28"/>
  <c r="G49" i="28"/>
  <c r="G50" i="28"/>
  <c r="F18" i="28"/>
  <c r="F19" i="28"/>
  <c r="F20" i="28"/>
  <c r="F21" i="28"/>
  <c r="F22" i="28"/>
  <c r="F23" i="28"/>
  <c r="F24" i="28"/>
  <c r="F25" i="28"/>
  <c r="F26" i="28"/>
  <c r="F27" i="28"/>
  <c r="F28" i="28"/>
  <c r="F29" i="28"/>
  <c r="F30" i="28"/>
  <c r="F31" i="28"/>
  <c r="F32" i="28"/>
  <c r="F33" i="28"/>
  <c r="F34" i="28"/>
  <c r="F35" i="28"/>
  <c r="F36" i="28"/>
  <c r="F37" i="28"/>
  <c r="F38" i="28"/>
  <c r="F39" i="28"/>
  <c r="F40" i="28"/>
  <c r="F41" i="28"/>
  <c r="F42" i="28"/>
  <c r="F43" i="28"/>
  <c r="F44" i="28"/>
  <c r="F45" i="28"/>
  <c r="F46" i="28"/>
  <c r="F47" i="28"/>
  <c r="F48" i="28"/>
  <c r="F49" i="28"/>
  <c r="F50" i="28"/>
  <c r="U99" i="27"/>
  <c r="U100" i="27"/>
  <c r="U101" i="27"/>
  <c r="U102" i="27"/>
  <c r="U103" i="27"/>
  <c r="U104" i="27"/>
  <c r="U105" i="27"/>
  <c r="U106" i="27"/>
  <c r="U107" i="27"/>
  <c r="U108" i="27"/>
  <c r="U109" i="27"/>
  <c r="U110" i="27"/>
  <c r="U111" i="27"/>
  <c r="U112" i="27"/>
  <c r="U113" i="27"/>
  <c r="U114" i="27"/>
  <c r="U115" i="27"/>
  <c r="U116" i="27"/>
  <c r="U117" i="27"/>
  <c r="U118" i="27"/>
  <c r="U119" i="27"/>
  <c r="U120" i="27"/>
  <c r="U121" i="27"/>
  <c r="U122" i="27"/>
  <c r="U123" i="27"/>
  <c r="U124" i="27"/>
  <c r="U125" i="27"/>
  <c r="U126" i="27"/>
  <c r="U127" i="27"/>
  <c r="U128" i="27"/>
  <c r="U129" i="27"/>
  <c r="U130" i="27"/>
  <c r="U131" i="27"/>
  <c r="T99" i="27"/>
  <c r="T100" i="27"/>
  <c r="T101" i="27"/>
  <c r="T102" i="27"/>
  <c r="T103" i="27"/>
  <c r="T104" i="27"/>
  <c r="T105" i="27"/>
  <c r="T106" i="27"/>
  <c r="T107" i="27"/>
  <c r="T108" i="27"/>
  <c r="T109" i="27"/>
  <c r="T110" i="27"/>
  <c r="T111" i="27"/>
  <c r="T112" i="27"/>
  <c r="T113" i="27"/>
  <c r="T114" i="27"/>
  <c r="T115" i="27"/>
  <c r="T116" i="27"/>
  <c r="T117" i="27"/>
  <c r="T118" i="27"/>
  <c r="T119" i="27"/>
  <c r="T120" i="27"/>
  <c r="T121" i="27"/>
  <c r="T122" i="27"/>
  <c r="T123" i="27"/>
  <c r="T124" i="27"/>
  <c r="T125" i="27"/>
  <c r="T126" i="27"/>
  <c r="T127" i="27"/>
  <c r="T128" i="27"/>
  <c r="T129" i="27"/>
  <c r="T130" i="27"/>
  <c r="T131" i="27"/>
  <c r="N99" i="27"/>
  <c r="N100" i="27"/>
  <c r="N101" i="27"/>
  <c r="N102" i="27"/>
  <c r="N103" i="27"/>
  <c r="N104" i="27"/>
  <c r="N105" i="27"/>
  <c r="N106" i="27"/>
  <c r="N107" i="27"/>
  <c r="N108" i="27"/>
  <c r="N109" i="27"/>
  <c r="N110" i="27"/>
  <c r="N111" i="27"/>
  <c r="N112" i="27"/>
  <c r="N113" i="27"/>
  <c r="N114" i="27"/>
  <c r="N115" i="27"/>
  <c r="N116" i="27"/>
  <c r="N117" i="27"/>
  <c r="N118" i="27"/>
  <c r="N119" i="27"/>
  <c r="N120" i="27"/>
  <c r="N121" i="27"/>
  <c r="N122" i="27"/>
  <c r="N123" i="27"/>
  <c r="N124" i="27"/>
  <c r="N125" i="27"/>
  <c r="N126" i="27"/>
  <c r="N127" i="27"/>
  <c r="N128" i="27"/>
  <c r="N129" i="27"/>
  <c r="N130" i="27"/>
  <c r="N131" i="27"/>
  <c r="M99" i="27"/>
  <c r="M100" i="27"/>
  <c r="M101" i="27"/>
  <c r="M102" i="27"/>
  <c r="M103" i="27"/>
  <c r="M104" i="27"/>
  <c r="M105" i="27"/>
  <c r="M106" i="27"/>
  <c r="M107" i="27"/>
  <c r="M108" i="27"/>
  <c r="M109" i="27"/>
  <c r="M110" i="27"/>
  <c r="M111" i="27"/>
  <c r="M112" i="27"/>
  <c r="M113" i="27"/>
  <c r="M114" i="27"/>
  <c r="M115" i="27"/>
  <c r="M116" i="27"/>
  <c r="M117" i="27"/>
  <c r="M118" i="27"/>
  <c r="M119" i="27"/>
  <c r="M120" i="27"/>
  <c r="M121" i="27"/>
  <c r="M122" i="27"/>
  <c r="M123" i="27"/>
  <c r="M124" i="27"/>
  <c r="M125" i="27"/>
  <c r="M126" i="27"/>
  <c r="M127" i="27"/>
  <c r="M128" i="27"/>
  <c r="M129" i="27"/>
  <c r="M130" i="27"/>
  <c r="M131" i="27"/>
  <c r="G99" i="27"/>
  <c r="G100" i="27"/>
  <c r="G101" i="27"/>
  <c r="G102" i="27"/>
  <c r="G103" i="27"/>
  <c r="G104" i="27"/>
  <c r="G105" i="27"/>
  <c r="G106" i="27"/>
  <c r="G107" i="27"/>
  <c r="G108" i="27"/>
  <c r="G109" i="27"/>
  <c r="G110" i="27"/>
  <c r="G111" i="27"/>
  <c r="G112" i="27"/>
  <c r="G113" i="27"/>
  <c r="G114" i="27"/>
  <c r="G115" i="27"/>
  <c r="G116" i="27"/>
  <c r="G117" i="27"/>
  <c r="G118" i="27"/>
  <c r="G119" i="27"/>
  <c r="G120" i="27"/>
  <c r="G121" i="27"/>
  <c r="G122" i="27"/>
  <c r="G123" i="27"/>
  <c r="G124" i="27"/>
  <c r="G125" i="27"/>
  <c r="G126" i="27"/>
  <c r="G127" i="27"/>
  <c r="G128" i="27"/>
  <c r="G129" i="27"/>
  <c r="G130" i="27"/>
  <c r="G131" i="27"/>
  <c r="F99" i="27"/>
  <c r="F100" i="27"/>
  <c r="F101" i="27"/>
  <c r="F102" i="27"/>
  <c r="F103" i="27"/>
  <c r="F104" i="27"/>
  <c r="F105" i="27"/>
  <c r="F106" i="27"/>
  <c r="F107" i="27"/>
  <c r="F108" i="27"/>
  <c r="F109" i="27"/>
  <c r="F110" i="27"/>
  <c r="F111" i="27"/>
  <c r="F112" i="27"/>
  <c r="F113" i="27"/>
  <c r="F114" i="27"/>
  <c r="F115" i="27"/>
  <c r="F116" i="27"/>
  <c r="F117" i="27"/>
  <c r="F118" i="27"/>
  <c r="F119" i="27"/>
  <c r="F120" i="27"/>
  <c r="F121" i="27"/>
  <c r="F122" i="27"/>
  <c r="F123" i="27"/>
  <c r="F124" i="27"/>
  <c r="F125" i="27"/>
  <c r="F126" i="27"/>
  <c r="F127" i="27"/>
  <c r="F128" i="27"/>
  <c r="F129" i="27"/>
  <c r="F130" i="27"/>
  <c r="F131" i="27"/>
  <c r="U57" i="27"/>
  <c r="U58" i="27"/>
  <c r="U59" i="27"/>
  <c r="U60" i="27"/>
  <c r="U61" i="27"/>
  <c r="U62" i="27"/>
  <c r="U63" i="27"/>
  <c r="U64" i="27"/>
  <c r="U65" i="27"/>
  <c r="U66" i="27"/>
  <c r="U67" i="27"/>
  <c r="U68" i="27"/>
  <c r="U69" i="27"/>
  <c r="U70" i="27"/>
  <c r="U71" i="27"/>
  <c r="U72" i="27"/>
  <c r="U73" i="27"/>
  <c r="U74" i="27"/>
  <c r="U75" i="27"/>
  <c r="U76" i="27"/>
  <c r="U77" i="27"/>
  <c r="U78" i="27"/>
  <c r="U79" i="27"/>
  <c r="U80" i="27"/>
  <c r="U81" i="27"/>
  <c r="U82" i="27"/>
  <c r="U83" i="27"/>
  <c r="U84" i="27"/>
  <c r="U85" i="27"/>
  <c r="U86" i="27"/>
  <c r="U87" i="27"/>
  <c r="U88" i="27"/>
  <c r="U89" i="27"/>
  <c r="T57" i="27"/>
  <c r="T58" i="27"/>
  <c r="T59" i="27"/>
  <c r="T60" i="27"/>
  <c r="T61" i="27"/>
  <c r="T62" i="27"/>
  <c r="T63" i="27"/>
  <c r="T64" i="27"/>
  <c r="T65" i="27"/>
  <c r="T66" i="27"/>
  <c r="T67" i="27"/>
  <c r="T68" i="27"/>
  <c r="T69" i="27"/>
  <c r="T70" i="27"/>
  <c r="T71" i="27"/>
  <c r="T72" i="27"/>
  <c r="T73" i="27"/>
  <c r="T74" i="27"/>
  <c r="T75" i="27"/>
  <c r="T76" i="27"/>
  <c r="T77" i="27"/>
  <c r="T78" i="27"/>
  <c r="T79" i="27"/>
  <c r="T80" i="27"/>
  <c r="T81" i="27"/>
  <c r="T82" i="27"/>
  <c r="T83" i="27"/>
  <c r="T84" i="27"/>
  <c r="T85" i="27"/>
  <c r="T86" i="27"/>
  <c r="T87" i="27"/>
  <c r="T88" i="27"/>
  <c r="T89" i="27"/>
  <c r="N57" i="27"/>
  <c r="N58" i="27"/>
  <c r="N59" i="27"/>
  <c r="N60" i="27"/>
  <c r="N61" i="27"/>
  <c r="N62" i="27"/>
  <c r="N63" i="27"/>
  <c r="N64" i="27"/>
  <c r="N65" i="27"/>
  <c r="N66" i="27"/>
  <c r="N67" i="27"/>
  <c r="N68" i="27"/>
  <c r="N69" i="27"/>
  <c r="N70" i="27"/>
  <c r="N71" i="27"/>
  <c r="N72" i="27"/>
  <c r="N73" i="27"/>
  <c r="N74" i="27"/>
  <c r="N75" i="27"/>
  <c r="N76" i="27"/>
  <c r="N77" i="27"/>
  <c r="N78" i="27"/>
  <c r="N79" i="27"/>
  <c r="N80" i="27"/>
  <c r="N81" i="27"/>
  <c r="N82" i="27"/>
  <c r="N83" i="27"/>
  <c r="N84" i="27"/>
  <c r="N85" i="27"/>
  <c r="N86" i="27"/>
  <c r="N87" i="27"/>
  <c r="N88" i="27"/>
  <c r="N89" i="27"/>
  <c r="M57" i="27"/>
  <c r="M58" i="27"/>
  <c r="M59" i="27"/>
  <c r="M60" i="27"/>
  <c r="M61" i="27"/>
  <c r="M62" i="27"/>
  <c r="M63" i="27"/>
  <c r="M64" i="27"/>
  <c r="M65" i="27"/>
  <c r="M66" i="27"/>
  <c r="M67" i="27"/>
  <c r="M68" i="27"/>
  <c r="M69" i="27"/>
  <c r="M70" i="27"/>
  <c r="M71" i="27"/>
  <c r="M72" i="27"/>
  <c r="M73" i="27"/>
  <c r="M74" i="27"/>
  <c r="M75" i="27"/>
  <c r="M76" i="27"/>
  <c r="M77" i="27"/>
  <c r="M78" i="27"/>
  <c r="M79" i="27"/>
  <c r="M80" i="27"/>
  <c r="M81" i="27"/>
  <c r="M82" i="27"/>
  <c r="M83" i="27"/>
  <c r="M84" i="27"/>
  <c r="M85" i="27"/>
  <c r="M86" i="27"/>
  <c r="M87" i="27"/>
  <c r="M88" i="27"/>
  <c r="M89" i="27"/>
  <c r="G57" i="27"/>
  <c r="G58" i="27"/>
  <c r="G59" i="27"/>
  <c r="G60" i="27"/>
  <c r="G61" i="27"/>
  <c r="G62" i="27"/>
  <c r="G63" i="27"/>
  <c r="G64" i="27"/>
  <c r="G65" i="27"/>
  <c r="G66" i="27"/>
  <c r="G67" i="27"/>
  <c r="G68" i="27"/>
  <c r="G69" i="27"/>
  <c r="G70" i="27"/>
  <c r="G71" i="27"/>
  <c r="G72" i="27"/>
  <c r="G73" i="27"/>
  <c r="G74" i="27"/>
  <c r="G75" i="27"/>
  <c r="G76" i="27"/>
  <c r="G77" i="27"/>
  <c r="G78" i="27"/>
  <c r="G79" i="27"/>
  <c r="G80" i="27"/>
  <c r="G81" i="27"/>
  <c r="G82" i="27"/>
  <c r="G83" i="27"/>
  <c r="G84" i="27"/>
  <c r="G85" i="27"/>
  <c r="G86" i="27"/>
  <c r="G87" i="27"/>
  <c r="G88" i="27"/>
  <c r="G89" i="27"/>
  <c r="F57" i="27"/>
  <c r="F58" i="27"/>
  <c r="F59" i="27"/>
  <c r="F60" i="27"/>
  <c r="F61" i="27"/>
  <c r="F62" i="27"/>
  <c r="F63" i="27"/>
  <c r="F64" i="27"/>
  <c r="F65" i="27"/>
  <c r="F66" i="27"/>
  <c r="F67" i="27"/>
  <c r="F68" i="27"/>
  <c r="F69" i="27"/>
  <c r="F70" i="27"/>
  <c r="F71" i="27"/>
  <c r="F72" i="27"/>
  <c r="F73" i="27"/>
  <c r="F74" i="27"/>
  <c r="F75" i="27"/>
  <c r="F76" i="27"/>
  <c r="F77" i="27"/>
  <c r="F78" i="27"/>
  <c r="F79" i="27"/>
  <c r="F80" i="27"/>
  <c r="F81" i="27"/>
  <c r="F82" i="27"/>
  <c r="F83" i="27"/>
  <c r="F84" i="27"/>
  <c r="F85" i="27"/>
  <c r="F86" i="27"/>
  <c r="F87" i="27"/>
  <c r="F88" i="27"/>
  <c r="F89" i="27"/>
  <c r="BR18" i="27"/>
  <c r="BR20" i="27"/>
  <c r="BR21" i="27"/>
  <c r="BR22" i="27"/>
  <c r="BR23" i="27"/>
  <c r="BR24" i="27"/>
  <c r="BR26" i="27"/>
  <c r="BR27" i="27"/>
  <c r="BR28" i="27"/>
  <c r="BR29" i="27"/>
  <c r="BR30" i="27"/>
  <c r="BR31" i="27"/>
  <c r="BR32" i="27"/>
  <c r="BR33" i="27"/>
  <c r="BR34" i="27"/>
  <c r="BR35" i="27"/>
  <c r="BR36" i="27"/>
  <c r="BR37" i="27"/>
  <c r="BR38" i="27"/>
  <c r="BR39" i="27"/>
  <c r="BR40" i="27"/>
  <c r="BR41" i="27"/>
  <c r="BR42" i="27"/>
  <c r="BR43" i="27"/>
  <c r="BR44" i="27"/>
  <c r="BR45" i="27"/>
  <c r="BR46" i="27"/>
  <c r="BR47" i="27"/>
  <c r="BR48" i="27"/>
  <c r="BR49" i="27"/>
  <c r="BR50" i="27"/>
  <c r="BQ19" i="27"/>
  <c r="BQ20" i="27"/>
  <c r="BQ21" i="27"/>
  <c r="BQ22" i="27"/>
  <c r="BQ23" i="27"/>
  <c r="BQ24" i="27"/>
  <c r="BQ25" i="27"/>
  <c r="BQ26" i="27"/>
  <c r="BQ28" i="27"/>
  <c r="BQ29" i="27"/>
  <c r="BQ30" i="27"/>
  <c r="BQ31" i="27"/>
  <c r="BQ32" i="27"/>
  <c r="BQ33" i="27"/>
  <c r="BQ34" i="27"/>
  <c r="BQ35" i="27"/>
  <c r="BQ36" i="27"/>
  <c r="BQ37" i="27"/>
  <c r="BQ38" i="27"/>
  <c r="BQ39" i="27"/>
  <c r="BQ40" i="27"/>
  <c r="BQ41" i="27"/>
  <c r="BQ42" i="27"/>
  <c r="BQ43" i="27"/>
  <c r="BQ44" i="27"/>
  <c r="BQ45" i="27"/>
  <c r="BQ46" i="27"/>
  <c r="BQ47" i="27"/>
  <c r="BQ48" i="27"/>
  <c r="BQ49" i="27"/>
  <c r="BQ50" i="27"/>
  <c r="AP18" i="27"/>
  <c r="AP19" i="27"/>
  <c r="AP20" i="27"/>
  <c r="AP21" i="27"/>
  <c r="AP22" i="27"/>
  <c r="AP23" i="27"/>
  <c r="AP24" i="27"/>
  <c r="AP26" i="27"/>
  <c r="AP27" i="27"/>
  <c r="AP28" i="27"/>
  <c r="AP29" i="27"/>
  <c r="AP30" i="27"/>
  <c r="AP31" i="27"/>
  <c r="AP32" i="27"/>
  <c r="AP33" i="27"/>
  <c r="AP34" i="27"/>
  <c r="AP35" i="27"/>
  <c r="AP36" i="27"/>
  <c r="AP37" i="27"/>
  <c r="AP38" i="27"/>
  <c r="AP39" i="27"/>
  <c r="AP40" i="27"/>
  <c r="AP41" i="27"/>
  <c r="AP42" i="27"/>
  <c r="AP43" i="27"/>
  <c r="AP44" i="27"/>
  <c r="AP45" i="27"/>
  <c r="AP46" i="27"/>
  <c r="AP47" i="27"/>
  <c r="AP48" i="27"/>
  <c r="AP49" i="27"/>
  <c r="AP50" i="27"/>
  <c r="AO19" i="27"/>
  <c r="AO20" i="27"/>
  <c r="AO21" i="27"/>
  <c r="AO22" i="27"/>
  <c r="AO23" i="27"/>
  <c r="AO24" i="27"/>
  <c r="AO25" i="27"/>
  <c r="AO26" i="27"/>
  <c r="AO27" i="27"/>
  <c r="AO28" i="27"/>
  <c r="AO29" i="27"/>
  <c r="AO30" i="27"/>
  <c r="AO31" i="27"/>
  <c r="AO32" i="27"/>
  <c r="AO33" i="27"/>
  <c r="AO34" i="27"/>
  <c r="AO35" i="27"/>
  <c r="AO36" i="27"/>
  <c r="AO37" i="27"/>
  <c r="AO38" i="27"/>
  <c r="AO39" i="27"/>
  <c r="AO40" i="27"/>
  <c r="AO41" i="27"/>
  <c r="AO42" i="27"/>
  <c r="AO43" i="27"/>
  <c r="AO44" i="27"/>
  <c r="AO45" i="27"/>
  <c r="AO46" i="27"/>
  <c r="AO47" i="27"/>
  <c r="AO48" i="27"/>
  <c r="AO49" i="27"/>
  <c r="AO50" i="27"/>
  <c r="AI18" i="27"/>
  <c r="AI19" i="27"/>
  <c r="AI20" i="27"/>
  <c r="AI21" i="27"/>
  <c r="AI22" i="27"/>
  <c r="AI24" i="27"/>
  <c r="AI25" i="27"/>
  <c r="AI26" i="27"/>
  <c r="AI27" i="27"/>
  <c r="AI28" i="27"/>
  <c r="AI29" i="27"/>
  <c r="AI32" i="27"/>
  <c r="AI33" i="27"/>
  <c r="AI34" i="27"/>
  <c r="AI35" i="27"/>
  <c r="AI36" i="27"/>
  <c r="AI37" i="27"/>
  <c r="AI38" i="27"/>
  <c r="AI39" i="27"/>
  <c r="AI40" i="27"/>
  <c r="AI41" i="27"/>
  <c r="AI42" i="27"/>
  <c r="AI43" i="27"/>
  <c r="AI44" i="27"/>
  <c r="AI45" i="27"/>
  <c r="AI46" i="27"/>
  <c r="AI47" i="27"/>
  <c r="AI48" i="27"/>
  <c r="AI49" i="27"/>
  <c r="AI50" i="27"/>
  <c r="AH18" i="27"/>
  <c r="AH19" i="27"/>
  <c r="AH20" i="27"/>
  <c r="AH21" i="27"/>
  <c r="AH23" i="27"/>
  <c r="AH24" i="27"/>
  <c r="AH25" i="27"/>
  <c r="AH26" i="27"/>
  <c r="AH27" i="27"/>
  <c r="AH28" i="27"/>
  <c r="AH29" i="27"/>
  <c r="AH30" i="27"/>
  <c r="AH31" i="27"/>
  <c r="AH32" i="27"/>
  <c r="AH33" i="27"/>
  <c r="AH34" i="27"/>
  <c r="AH35" i="27"/>
  <c r="AH36" i="27"/>
  <c r="AH37" i="27"/>
  <c r="AH38" i="27"/>
  <c r="AH39" i="27"/>
  <c r="AH40" i="27"/>
  <c r="AH41" i="27"/>
  <c r="AH42" i="27"/>
  <c r="AH43" i="27"/>
  <c r="AH44" i="27"/>
  <c r="AH45" i="27"/>
  <c r="AH46" i="27"/>
  <c r="AH47" i="27"/>
  <c r="AH48" i="27"/>
  <c r="AH49" i="27"/>
  <c r="AH50" i="27"/>
  <c r="AB18" i="27"/>
  <c r="AB19" i="27"/>
  <c r="AB20" i="27"/>
  <c r="AB21" i="27"/>
  <c r="AB22" i="27"/>
  <c r="AB23" i="27"/>
  <c r="AB24" i="27"/>
  <c r="AB25" i="27"/>
  <c r="AB26" i="27"/>
  <c r="AB27" i="27"/>
  <c r="AB28" i="27"/>
  <c r="AB29" i="27"/>
  <c r="AB30" i="27"/>
  <c r="AB31" i="27"/>
  <c r="AB32" i="27"/>
  <c r="AB33" i="27"/>
  <c r="AB34" i="27"/>
  <c r="AB35" i="27"/>
  <c r="AB36" i="27"/>
  <c r="AB37" i="27"/>
  <c r="AB38" i="27"/>
  <c r="AB39" i="27"/>
  <c r="AB40" i="27"/>
  <c r="AB41" i="27"/>
  <c r="AB42" i="27"/>
  <c r="AB43" i="27"/>
  <c r="AB44" i="27"/>
  <c r="AB45" i="27"/>
  <c r="AB46" i="27"/>
  <c r="AB47" i="27"/>
  <c r="AB48" i="27"/>
  <c r="AB49" i="27"/>
  <c r="AB50" i="27"/>
  <c r="AA18" i="27"/>
  <c r="AA19" i="27"/>
  <c r="AA20" i="27"/>
  <c r="AA21" i="27"/>
  <c r="AA22" i="27"/>
  <c r="AA23" i="27"/>
  <c r="AA24" i="27"/>
  <c r="AA25" i="27"/>
  <c r="AA26" i="27"/>
  <c r="AA27" i="27"/>
  <c r="AA28" i="27"/>
  <c r="AA29" i="27"/>
  <c r="AA30" i="27"/>
  <c r="AA31" i="27"/>
  <c r="AA32" i="27"/>
  <c r="AA33" i="27"/>
  <c r="AA34" i="27"/>
  <c r="AA35" i="27"/>
  <c r="AA36" i="27"/>
  <c r="AA37" i="27"/>
  <c r="AA38" i="27"/>
  <c r="AA39" i="27"/>
  <c r="AA40" i="27"/>
  <c r="AA41" i="27"/>
  <c r="AA42" i="27"/>
  <c r="AA43" i="27"/>
  <c r="AA44" i="27"/>
  <c r="AA45" i="27"/>
  <c r="AA46" i="27"/>
  <c r="AA47" i="27"/>
  <c r="AA48" i="27"/>
  <c r="AA49" i="27"/>
  <c r="AA50" i="27"/>
  <c r="U18" i="27"/>
  <c r="U19" i="27"/>
  <c r="U20" i="27"/>
  <c r="U21" i="27"/>
  <c r="U22" i="27"/>
  <c r="U23" i="27"/>
  <c r="U24" i="27"/>
  <c r="U25" i="27"/>
  <c r="U26" i="27"/>
  <c r="U27" i="27"/>
  <c r="U28" i="27"/>
  <c r="U29" i="27"/>
  <c r="U30" i="27"/>
  <c r="U31" i="27"/>
  <c r="U32" i="27"/>
  <c r="U33" i="27"/>
  <c r="U34" i="27"/>
  <c r="U35" i="27"/>
  <c r="U36" i="27"/>
  <c r="U37" i="27"/>
  <c r="U38" i="27"/>
  <c r="U39" i="27"/>
  <c r="U40" i="27"/>
  <c r="U41" i="27"/>
  <c r="U42" i="27"/>
  <c r="U43" i="27"/>
  <c r="U44" i="27"/>
  <c r="U45" i="27"/>
  <c r="U46" i="27"/>
  <c r="U47" i="27"/>
  <c r="U48" i="27"/>
  <c r="U49" i="27"/>
  <c r="U50" i="27"/>
  <c r="T18" i="27"/>
  <c r="T19" i="27"/>
  <c r="T20" i="27"/>
  <c r="T21" i="27"/>
  <c r="T22" i="27"/>
  <c r="T23" i="27"/>
  <c r="T24" i="27"/>
  <c r="T25" i="27"/>
  <c r="T26" i="27"/>
  <c r="T27" i="27"/>
  <c r="T28" i="27"/>
  <c r="T30" i="27"/>
  <c r="T31" i="27"/>
  <c r="T32" i="27"/>
  <c r="T33" i="27"/>
  <c r="T34" i="27"/>
  <c r="T35" i="27"/>
  <c r="T36" i="27"/>
  <c r="T37" i="27"/>
  <c r="T38" i="27"/>
  <c r="T39" i="27"/>
  <c r="T40" i="27"/>
  <c r="T41" i="27"/>
  <c r="T42" i="27"/>
  <c r="T43" i="27"/>
  <c r="T44" i="27"/>
  <c r="T45" i="27"/>
  <c r="T46" i="27"/>
  <c r="T47" i="27"/>
  <c r="T48" i="27"/>
  <c r="T49" i="27"/>
  <c r="T50" i="27"/>
  <c r="N18" i="27"/>
  <c r="N19" i="27"/>
  <c r="N20" i="27"/>
  <c r="N21" i="27"/>
  <c r="N22" i="27"/>
  <c r="N23" i="27"/>
  <c r="N24" i="27"/>
  <c r="N25" i="27"/>
  <c r="N26" i="27"/>
  <c r="N27" i="27"/>
  <c r="N29" i="27"/>
  <c r="N30" i="27"/>
  <c r="N31" i="27"/>
  <c r="N34" i="27"/>
  <c r="N35" i="27"/>
  <c r="N36" i="27"/>
  <c r="N37" i="27"/>
  <c r="N38" i="27"/>
  <c r="N39" i="27"/>
  <c r="N40" i="27"/>
  <c r="N41" i="27"/>
  <c r="N42" i="27"/>
  <c r="N43" i="27"/>
  <c r="N44" i="27"/>
  <c r="N45" i="27"/>
  <c r="N46" i="27"/>
  <c r="N47" i="27"/>
  <c r="N48" i="27"/>
  <c r="N49" i="27"/>
  <c r="N50" i="27"/>
  <c r="M18" i="27"/>
  <c r="M19" i="27"/>
  <c r="M21" i="27"/>
  <c r="M22" i="27"/>
  <c r="M23" i="27"/>
  <c r="M24" i="27"/>
  <c r="M26" i="27"/>
  <c r="M28" i="27"/>
  <c r="M29" i="27"/>
  <c r="M30" i="27"/>
  <c r="M31" i="27"/>
  <c r="M32" i="27"/>
  <c r="M33" i="27"/>
  <c r="M35" i="27"/>
  <c r="M36" i="27"/>
  <c r="M37" i="27"/>
  <c r="M38" i="27"/>
  <c r="M39" i="27"/>
  <c r="M40" i="27"/>
  <c r="M41" i="27"/>
  <c r="M42" i="27"/>
  <c r="M43" i="27"/>
  <c r="M44" i="27"/>
  <c r="M45" i="27"/>
  <c r="M46" i="27"/>
  <c r="M47" i="27"/>
  <c r="M48" i="27"/>
  <c r="M49" i="27"/>
  <c r="M50" i="27"/>
  <c r="G18" i="27"/>
  <c r="G19" i="27"/>
  <c r="G20" i="27"/>
  <c r="G22" i="27"/>
  <c r="G25" i="27"/>
  <c r="G26" i="27"/>
  <c r="G27" i="27"/>
  <c r="G29" i="27"/>
  <c r="G30" i="27"/>
  <c r="G34" i="27"/>
  <c r="G35" i="27"/>
  <c r="G36" i="27"/>
  <c r="G37" i="27"/>
  <c r="G38" i="27"/>
  <c r="G39" i="27"/>
  <c r="G40" i="27"/>
  <c r="G41" i="27"/>
  <c r="G42" i="27"/>
  <c r="G43" i="27"/>
  <c r="G44" i="27"/>
  <c r="G45" i="27"/>
  <c r="G46" i="27"/>
  <c r="G47" i="27"/>
  <c r="G48" i="27"/>
  <c r="G49" i="27"/>
  <c r="G50" i="27"/>
  <c r="F18" i="27"/>
  <c r="F19" i="27"/>
  <c r="F21" i="27"/>
  <c r="F22" i="27"/>
  <c r="F23" i="27"/>
  <c r="F24" i="27"/>
  <c r="F26" i="27"/>
  <c r="F27" i="27"/>
  <c r="F28" i="27"/>
  <c r="F30" i="27"/>
  <c r="F31" i="27"/>
  <c r="F32" i="27"/>
  <c r="F33" i="27"/>
  <c r="F34" i="27"/>
  <c r="F35" i="27"/>
  <c r="F36" i="27"/>
  <c r="F37" i="27"/>
  <c r="F38" i="27"/>
  <c r="F39" i="27"/>
  <c r="F40" i="27"/>
  <c r="F41" i="27"/>
  <c r="F42" i="27"/>
  <c r="F43" i="27"/>
  <c r="F44" i="27"/>
  <c r="F45" i="27"/>
  <c r="F46" i="27"/>
  <c r="F47" i="27"/>
  <c r="F48" i="27"/>
  <c r="F49" i="27"/>
  <c r="F50" i="27"/>
  <c r="G99" i="17"/>
  <c r="G100" i="17"/>
  <c r="G101" i="17"/>
  <c r="G102" i="17"/>
  <c r="G103" i="17"/>
  <c r="G104" i="17"/>
  <c r="G105" i="17"/>
  <c r="G106" i="17"/>
  <c r="G107" i="17"/>
  <c r="G108" i="17"/>
  <c r="G109" i="17"/>
  <c r="G110" i="17"/>
  <c r="G111" i="17"/>
  <c r="G112" i="17"/>
  <c r="G113" i="17"/>
  <c r="G114" i="17"/>
  <c r="G115" i="17"/>
  <c r="G116" i="17"/>
  <c r="G117" i="17"/>
  <c r="G118" i="17"/>
  <c r="G119" i="17"/>
  <c r="G120" i="17"/>
  <c r="G121" i="17"/>
  <c r="G122" i="17"/>
  <c r="G123" i="17"/>
  <c r="G124" i="17"/>
  <c r="G125" i="17"/>
  <c r="G126" i="17"/>
  <c r="G127" i="17"/>
  <c r="G128" i="17"/>
  <c r="G129" i="17"/>
  <c r="G130" i="17"/>
  <c r="G131" i="17"/>
  <c r="F99" i="17"/>
  <c r="F100" i="17"/>
  <c r="F101" i="17"/>
  <c r="F102" i="17"/>
  <c r="F103" i="17"/>
  <c r="F104" i="17"/>
  <c r="F105" i="17"/>
  <c r="F106" i="17"/>
  <c r="F107" i="17"/>
  <c r="F108" i="17"/>
  <c r="F109" i="17"/>
  <c r="F110" i="17"/>
  <c r="F111" i="17"/>
  <c r="F112" i="17"/>
  <c r="F113" i="17"/>
  <c r="F114" i="17"/>
  <c r="F115" i="17"/>
  <c r="F116" i="17"/>
  <c r="F117" i="17"/>
  <c r="F118" i="17"/>
  <c r="F119" i="17"/>
  <c r="F120" i="17"/>
  <c r="F121" i="17"/>
  <c r="F122" i="17"/>
  <c r="F123" i="17"/>
  <c r="F124" i="17"/>
  <c r="F125" i="17"/>
  <c r="F126" i="17"/>
  <c r="F127" i="17"/>
  <c r="F128" i="17"/>
  <c r="F129" i="17"/>
  <c r="F130" i="17"/>
  <c r="F131" i="17"/>
  <c r="M99" i="17"/>
  <c r="M100" i="17"/>
  <c r="M101" i="17"/>
  <c r="M102" i="17"/>
  <c r="M103" i="17"/>
  <c r="M104" i="17"/>
  <c r="M105" i="17"/>
  <c r="M106" i="17"/>
  <c r="M107" i="17"/>
  <c r="M108" i="17"/>
  <c r="M109" i="17"/>
  <c r="M110" i="17"/>
  <c r="M111" i="17"/>
  <c r="M112" i="17"/>
  <c r="M113" i="17"/>
  <c r="M114" i="17"/>
  <c r="M115" i="17"/>
  <c r="M116" i="17"/>
  <c r="M117" i="17"/>
  <c r="M118" i="17"/>
  <c r="M119" i="17"/>
  <c r="M120" i="17"/>
  <c r="M121" i="17"/>
  <c r="M122" i="17"/>
  <c r="M123" i="17"/>
  <c r="M124" i="17"/>
  <c r="M125" i="17"/>
  <c r="M126" i="17"/>
  <c r="M127" i="17"/>
  <c r="M128" i="17"/>
  <c r="M129" i="17"/>
  <c r="M130" i="17"/>
  <c r="M131" i="17"/>
  <c r="N99" i="17"/>
  <c r="N100" i="17"/>
  <c r="N101" i="17"/>
  <c r="N102" i="17"/>
  <c r="N103" i="17"/>
  <c r="N104" i="17"/>
  <c r="N105" i="17"/>
  <c r="N106" i="17"/>
  <c r="N107" i="17"/>
  <c r="N108" i="17"/>
  <c r="N109" i="17"/>
  <c r="N110" i="17"/>
  <c r="N111" i="17"/>
  <c r="N112" i="17"/>
  <c r="N113" i="17"/>
  <c r="N114" i="17"/>
  <c r="N115" i="17"/>
  <c r="N116" i="17"/>
  <c r="N117" i="17"/>
  <c r="N118" i="17"/>
  <c r="N119" i="17"/>
  <c r="N120" i="17"/>
  <c r="N121" i="17"/>
  <c r="N122" i="17"/>
  <c r="N123" i="17"/>
  <c r="N124" i="17"/>
  <c r="N125" i="17"/>
  <c r="N126" i="17"/>
  <c r="N127" i="17"/>
  <c r="N128" i="17"/>
  <c r="N129" i="17"/>
  <c r="N130" i="17"/>
  <c r="N131" i="17"/>
  <c r="U99" i="17"/>
  <c r="U100" i="17"/>
  <c r="U101" i="17"/>
  <c r="U102" i="17"/>
  <c r="U103" i="17"/>
  <c r="U104" i="17"/>
  <c r="U105" i="17"/>
  <c r="U106" i="17"/>
  <c r="U107" i="17"/>
  <c r="U108" i="17"/>
  <c r="U109" i="17"/>
  <c r="U110" i="17"/>
  <c r="U111" i="17"/>
  <c r="U112" i="17"/>
  <c r="U113" i="17"/>
  <c r="U114" i="17"/>
  <c r="U115" i="17"/>
  <c r="U116" i="17"/>
  <c r="U117" i="17"/>
  <c r="U118" i="17"/>
  <c r="U119" i="17"/>
  <c r="U120" i="17"/>
  <c r="U121" i="17"/>
  <c r="U122" i="17"/>
  <c r="U123" i="17"/>
  <c r="U124" i="17"/>
  <c r="U125" i="17"/>
  <c r="U126" i="17"/>
  <c r="U127" i="17"/>
  <c r="U128" i="17"/>
  <c r="U129" i="17"/>
  <c r="U130" i="17"/>
  <c r="U131" i="17"/>
  <c r="T99" i="17"/>
  <c r="T100" i="17"/>
  <c r="T101" i="17"/>
  <c r="T102" i="17"/>
  <c r="T103" i="17"/>
  <c r="T104" i="17"/>
  <c r="T105" i="17"/>
  <c r="T106" i="17"/>
  <c r="T107" i="17"/>
  <c r="T108" i="17"/>
  <c r="T109" i="17"/>
  <c r="T110" i="17"/>
  <c r="T111" i="17"/>
  <c r="T112" i="17"/>
  <c r="T113" i="17"/>
  <c r="T114" i="17"/>
  <c r="T115" i="17"/>
  <c r="T116" i="17"/>
  <c r="T117" i="17"/>
  <c r="T118" i="17"/>
  <c r="T119" i="17"/>
  <c r="T120" i="17"/>
  <c r="T121" i="17"/>
  <c r="T122" i="17"/>
  <c r="T123" i="17"/>
  <c r="T124" i="17"/>
  <c r="T125" i="17"/>
  <c r="T126" i="17"/>
  <c r="T127" i="17"/>
  <c r="T128" i="17"/>
  <c r="T129" i="17"/>
  <c r="T130" i="17"/>
  <c r="T131" i="17"/>
  <c r="U57" i="17"/>
  <c r="U58" i="17"/>
  <c r="U59" i="17"/>
  <c r="U60" i="17"/>
  <c r="U61" i="17"/>
  <c r="U62" i="17"/>
  <c r="U63" i="17"/>
  <c r="U64" i="17"/>
  <c r="U65" i="17"/>
  <c r="U66" i="17"/>
  <c r="U67" i="17"/>
  <c r="U68" i="17"/>
  <c r="U69" i="17"/>
  <c r="U70" i="17"/>
  <c r="U71" i="17"/>
  <c r="U72" i="17"/>
  <c r="U73" i="17"/>
  <c r="U74" i="17"/>
  <c r="U75" i="17"/>
  <c r="U76" i="17"/>
  <c r="U77" i="17"/>
  <c r="U78" i="17"/>
  <c r="U79" i="17"/>
  <c r="U80" i="17"/>
  <c r="U81" i="17"/>
  <c r="U82" i="17"/>
  <c r="U83" i="17"/>
  <c r="U84" i="17"/>
  <c r="U85" i="17"/>
  <c r="U86" i="17"/>
  <c r="U87" i="17"/>
  <c r="U88" i="17"/>
  <c r="U89" i="17"/>
  <c r="T57" i="17"/>
  <c r="T58" i="17"/>
  <c r="T59" i="17"/>
  <c r="T60" i="17"/>
  <c r="T61" i="17"/>
  <c r="T62" i="17"/>
  <c r="T63" i="17"/>
  <c r="T64" i="17"/>
  <c r="T65" i="17"/>
  <c r="T66" i="17"/>
  <c r="T67" i="17"/>
  <c r="T68" i="17"/>
  <c r="T69" i="17"/>
  <c r="T70" i="17"/>
  <c r="T71" i="17"/>
  <c r="T72" i="17"/>
  <c r="T73" i="17"/>
  <c r="T74" i="17"/>
  <c r="T75" i="17"/>
  <c r="T76" i="17"/>
  <c r="T77" i="17"/>
  <c r="T78" i="17"/>
  <c r="T79" i="17"/>
  <c r="T80" i="17"/>
  <c r="T81" i="17"/>
  <c r="T82" i="17"/>
  <c r="T83" i="17"/>
  <c r="T84" i="17"/>
  <c r="T85" i="17"/>
  <c r="T86" i="17"/>
  <c r="T87" i="17"/>
  <c r="T88" i="17"/>
  <c r="T89" i="17"/>
  <c r="N57" i="17"/>
  <c r="N58" i="17"/>
  <c r="N59" i="17"/>
  <c r="N60" i="17"/>
  <c r="N61" i="17"/>
  <c r="N62" i="17"/>
  <c r="N63" i="17"/>
  <c r="N64" i="17"/>
  <c r="N65" i="17"/>
  <c r="N66" i="17"/>
  <c r="N67" i="17"/>
  <c r="N68" i="17"/>
  <c r="N69" i="17"/>
  <c r="N70" i="17"/>
  <c r="N71" i="17"/>
  <c r="N72" i="17"/>
  <c r="N73" i="17"/>
  <c r="N74" i="17"/>
  <c r="N75" i="17"/>
  <c r="N76" i="17"/>
  <c r="N77" i="17"/>
  <c r="N78" i="17"/>
  <c r="N79" i="17"/>
  <c r="N80" i="17"/>
  <c r="N81" i="17"/>
  <c r="N82" i="17"/>
  <c r="N83" i="17"/>
  <c r="N84" i="17"/>
  <c r="N85" i="17"/>
  <c r="N86" i="17"/>
  <c r="N87" i="17"/>
  <c r="N88" i="17"/>
  <c r="N89" i="17"/>
  <c r="M57" i="17"/>
  <c r="M58" i="17"/>
  <c r="M59" i="17"/>
  <c r="M60" i="17"/>
  <c r="M61" i="17"/>
  <c r="M62" i="17"/>
  <c r="M63" i="17"/>
  <c r="M64" i="17"/>
  <c r="M65" i="17"/>
  <c r="M66" i="17"/>
  <c r="M67" i="17"/>
  <c r="M68" i="17"/>
  <c r="M69" i="17"/>
  <c r="M70" i="17"/>
  <c r="M71" i="17"/>
  <c r="M72" i="17"/>
  <c r="M73" i="17"/>
  <c r="M74" i="17"/>
  <c r="M75" i="17"/>
  <c r="M76" i="17"/>
  <c r="M77" i="17"/>
  <c r="M78" i="17"/>
  <c r="M79" i="17"/>
  <c r="M80" i="17"/>
  <c r="M81" i="17"/>
  <c r="M82" i="17"/>
  <c r="M83" i="17"/>
  <c r="M84" i="17"/>
  <c r="M85" i="17"/>
  <c r="M86" i="17"/>
  <c r="M87" i="17"/>
  <c r="M88" i="17"/>
  <c r="M89" i="17"/>
  <c r="BQ19" i="17"/>
  <c r="BR19" i="17"/>
  <c r="BQ20" i="17"/>
  <c r="BR20" i="17"/>
  <c r="BQ21" i="17"/>
  <c r="BQ22" i="17"/>
  <c r="BR22" i="17"/>
  <c r="BQ23" i="17"/>
  <c r="BQ24" i="17"/>
  <c r="BR24" i="17"/>
  <c r="BQ25" i="17"/>
  <c r="BR25" i="17"/>
  <c r="BQ26" i="17"/>
  <c r="BR26" i="17"/>
  <c r="BQ27" i="17"/>
  <c r="BR27" i="17"/>
  <c r="BQ28" i="17"/>
  <c r="BR28" i="17"/>
  <c r="BR29" i="17"/>
  <c r="BQ30" i="17"/>
  <c r="BR30" i="17"/>
  <c r="BQ31" i="17"/>
  <c r="BQ32" i="17"/>
  <c r="BR32" i="17"/>
  <c r="BQ33" i="17"/>
  <c r="BR33" i="17"/>
  <c r="BQ34" i="17"/>
  <c r="BR34" i="17"/>
  <c r="BQ35" i="17"/>
  <c r="BR35" i="17"/>
  <c r="BQ36" i="17"/>
  <c r="BR36" i="17"/>
  <c r="BQ37" i="17"/>
  <c r="BR37" i="17"/>
  <c r="BQ38" i="17"/>
  <c r="BR38" i="17"/>
  <c r="BQ39" i="17"/>
  <c r="BR39" i="17"/>
  <c r="BQ40" i="17"/>
  <c r="BR40" i="17"/>
  <c r="BQ41" i="17"/>
  <c r="BR41" i="17"/>
  <c r="BQ42" i="17"/>
  <c r="BR42" i="17"/>
  <c r="BQ43" i="17"/>
  <c r="BR43" i="17"/>
  <c r="BQ44" i="17"/>
  <c r="BR44" i="17"/>
  <c r="BQ45" i="17"/>
  <c r="BR45" i="17"/>
  <c r="BQ46" i="17"/>
  <c r="BR46" i="17"/>
  <c r="BQ47" i="17"/>
  <c r="BR47" i="17"/>
  <c r="BQ48" i="17"/>
  <c r="BR48" i="17"/>
  <c r="BQ49" i="17"/>
  <c r="BR49" i="17"/>
  <c r="BQ50" i="17"/>
  <c r="BR50" i="17"/>
  <c r="BR18" i="17"/>
  <c r="BQ18" i="17"/>
  <c r="AP18" i="17"/>
  <c r="AP19" i="17"/>
  <c r="AP20" i="17"/>
  <c r="AP21" i="17"/>
  <c r="AP22" i="17"/>
  <c r="AP23" i="17"/>
  <c r="AP24" i="17"/>
  <c r="AP25" i="17"/>
  <c r="AP26" i="17"/>
  <c r="AP27" i="17"/>
  <c r="AP28" i="17"/>
  <c r="AP29" i="17"/>
  <c r="AP31" i="17"/>
  <c r="AP32" i="17"/>
  <c r="AP33" i="17"/>
  <c r="AP34" i="17"/>
  <c r="AP35" i="17"/>
  <c r="AP36" i="17"/>
  <c r="AP37" i="17"/>
  <c r="AP38" i="17"/>
  <c r="AP39" i="17"/>
  <c r="AP40" i="17"/>
  <c r="AP41" i="17"/>
  <c r="AP42" i="17"/>
  <c r="AP43" i="17"/>
  <c r="AP44" i="17"/>
  <c r="AP45" i="17"/>
  <c r="AP46" i="17"/>
  <c r="AP47" i="17"/>
  <c r="AP48" i="17"/>
  <c r="AP49" i="17"/>
  <c r="AP50" i="17"/>
  <c r="AO18" i="17"/>
  <c r="AO19" i="17"/>
  <c r="AO20" i="17"/>
  <c r="AO21" i="17"/>
  <c r="AO23" i="17"/>
  <c r="AO24" i="17"/>
  <c r="AO25" i="17"/>
  <c r="AO26" i="17"/>
  <c r="AO27" i="17"/>
  <c r="AO28" i="17"/>
  <c r="AO29" i="17"/>
  <c r="AO30" i="17"/>
  <c r="AO31" i="17"/>
  <c r="AO32" i="17"/>
  <c r="AO33" i="17"/>
  <c r="AO34" i="17"/>
  <c r="AO35" i="17"/>
  <c r="AO36" i="17"/>
  <c r="AO37" i="17"/>
  <c r="AO38" i="17"/>
  <c r="AO39" i="17"/>
  <c r="AO40" i="17"/>
  <c r="AO41" i="17"/>
  <c r="AO42" i="17"/>
  <c r="AO43" i="17"/>
  <c r="AO44" i="17"/>
  <c r="AO45" i="17"/>
  <c r="AO46" i="17"/>
  <c r="AO47" i="17"/>
  <c r="AO48" i="17"/>
  <c r="AO49" i="17"/>
  <c r="AO50" i="17"/>
  <c r="AH19" i="17"/>
  <c r="AI19" i="17"/>
  <c r="AH20" i="17"/>
  <c r="AI20" i="17"/>
  <c r="AH21" i="17"/>
  <c r="AH22" i="17"/>
  <c r="AI22" i="17"/>
  <c r="AH23" i="17"/>
  <c r="AI23" i="17"/>
  <c r="AH24" i="17"/>
  <c r="AI24" i="17"/>
  <c r="AH25" i="17"/>
  <c r="AI25" i="17"/>
  <c r="AH26" i="17"/>
  <c r="AI26" i="17"/>
  <c r="AH27" i="17"/>
  <c r="AI27" i="17"/>
  <c r="AH28" i="17"/>
  <c r="AI28" i="17"/>
  <c r="AI29" i="17"/>
  <c r="AH30" i="17"/>
  <c r="AI30" i="17"/>
  <c r="AH31" i="17"/>
  <c r="AI31" i="17"/>
  <c r="AH32" i="17"/>
  <c r="AI32" i="17"/>
  <c r="AH33" i="17"/>
  <c r="AI33" i="17"/>
  <c r="AH34" i="17"/>
  <c r="AI34" i="17"/>
  <c r="AH35" i="17"/>
  <c r="AI35" i="17"/>
  <c r="AH36" i="17"/>
  <c r="AI36" i="17"/>
  <c r="AH37" i="17"/>
  <c r="AI37" i="17"/>
  <c r="AH38" i="17"/>
  <c r="AI38" i="17"/>
  <c r="AH39" i="17"/>
  <c r="AI39" i="17"/>
  <c r="AH40" i="17"/>
  <c r="AI40" i="17"/>
  <c r="AH41" i="17"/>
  <c r="AI41" i="17"/>
  <c r="AH42" i="17"/>
  <c r="AI42" i="17"/>
  <c r="AH43" i="17"/>
  <c r="AI43" i="17"/>
  <c r="AH44" i="17"/>
  <c r="AI44" i="17"/>
  <c r="AH45" i="17"/>
  <c r="AI45" i="17"/>
  <c r="AH46" i="17"/>
  <c r="AI46" i="17"/>
  <c r="AH47" i="17"/>
  <c r="AI47" i="17"/>
  <c r="AH48" i="17"/>
  <c r="AI48" i="17"/>
  <c r="AH49" i="17"/>
  <c r="AI49" i="17"/>
  <c r="AH50" i="17"/>
  <c r="AI50" i="17"/>
  <c r="AI18" i="17"/>
  <c r="AH18" i="17"/>
  <c r="AB18" i="17"/>
  <c r="AB20" i="17"/>
  <c r="AB22" i="17"/>
  <c r="AB23" i="17"/>
  <c r="AB24" i="17"/>
  <c r="AB25" i="17"/>
  <c r="AB26" i="17"/>
  <c r="AB27" i="17"/>
  <c r="AB28" i="17"/>
  <c r="AB29" i="17"/>
  <c r="AB30" i="17"/>
  <c r="AB31" i="17"/>
  <c r="AB32" i="17"/>
  <c r="AB33" i="17"/>
  <c r="AB34" i="17"/>
  <c r="AB35" i="17"/>
  <c r="AB36" i="17"/>
  <c r="AB37" i="17"/>
  <c r="AB38" i="17"/>
  <c r="AB39" i="17"/>
  <c r="AB40" i="17"/>
  <c r="AB41" i="17"/>
  <c r="AB42" i="17"/>
  <c r="AB43" i="17"/>
  <c r="AB44" i="17"/>
  <c r="AB45" i="17"/>
  <c r="AB46" i="17"/>
  <c r="AB47" i="17"/>
  <c r="AB48" i="17"/>
  <c r="AB49" i="17"/>
  <c r="AB50" i="17"/>
  <c r="AA18" i="17"/>
  <c r="AA19" i="17"/>
  <c r="AA20" i="17"/>
  <c r="AA21" i="17"/>
  <c r="AA22" i="17"/>
  <c r="AA23" i="17"/>
  <c r="AA24" i="17"/>
  <c r="AA25" i="17"/>
  <c r="AA26" i="17"/>
  <c r="AA28" i="17"/>
  <c r="AA30" i="17"/>
  <c r="AA31" i="17"/>
  <c r="AA32" i="17"/>
  <c r="AA33" i="17"/>
  <c r="AA34" i="17"/>
  <c r="AA35" i="17"/>
  <c r="AA36" i="17"/>
  <c r="AA37" i="17"/>
  <c r="AA38" i="17"/>
  <c r="AA39" i="17"/>
  <c r="AA40" i="17"/>
  <c r="AA41" i="17"/>
  <c r="AA42" i="17"/>
  <c r="AA43" i="17"/>
  <c r="AA44" i="17"/>
  <c r="AA45" i="17"/>
  <c r="AA46" i="17"/>
  <c r="AA47" i="17"/>
  <c r="AA48" i="17"/>
  <c r="AA49" i="17"/>
  <c r="AA50" i="17"/>
  <c r="U18" i="17"/>
  <c r="U20" i="17"/>
  <c r="U21" i="17"/>
  <c r="U22" i="17"/>
  <c r="U23" i="17"/>
  <c r="U24" i="17"/>
  <c r="U25" i="17"/>
  <c r="U26" i="17"/>
  <c r="U27" i="17"/>
  <c r="U29" i="17"/>
  <c r="U30" i="17"/>
  <c r="U31" i="17"/>
  <c r="U32" i="17"/>
  <c r="U33" i="17"/>
  <c r="U34" i="17"/>
  <c r="U35" i="17"/>
  <c r="U36" i="17"/>
  <c r="U37" i="17"/>
  <c r="U38" i="17"/>
  <c r="U39" i="17"/>
  <c r="U40" i="17"/>
  <c r="U41" i="17"/>
  <c r="U42" i="17"/>
  <c r="U43" i="17"/>
  <c r="U44" i="17"/>
  <c r="U45" i="17"/>
  <c r="U46" i="17"/>
  <c r="U47" i="17"/>
  <c r="U48" i="17"/>
  <c r="U49" i="17"/>
  <c r="U50" i="17"/>
  <c r="T18" i="17"/>
  <c r="T19" i="17"/>
  <c r="T21" i="17"/>
  <c r="T22" i="17"/>
  <c r="T23" i="17"/>
  <c r="T25" i="17"/>
  <c r="T26" i="17"/>
  <c r="T28" i="17"/>
  <c r="T29" i="17"/>
  <c r="T30" i="17"/>
  <c r="T31" i="17"/>
  <c r="T32" i="17"/>
  <c r="T33" i="17"/>
  <c r="T34" i="17"/>
  <c r="T35" i="17"/>
  <c r="T36" i="17"/>
  <c r="T37" i="17"/>
  <c r="T38" i="17"/>
  <c r="T39" i="17"/>
  <c r="T40" i="17"/>
  <c r="T41" i="17"/>
  <c r="T42" i="17"/>
  <c r="T43" i="17"/>
  <c r="T44" i="17"/>
  <c r="T45" i="17"/>
  <c r="T46" i="17"/>
  <c r="T47" i="17"/>
  <c r="T48" i="17"/>
  <c r="T49" i="17"/>
  <c r="T50" i="17"/>
  <c r="G33" i="17"/>
  <c r="G34" i="17"/>
  <c r="G35" i="17"/>
  <c r="G36" i="17"/>
  <c r="G37" i="17"/>
  <c r="G38" i="17"/>
  <c r="G39" i="17"/>
  <c r="G40" i="17"/>
  <c r="G41" i="17"/>
  <c r="G42" i="17"/>
  <c r="G43" i="17"/>
  <c r="G44" i="17"/>
  <c r="G45" i="17"/>
  <c r="G46" i="17"/>
  <c r="G47" i="17"/>
  <c r="G48" i="17"/>
  <c r="G49" i="17"/>
  <c r="G50" i="17"/>
  <c r="F33" i="17"/>
  <c r="F34" i="17"/>
  <c r="F35" i="17"/>
  <c r="F36" i="17"/>
  <c r="F37" i="17"/>
  <c r="F38" i="17"/>
  <c r="F39" i="17"/>
  <c r="F40" i="17"/>
  <c r="F41" i="17"/>
  <c r="F42" i="17"/>
  <c r="F43" i="17"/>
  <c r="F44" i="17"/>
  <c r="F45" i="17"/>
  <c r="F46" i="17"/>
  <c r="F47" i="17"/>
  <c r="F48" i="17"/>
  <c r="F49" i="17"/>
  <c r="F50" i="17"/>
  <c r="G57" i="17"/>
  <c r="G58" i="17"/>
  <c r="G59" i="17"/>
  <c r="G60" i="17"/>
  <c r="G61" i="17"/>
  <c r="G62" i="17"/>
  <c r="G63" i="17"/>
  <c r="G64" i="17"/>
  <c r="G65" i="17"/>
  <c r="G66" i="17"/>
  <c r="G67" i="17"/>
  <c r="G68" i="17"/>
  <c r="G69" i="17"/>
  <c r="G70" i="17"/>
  <c r="G71" i="17"/>
  <c r="G72" i="17"/>
  <c r="G73" i="17"/>
  <c r="G74" i="17"/>
  <c r="G75" i="17"/>
  <c r="G76" i="17"/>
  <c r="G77" i="17"/>
  <c r="G78" i="17"/>
  <c r="G79" i="17"/>
  <c r="G80" i="17"/>
  <c r="G81" i="17"/>
  <c r="G82" i="17"/>
  <c r="G83" i="17"/>
  <c r="G84" i="17"/>
  <c r="G85" i="17"/>
  <c r="G86" i="17"/>
  <c r="G87" i="17"/>
  <c r="G88" i="17"/>
  <c r="G89" i="17"/>
  <c r="F57" i="17"/>
  <c r="F58" i="17"/>
  <c r="F59" i="17"/>
  <c r="F60" i="17"/>
  <c r="F61" i="17"/>
  <c r="F62" i="17"/>
  <c r="F63" i="17"/>
  <c r="F64" i="17"/>
  <c r="F65" i="17"/>
  <c r="F66" i="17"/>
  <c r="F67" i="17"/>
  <c r="F68" i="17"/>
  <c r="F69" i="17"/>
  <c r="F70" i="17"/>
  <c r="F71" i="17"/>
  <c r="F72" i="17"/>
  <c r="F73" i="17"/>
  <c r="F74" i="17"/>
  <c r="F75" i="17"/>
  <c r="F76" i="17"/>
  <c r="F77" i="17"/>
  <c r="F78" i="17"/>
  <c r="F79" i="17"/>
  <c r="F80" i="17"/>
  <c r="F81" i="17"/>
  <c r="F82" i="17"/>
  <c r="F83" i="17"/>
  <c r="F84" i="17"/>
  <c r="F85" i="17"/>
  <c r="F86" i="17"/>
  <c r="F87" i="17"/>
  <c r="F88" i="17"/>
  <c r="F89" i="17"/>
  <c r="Y19" i="24"/>
  <c r="Y20" i="24"/>
  <c r="Y22" i="24"/>
  <c r="Y21" i="24"/>
  <c r="Y11" i="24"/>
  <c r="Y10" i="24"/>
  <c r="AG67" i="24"/>
  <c r="AG45" i="24"/>
  <c r="AG23" i="24"/>
  <c r="AE15" i="24" l="1"/>
  <c r="AE37" i="24"/>
  <c r="AF64" i="24"/>
  <c r="AE81" i="24"/>
  <c r="AF58" i="24"/>
  <c r="AE58" i="24"/>
  <c r="AE64" i="24"/>
  <c r="AG64" i="24" s="1"/>
  <c r="AF37" i="24"/>
  <c r="AE86" i="24"/>
  <c r="AF60" i="24"/>
  <c r="AF80" i="24"/>
  <c r="AF87" i="24"/>
  <c r="AE87" i="24"/>
  <c r="AF86" i="24"/>
  <c r="AE60" i="24"/>
  <c r="AE82" i="24"/>
  <c r="AF59" i="24"/>
  <c r="AF66" i="24"/>
  <c r="AE66" i="24"/>
  <c r="AE42" i="24"/>
  <c r="AE43" i="24"/>
  <c r="AE88" i="24"/>
  <c r="AF44" i="24"/>
  <c r="AF65" i="24"/>
  <c r="AF82" i="24"/>
  <c r="AF42" i="24"/>
  <c r="AF38" i="24"/>
  <c r="AE38" i="24"/>
  <c r="AF81" i="24"/>
  <c r="AE44" i="24"/>
  <c r="AF43" i="24"/>
  <c r="AE59" i="24"/>
  <c r="AE65" i="24"/>
  <c r="AF88" i="24"/>
  <c r="AF36" i="24"/>
  <c r="AE30" i="24"/>
  <c r="AE36" i="24"/>
  <c r="AE80" i="24"/>
  <c r="AE22" i="24"/>
  <c r="AF15" i="24"/>
  <c r="AE21" i="24"/>
  <c r="AE14" i="24"/>
  <c r="AE16" i="24"/>
  <c r="AF31" i="24"/>
  <c r="AE27" i="24"/>
  <c r="AE31" i="24"/>
  <c r="AE35" i="24"/>
  <c r="AE28" i="24"/>
  <c r="AE29" i="24"/>
  <c r="AF27" i="24"/>
  <c r="AF35" i="24"/>
  <c r="AF29" i="24"/>
  <c r="AF30" i="24"/>
  <c r="AF28" i="24"/>
  <c r="AF26" i="24"/>
  <c r="AE50" i="24"/>
  <c r="AF49" i="24"/>
  <c r="AE51" i="24"/>
  <c r="AE52" i="24"/>
  <c r="AE49" i="24"/>
  <c r="AF53" i="24"/>
  <c r="AE57" i="24"/>
  <c r="AF50" i="24"/>
  <c r="AE53" i="24"/>
  <c r="AF57" i="24"/>
  <c r="AF51" i="24"/>
  <c r="AF52" i="24"/>
  <c r="AF79" i="24"/>
  <c r="AE79" i="24"/>
  <c r="AE73" i="24"/>
  <c r="AE74" i="24"/>
  <c r="AF72" i="24"/>
  <c r="AE72" i="24"/>
  <c r="AE71" i="24"/>
  <c r="AE75" i="24"/>
  <c r="AF73" i="24"/>
  <c r="AF74" i="24"/>
  <c r="AF71" i="24"/>
  <c r="AF75" i="24"/>
  <c r="AF20" i="24"/>
  <c r="AF22" i="24"/>
  <c r="AF14" i="24"/>
  <c r="AF21" i="24"/>
  <c r="AF16" i="24"/>
  <c r="AE20" i="24"/>
  <c r="AE26" i="24"/>
  <c r="AE48" i="24"/>
  <c r="AE70" i="24"/>
  <c r="Y12" i="24"/>
  <c r="Y13" i="24"/>
  <c r="C9" i="18"/>
  <c r="C8" i="18"/>
  <c r="D119" i="18"/>
  <c r="C119" i="18"/>
  <c r="H2" i="25" a="1"/>
  <c r="H2" i="25" s="1"/>
  <c r="J15" i="22"/>
  <c r="J16" i="22"/>
  <c r="J17" i="22"/>
  <c r="J18" i="22"/>
  <c r="J19" i="22"/>
  <c r="J20" i="22"/>
  <c r="J21" i="22"/>
  <c r="J22" i="22"/>
  <c r="J23" i="22"/>
  <c r="J24" i="22"/>
  <c r="J25" i="22"/>
  <c r="J26" i="22"/>
  <c r="J27" i="22"/>
  <c r="J28" i="22"/>
  <c r="J29" i="22"/>
  <c r="J30" i="22"/>
  <c r="J31" i="22"/>
  <c r="J32" i="22"/>
  <c r="J33" i="22"/>
  <c r="J34" i="22"/>
  <c r="J35" i="22"/>
  <c r="J36" i="22"/>
  <c r="J37" i="22"/>
  <c r="J38" i="22"/>
  <c r="J39" i="22"/>
  <c r="J40" i="22"/>
  <c r="J41" i="22"/>
  <c r="J42" i="22"/>
  <c r="J43" i="22"/>
  <c r="J44" i="22"/>
  <c r="J45" i="22"/>
  <c r="J46" i="22"/>
  <c r="J47" i="22"/>
  <c r="J48" i="22"/>
  <c r="J49" i="22"/>
  <c r="J50" i="22"/>
  <c r="J51" i="22"/>
  <c r="J52" i="22"/>
  <c r="J53" i="22"/>
  <c r="J54" i="22"/>
  <c r="J55" i="22"/>
  <c r="J56" i="22"/>
  <c r="J57" i="22"/>
  <c r="J58" i="22"/>
  <c r="J59" i="22"/>
  <c r="J60" i="22"/>
  <c r="J61" i="22"/>
  <c r="J62" i="22"/>
  <c r="J63" i="22"/>
  <c r="J64" i="22"/>
  <c r="J65" i="22"/>
  <c r="J66" i="22"/>
  <c r="J67" i="22"/>
  <c r="J68" i="22"/>
  <c r="J69" i="22"/>
  <c r="J70" i="22"/>
  <c r="J71" i="22"/>
  <c r="J72" i="22"/>
  <c r="J73" i="22"/>
  <c r="J74" i="22"/>
  <c r="J75" i="22"/>
  <c r="J76" i="22"/>
  <c r="J77" i="22"/>
  <c r="J78" i="22"/>
  <c r="J79" i="22"/>
  <c r="J80" i="22"/>
  <c r="J81" i="22"/>
  <c r="J82" i="22"/>
  <c r="J83" i="22"/>
  <c r="J84" i="22"/>
  <c r="J85" i="22"/>
  <c r="J86" i="22"/>
  <c r="J87" i="22"/>
  <c r="J88" i="22"/>
  <c r="J89" i="22"/>
  <c r="J90" i="22"/>
  <c r="J91" i="22"/>
  <c r="J92" i="22"/>
  <c r="J93" i="22"/>
  <c r="J94" i="22"/>
  <c r="J95" i="22"/>
  <c r="J96" i="22"/>
  <c r="J97" i="22"/>
  <c r="J98" i="22"/>
  <c r="J99" i="22"/>
  <c r="J100" i="22"/>
  <c r="J101" i="22"/>
  <c r="J102" i="22"/>
  <c r="J103" i="22"/>
  <c r="J104" i="22"/>
  <c r="J105" i="22"/>
  <c r="J106" i="22"/>
  <c r="J107" i="22"/>
  <c r="J108" i="22"/>
  <c r="J109" i="22"/>
  <c r="J110" i="22"/>
  <c r="J111" i="22"/>
  <c r="J112" i="22"/>
  <c r="J113" i="22"/>
  <c r="J114" i="22"/>
  <c r="J115" i="22"/>
  <c r="J116" i="22"/>
  <c r="J117" i="22"/>
  <c r="J118" i="22"/>
  <c r="J119" i="22"/>
  <c r="J120" i="22"/>
  <c r="J121" i="22"/>
  <c r="J122" i="22"/>
  <c r="J123" i="22"/>
  <c r="J124" i="22"/>
  <c r="J125" i="22"/>
  <c r="J126" i="22"/>
  <c r="J127" i="22"/>
  <c r="J128" i="22"/>
  <c r="J129" i="22"/>
  <c r="J130" i="22"/>
  <c r="J131" i="22"/>
  <c r="J132" i="22"/>
  <c r="J133" i="22"/>
  <c r="J134" i="22"/>
  <c r="J135" i="22"/>
  <c r="J136" i="22"/>
  <c r="J137" i="22"/>
  <c r="J138" i="22"/>
  <c r="J139" i="22"/>
  <c r="J140" i="22"/>
  <c r="J141" i="22"/>
  <c r="J142" i="22"/>
  <c r="J143" i="22"/>
  <c r="J144" i="22"/>
  <c r="J145" i="22"/>
  <c r="J146" i="22"/>
  <c r="J147" i="22"/>
  <c r="J148" i="22"/>
  <c r="J149" i="22"/>
  <c r="J150" i="22"/>
  <c r="J151" i="22"/>
  <c r="J152" i="22"/>
  <c r="J153" i="22"/>
  <c r="J154" i="22"/>
  <c r="J155" i="22"/>
  <c r="J156" i="22"/>
  <c r="J157" i="22"/>
  <c r="J158" i="22"/>
  <c r="J159" i="22"/>
  <c r="J160" i="22"/>
  <c r="J161" i="22"/>
  <c r="J162" i="22"/>
  <c r="J163" i="22"/>
  <c r="J164" i="22"/>
  <c r="J165" i="22"/>
  <c r="J166" i="22"/>
  <c r="J167" i="22"/>
  <c r="J168" i="22"/>
  <c r="J169" i="22"/>
  <c r="J170" i="22"/>
  <c r="J171" i="22"/>
  <c r="J172" i="22"/>
  <c r="J173" i="22"/>
  <c r="J174" i="22"/>
  <c r="J175" i="22"/>
  <c r="J176" i="22"/>
  <c r="J177" i="22"/>
  <c r="J178" i="22"/>
  <c r="J179" i="22"/>
  <c r="J180" i="22"/>
  <c r="J181" i="22"/>
  <c r="J182" i="22"/>
  <c r="J183" i="22"/>
  <c r="J184" i="22"/>
  <c r="J185" i="22"/>
  <c r="J186" i="22"/>
  <c r="J187" i="22"/>
  <c r="J188" i="22"/>
  <c r="J189" i="22"/>
  <c r="J190" i="22"/>
  <c r="J191" i="22"/>
  <c r="J192" i="22"/>
  <c r="J193" i="22"/>
  <c r="J194" i="22"/>
  <c r="J195" i="22"/>
  <c r="J196" i="22"/>
  <c r="J197" i="22"/>
  <c r="J198" i="22"/>
  <c r="J199" i="22"/>
  <c r="J200" i="22"/>
  <c r="J201" i="22"/>
  <c r="J202" i="22"/>
  <c r="J203" i="22"/>
  <c r="J204" i="22"/>
  <c r="J205" i="22"/>
  <c r="J206" i="22"/>
  <c r="J207" i="22"/>
  <c r="J208" i="22"/>
  <c r="J209" i="22"/>
  <c r="J210" i="22"/>
  <c r="J211" i="22"/>
  <c r="J212" i="22"/>
  <c r="J213" i="22"/>
  <c r="J214" i="22"/>
  <c r="J215" i="22"/>
  <c r="J216" i="22"/>
  <c r="J217" i="22"/>
  <c r="J218" i="22"/>
  <c r="J219" i="22"/>
  <c r="J220" i="22"/>
  <c r="J221" i="22"/>
  <c r="J222" i="22"/>
  <c r="J223" i="22"/>
  <c r="J224" i="22"/>
  <c r="J225" i="22"/>
  <c r="J226" i="22"/>
  <c r="J227" i="22"/>
  <c r="J228" i="22"/>
  <c r="J229" i="22"/>
  <c r="J230" i="22"/>
  <c r="J231" i="22"/>
  <c r="J232" i="22"/>
  <c r="J233" i="22"/>
  <c r="J234" i="22"/>
  <c r="J235" i="22"/>
  <c r="J236" i="22"/>
  <c r="J237" i="22"/>
  <c r="J238" i="22"/>
  <c r="J239" i="22"/>
  <c r="J240" i="22"/>
  <c r="J241" i="22"/>
  <c r="J242" i="22"/>
  <c r="J243" i="22"/>
  <c r="J244" i="22"/>
  <c r="J245" i="22"/>
  <c r="J246" i="22"/>
  <c r="J247" i="22"/>
  <c r="J248" i="22"/>
  <c r="J249" i="22"/>
  <c r="J250" i="22"/>
  <c r="J251" i="22"/>
  <c r="J252" i="22"/>
  <c r="J253" i="22"/>
  <c r="J254" i="22"/>
  <c r="J255" i="22"/>
  <c r="J256" i="22"/>
  <c r="J257" i="22"/>
  <c r="J258" i="22"/>
  <c r="J259" i="22"/>
  <c r="J260" i="22"/>
  <c r="J261" i="22"/>
  <c r="J262" i="22"/>
  <c r="J263" i="22"/>
  <c r="J264" i="22"/>
  <c r="J265" i="22"/>
  <c r="J266" i="22"/>
  <c r="J267" i="22"/>
  <c r="J268" i="22"/>
  <c r="J269" i="22"/>
  <c r="J270" i="22"/>
  <c r="J271" i="22"/>
  <c r="J272" i="22"/>
  <c r="J273" i="22"/>
  <c r="J274" i="22"/>
  <c r="J275" i="22"/>
  <c r="J276" i="22"/>
  <c r="J277" i="22"/>
  <c r="J278" i="22"/>
  <c r="J279" i="22"/>
  <c r="J280" i="22"/>
  <c r="J281" i="22"/>
  <c r="J282" i="22"/>
  <c r="J283" i="22"/>
  <c r="J284" i="22"/>
  <c r="J285" i="22"/>
  <c r="J286" i="22"/>
  <c r="J287" i="22"/>
  <c r="J288" i="22"/>
  <c r="J289" i="22"/>
  <c r="J290" i="22"/>
  <c r="J291" i="22"/>
  <c r="J292" i="22"/>
  <c r="J293" i="22"/>
  <c r="J294" i="22"/>
  <c r="J295" i="22"/>
  <c r="J296" i="22"/>
  <c r="J297" i="22"/>
  <c r="J298" i="22"/>
  <c r="J299" i="22"/>
  <c r="J300" i="22"/>
  <c r="J301" i="22"/>
  <c r="J302" i="22"/>
  <c r="J303" i="22"/>
  <c r="J304" i="22"/>
  <c r="J305" i="22"/>
  <c r="J306" i="22"/>
  <c r="J307" i="22"/>
  <c r="J308" i="22"/>
  <c r="J309" i="22"/>
  <c r="J310" i="22"/>
  <c r="J311" i="22"/>
  <c r="J312" i="22"/>
  <c r="J313" i="22"/>
  <c r="J314" i="22"/>
  <c r="J315" i="22"/>
  <c r="J316" i="22"/>
  <c r="J317" i="22"/>
  <c r="J318" i="22"/>
  <c r="J319" i="22"/>
  <c r="J320" i="22"/>
  <c r="J321" i="22"/>
  <c r="J322" i="22"/>
  <c r="J323" i="22"/>
  <c r="J324" i="22"/>
  <c r="J325" i="22"/>
  <c r="J326" i="22"/>
  <c r="J327" i="22"/>
  <c r="J328" i="22"/>
  <c r="J329" i="22"/>
  <c r="J330" i="22"/>
  <c r="J331" i="22"/>
  <c r="J332" i="22"/>
  <c r="J333" i="22"/>
  <c r="J334" i="22"/>
  <c r="J335" i="22"/>
  <c r="J336" i="22"/>
  <c r="J337" i="22"/>
  <c r="J338" i="22"/>
  <c r="J339" i="22"/>
  <c r="J340" i="22"/>
  <c r="J341" i="22"/>
  <c r="J342" i="22"/>
  <c r="J343" i="22"/>
  <c r="J344" i="22"/>
  <c r="J345" i="22"/>
  <c r="J346" i="22"/>
  <c r="J347" i="22"/>
  <c r="J348" i="22"/>
  <c r="J349" i="22"/>
  <c r="J350" i="22"/>
  <c r="J351" i="22"/>
  <c r="J352" i="22"/>
  <c r="J353" i="22"/>
  <c r="J354" i="22"/>
  <c r="J355" i="22"/>
  <c r="J356" i="22"/>
  <c r="J357" i="22"/>
  <c r="J358" i="22"/>
  <c r="J359" i="22"/>
  <c r="J360" i="22"/>
  <c r="J14" i="22"/>
  <c r="AG89" i="24"/>
  <c r="E463" i="24" a="1"/>
  <c r="E463" i="24" s="1"/>
  <c r="E456" i="24" a="1"/>
  <c r="E456" i="24" s="1"/>
  <c r="E449" i="24" a="1"/>
  <c r="E449" i="24" s="1"/>
  <c r="E442" i="24" a="1"/>
  <c r="E442" i="24" s="1"/>
  <c r="E435" i="24" a="1"/>
  <c r="E435" i="24" s="1"/>
  <c r="E428" i="24" a="1"/>
  <c r="E428" i="24" s="1"/>
  <c r="E426" i="24" a="1"/>
  <c r="E426" i="24" s="1"/>
  <c r="E419" i="24" a="1"/>
  <c r="E419" i="24" s="1"/>
  <c r="E412" i="24" a="1"/>
  <c r="E412" i="24" s="1"/>
  <c r="E405" i="24" a="1"/>
  <c r="E405" i="24" s="1"/>
  <c r="E398" i="24" a="1"/>
  <c r="E398" i="24" s="1"/>
  <c r="E391" i="24" a="1"/>
  <c r="E391" i="24" s="1"/>
  <c r="E389" i="24" a="1"/>
  <c r="E389" i="24" s="1"/>
  <c r="E382" i="24" a="1"/>
  <c r="E382" i="24" s="1"/>
  <c r="E375" i="24" a="1"/>
  <c r="E375" i="24" s="1"/>
  <c r="E368" i="24" a="1"/>
  <c r="E368" i="24" s="1"/>
  <c r="E361" i="24" a="1"/>
  <c r="E361" i="24" s="1"/>
  <c r="E354" i="24" a="1"/>
  <c r="E354" i="24" s="1"/>
  <c r="E352" i="24" a="1"/>
  <c r="E352" i="24" s="1"/>
  <c r="E345" i="24" a="1"/>
  <c r="E345" i="24" s="1"/>
  <c r="E338" i="24" a="1"/>
  <c r="E338" i="24" s="1"/>
  <c r="E331" i="24" a="1"/>
  <c r="E331" i="24" s="1"/>
  <c r="E324" i="24" a="1"/>
  <c r="E324" i="24" s="1"/>
  <c r="E317" i="24" a="1"/>
  <c r="E317" i="24" s="1"/>
  <c r="E315" i="24" a="1"/>
  <c r="E315" i="24" s="1"/>
  <c r="E308" i="24" a="1"/>
  <c r="E308" i="24" s="1"/>
  <c r="E301" i="24" a="1"/>
  <c r="E301" i="24" s="1"/>
  <c r="E294" i="24" a="1"/>
  <c r="E294" i="24" s="1"/>
  <c r="E287" i="24" a="1"/>
  <c r="E287" i="24" s="1"/>
  <c r="E280" i="24" a="1"/>
  <c r="E280" i="24" s="1"/>
  <c r="E278" i="24" a="1"/>
  <c r="E278" i="24" s="1"/>
  <c r="E271" i="24" a="1"/>
  <c r="E271" i="24" s="1"/>
  <c r="E264" i="24" a="1"/>
  <c r="E264" i="24" s="1"/>
  <c r="E257" i="24" a="1"/>
  <c r="E257" i="24" s="1"/>
  <c r="E250" i="24" a="1"/>
  <c r="E250" i="24" s="1"/>
  <c r="E243" i="24" a="1"/>
  <c r="E243" i="24" s="1"/>
  <c r="E241" i="24" a="1"/>
  <c r="E241" i="24" s="1"/>
  <c r="E234" i="24" a="1"/>
  <c r="E234" i="24" s="1"/>
  <c r="E227" i="24" a="1"/>
  <c r="E227" i="24" s="1"/>
  <c r="E220" i="24" a="1"/>
  <c r="E220" i="24" s="1"/>
  <c r="E213" i="24" a="1"/>
  <c r="E213" i="24" s="1"/>
  <c r="E206" i="24" a="1"/>
  <c r="E206" i="24" s="1"/>
  <c r="E204" i="24" a="1"/>
  <c r="E204" i="24" s="1"/>
  <c r="E197" i="24" a="1"/>
  <c r="E197" i="24" s="1"/>
  <c r="E190" i="24" a="1"/>
  <c r="E190" i="24" s="1"/>
  <c r="E183" i="24" a="1"/>
  <c r="E183" i="24" s="1"/>
  <c r="E176" i="24" a="1"/>
  <c r="E176" i="24" s="1"/>
  <c r="E169" i="24" a="1"/>
  <c r="E169" i="24" s="1"/>
  <c r="E167" i="24" a="1"/>
  <c r="E167" i="24" s="1"/>
  <c r="E160" i="24" a="1"/>
  <c r="E160" i="24" s="1"/>
  <c r="E153" i="24" a="1"/>
  <c r="E153" i="24" s="1"/>
  <c r="E146" i="24" a="1"/>
  <c r="E146" i="24" s="1"/>
  <c r="E139" i="24" a="1"/>
  <c r="E139" i="24" s="1"/>
  <c r="E132" i="24" a="1"/>
  <c r="E132" i="24" s="1"/>
  <c r="E130" i="24" a="1"/>
  <c r="E130" i="24" s="1"/>
  <c r="E123" i="24" a="1"/>
  <c r="E123" i="24" s="1"/>
  <c r="E116" i="24" a="1"/>
  <c r="E116" i="24" s="1"/>
  <c r="E109" i="24" a="1"/>
  <c r="E109" i="24" s="1"/>
  <c r="E102" i="24" a="1"/>
  <c r="E102" i="24" s="1"/>
  <c r="E95" i="24" a="1"/>
  <c r="E95" i="24" s="1"/>
  <c r="C96" i="24"/>
  <c r="C133" i="24" s="1"/>
  <c r="C97" i="24"/>
  <c r="C134" i="24" s="1"/>
  <c r="C98" i="24"/>
  <c r="C135" i="24" s="1"/>
  <c r="C99" i="24"/>
  <c r="C136" i="24" s="1"/>
  <c r="C173" i="24" s="1"/>
  <c r="C100" i="24"/>
  <c r="C101" i="24"/>
  <c r="C138" i="24" s="1"/>
  <c r="C175" i="24" s="1"/>
  <c r="C102" i="24"/>
  <c r="C139" i="24" s="1"/>
  <c r="C176" i="24" s="1"/>
  <c r="C103" i="24"/>
  <c r="C140" i="24" s="1"/>
  <c r="C177" i="24" s="1"/>
  <c r="C104" i="24"/>
  <c r="C141" i="24" s="1"/>
  <c r="C178" i="24" s="1"/>
  <c r="C105" i="24"/>
  <c r="C142" i="24" s="1"/>
  <c r="C179" i="24" s="1"/>
  <c r="C106" i="24"/>
  <c r="C143" i="24" s="1"/>
  <c r="C180" i="24" s="1"/>
  <c r="C107" i="24"/>
  <c r="C144" i="24" s="1"/>
  <c r="C181" i="24" s="1"/>
  <c r="C108" i="24"/>
  <c r="C145" i="24" s="1"/>
  <c r="C182" i="24" s="1"/>
  <c r="C109" i="24"/>
  <c r="C146" i="24" s="1"/>
  <c r="C183" i="24" s="1"/>
  <c r="C110" i="24"/>
  <c r="C147" i="24" s="1"/>
  <c r="C184" i="24" s="1"/>
  <c r="C111" i="24"/>
  <c r="C148" i="24" s="1"/>
  <c r="C185" i="24" s="1"/>
  <c r="C112" i="24"/>
  <c r="C149" i="24" s="1"/>
  <c r="C186" i="24" s="1"/>
  <c r="C113" i="24"/>
  <c r="C150" i="24" s="1"/>
  <c r="C114" i="24"/>
  <c r="C151" i="24" s="1"/>
  <c r="C188" i="24" s="1"/>
  <c r="C115" i="24"/>
  <c r="C152" i="24" s="1"/>
  <c r="C189" i="24" s="1"/>
  <c r="C116" i="24"/>
  <c r="C153" i="24" s="1"/>
  <c r="C190" i="24" s="1"/>
  <c r="C117" i="24"/>
  <c r="C154" i="24" s="1"/>
  <c r="C191" i="24" s="1"/>
  <c r="C118" i="24"/>
  <c r="C155" i="24" s="1"/>
  <c r="C119" i="24"/>
  <c r="C156" i="24" s="1"/>
  <c r="C193" i="24" s="1"/>
  <c r="C120" i="24"/>
  <c r="C157" i="24" s="1"/>
  <c r="C194" i="24" s="1"/>
  <c r="C121" i="24"/>
  <c r="C158" i="24" s="1"/>
  <c r="C122" i="24"/>
  <c r="C159" i="24" s="1"/>
  <c r="C196" i="24" s="1"/>
  <c r="C123" i="24"/>
  <c r="C160" i="24" s="1"/>
  <c r="C197" i="24" s="1"/>
  <c r="C124" i="24"/>
  <c r="C161" i="24" s="1"/>
  <c r="C125" i="24"/>
  <c r="C162" i="24" s="1"/>
  <c r="C199" i="24" s="1"/>
  <c r="C126" i="24"/>
  <c r="C163" i="24" s="1"/>
  <c r="C127" i="24"/>
  <c r="C164" i="24" s="1"/>
  <c r="C201" i="24" s="1"/>
  <c r="C128" i="24"/>
  <c r="C165" i="24" s="1"/>
  <c r="C202" i="24" s="1"/>
  <c r="C129" i="24"/>
  <c r="C166" i="24" s="1"/>
  <c r="C130" i="24"/>
  <c r="C167" i="24" s="1"/>
  <c r="C204" i="24" s="1"/>
  <c r="C131" i="24"/>
  <c r="C168" i="24" s="1"/>
  <c r="C205" i="24" s="1"/>
  <c r="C137" i="24"/>
  <c r="C174" i="24" s="1"/>
  <c r="C95" i="24"/>
  <c r="C132" i="24" s="1"/>
  <c r="C169" i="24" s="1"/>
  <c r="E93" i="24" a="1"/>
  <c r="E93" i="24" s="1"/>
  <c r="E86" i="24" a="1"/>
  <c r="E86" i="24" s="1"/>
  <c r="E79" i="24" a="1"/>
  <c r="E79" i="24" s="1"/>
  <c r="E72" i="24" a="1"/>
  <c r="E72" i="24" s="1"/>
  <c r="E65" i="24" a="1"/>
  <c r="E65" i="24" s="1"/>
  <c r="E58" i="24" a="1"/>
  <c r="E58" i="24" s="1"/>
  <c r="E56" i="24" a="1"/>
  <c r="E56" i="24" s="1"/>
  <c r="E49" i="24" a="1"/>
  <c r="E49" i="24" s="1"/>
  <c r="E42" i="24" a="1"/>
  <c r="E42" i="24" s="1"/>
  <c r="E35" i="24" a="1"/>
  <c r="E35" i="24" s="1"/>
  <c r="E28" i="24" a="1"/>
  <c r="E28" i="24" s="1"/>
  <c r="AG60" i="24" l="1"/>
  <c r="AG58" i="24"/>
  <c r="AG66" i="24"/>
  <c r="AG38" i="24"/>
  <c r="AG42" i="24"/>
  <c r="AG20" i="24"/>
  <c r="AG65" i="24"/>
  <c r="AG59" i="24"/>
  <c r="AG28" i="24"/>
  <c r="AG27" i="24"/>
  <c r="AG50" i="24"/>
  <c r="AG35" i="24"/>
  <c r="AG14" i="24"/>
  <c r="AG29" i="24"/>
  <c r="AG49" i="24"/>
  <c r="AG30" i="24"/>
  <c r="AG31" i="24"/>
  <c r="AG22" i="24"/>
  <c r="AG16" i="24"/>
  <c r="AG21" i="24"/>
  <c r="AG15" i="24"/>
  <c r="AG36" i="24"/>
  <c r="AG44" i="24"/>
  <c r="AG43" i="24"/>
  <c r="AG61" i="24"/>
  <c r="AG26" i="24"/>
  <c r="AF48" i="24"/>
  <c r="AG48" i="24" s="1"/>
  <c r="AG57" i="24"/>
  <c r="AG53" i="24"/>
  <c r="AG52" i="24"/>
  <c r="AG51" i="24"/>
  <c r="AG74" i="24"/>
  <c r="AG79" i="24"/>
  <c r="AG71" i="24"/>
  <c r="AG72" i="24"/>
  <c r="AF70" i="24"/>
  <c r="AG70" i="24" s="1"/>
  <c r="AG75" i="24"/>
  <c r="AG73" i="24"/>
  <c r="AG37" i="24"/>
  <c r="AG87" i="24"/>
  <c r="AG88" i="24"/>
  <c r="AG82" i="24"/>
  <c r="C198" i="24"/>
  <c r="C192" i="24"/>
  <c r="C172" i="24"/>
  <c r="C203" i="24"/>
  <c r="C195" i="24"/>
  <c r="C187" i="24"/>
  <c r="C171" i="24"/>
  <c r="C200" i="24"/>
  <c r="C170" i="24"/>
  <c r="I25" i="16" a="1"/>
  <c r="I25" i="16" s="1"/>
  <c r="F25" i="16" a="1"/>
  <c r="F25" i="16" s="1"/>
  <c r="B25" i="16" l="1" a="1"/>
  <c r="B25" i="16" s="1"/>
  <c r="B360" i="22"/>
  <c r="B13" i="22"/>
  <c r="E119" i="18"/>
  <c r="B119" i="18"/>
  <c r="AG86" i="24" l="1"/>
  <c r="AG81" i="24"/>
  <c r="AE4" i="24"/>
  <c r="B204" i="22"/>
  <c r="B324" i="22"/>
  <c r="B260" i="22"/>
  <c r="B196" i="22"/>
  <c r="B132" i="22"/>
  <c r="B68" i="22"/>
  <c r="B316" i="22"/>
  <c r="B252" i="22"/>
  <c r="B188" i="22"/>
  <c r="B124" i="22"/>
  <c r="B60" i="22"/>
  <c r="B180" i="22"/>
  <c r="B300" i="22"/>
  <c r="B236" i="22"/>
  <c r="B172" i="22"/>
  <c r="B108" i="22"/>
  <c r="B44" i="22"/>
  <c r="B332" i="22"/>
  <c r="B308" i="22"/>
  <c r="B244" i="22"/>
  <c r="B356" i="22"/>
  <c r="B292" i="22"/>
  <c r="B228" i="22"/>
  <c r="B164" i="22"/>
  <c r="B100" i="22"/>
  <c r="B36" i="22"/>
  <c r="B52" i="22"/>
  <c r="B348" i="22"/>
  <c r="B284" i="22"/>
  <c r="B220" i="22"/>
  <c r="B156" i="22"/>
  <c r="B92" i="22"/>
  <c r="B28" i="22"/>
  <c r="B268" i="22"/>
  <c r="B116" i="22"/>
  <c r="B340" i="22"/>
  <c r="B276" i="22"/>
  <c r="B212" i="22"/>
  <c r="B148" i="22"/>
  <c r="B84" i="22"/>
  <c r="B20" i="22"/>
  <c r="B140" i="22"/>
  <c r="B76" i="22"/>
  <c r="B347" i="22"/>
  <c r="B331" i="22"/>
  <c r="B315" i="22"/>
  <c r="B299" i="22"/>
  <c r="B283" i="22"/>
  <c r="B267" i="22"/>
  <c r="B243" i="22"/>
  <c r="B227" i="22"/>
  <c r="B211" i="22"/>
  <c r="B195" i="22"/>
  <c r="B179" i="22"/>
  <c r="B163" i="22"/>
  <c r="B147" i="22"/>
  <c r="B131" i="22"/>
  <c r="B99" i="22"/>
  <c r="B75" i="22"/>
  <c r="B59" i="22"/>
  <c r="B35" i="22"/>
  <c r="B19" i="22"/>
  <c r="B354" i="22"/>
  <c r="B346" i="22"/>
  <c r="B338" i="22"/>
  <c r="B330" i="22"/>
  <c r="B322" i="22"/>
  <c r="B314" i="22"/>
  <c r="B306" i="22"/>
  <c r="B298" i="22"/>
  <c r="B290" i="22"/>
  <c r="B282" i="22"/>
  <c r="B274" i="22"/>
  <c r="B266" i="22"/>
  <c r="B258" i="22"/>
  <c r="B250" i="22"/>
  <c r="B242" i="22"/>
  <c r="B234" i="22"/>
  <c r="B226" i="22"/>
  <c r="B218" i="22"/>
  <c r="B210" i="22"/>
  <c r="B202" i="22"/>
  <c r="B194" i="22"/>
  <c r="B186" i="22"/>
  <c r="B178" i="22"/>
  <c r="B170" i="22"/>
  <c r="B162" i="22"/>
  <c r="B154" i="22"/>
  <c r="B146" i="22"/>
  <c r="B138" i="22"/>
  <c r="B130" i="22"/>
  <c r="B122" i="22"/>
  <c r="B114" i="22"/>
  <c r="B106" i="22"/>
  <c r="B98" i="22"/>
  <c r="B90" i="22"/>
  <c r="B82" i="22"/>
  <c r="B74" i="22"/>
  <c r="B66" i="22"/>
  <c r="B58" i="22"/>
  <c r="B50" i="22"/>
  <c r="B42" i="22"/>
  <c r="B34" i="22"/>
  <c r="B26" i="22"/>
  <c r="B18" i="22"/>
  <c r="B355" i="22"/>
  <c r="B339" i="22"/>
  <c r="B323" i="22"/>
  <c r="B307" i="22"/>
  <c r="B291" i="22"/>
  <c r="B275" i="22"/>
  <c r="B259" i="22"/>
  <c r="B251" i="22"/>
  <c r="B235" i="22"/>
  <c r="B219" i="22"/>
  <c r="B203" i="22"/>
  <c r="B187" i="22"/>
  <c r="B171" i="22"/>
  <c r="B155" i="22"/>
  <c r="B139" i="22"/>
  <c r="B123" i="22"/>
  <c r="B115" i="22"/>
  <c r="B107" i="22"/>
  <c r="B91" i="22"/>
  <c r="B83" i="22"/>
  <c r="B67" i="22"/>
  <c r="B51" i="22"/>
  <c r="B43" i="22"/>
  <c r="B27" i="22"/>
  <c r="B353" i="22"/>
  <c r="B345" i="22"/>
  <c r="B337" i="22"/>
  <c r="B329" i="22"/>
  <c r="B321" i="22"/>
  <c r="B313" i="22"/>
  <c r="B305" i="22"/>
  <c r="B297" i="22"/>
  <c r="B289" i="22"/>
  <c r="B281" i="22"/>
  <c r="B273" i="22"/>
  <c r="B265" i="22"/>
  <c r="B257" i="22"/>
  <c r="B249" i="22"/>
  <c r="B241" i="22"/>
  <c r="B233" i="22"/>
  <c r="B225" i="22"/>
  <c r="B217" i="22"/>
  <c r="B209" i="22"/>
  <c r="B201" i="22"/>
  <c r="B193" i="22"/>
  <c r="B185" i="22"/>
  <c r="B177" i="22"/>
  <c r="B169" i="22"/>
  <c r="B161" i="22"/>
  <c r="B153" i="22"/>
  <c r="B145" i="22"/>
  <c r="B137" i="22"/>
  <c r="B129" i="22"/>
  <c r="B121" i="22"/>
  <c r="B113" i="22"/>
  <c r="B105" i="22"/>
  <c r="B97" i="22"/>
  <c r="B89" i="22"/>
  <c r="B81" i="22"/>
  <c r="B73" i="22"/>
  <c r="B65" i="22"/>
  <c r="B57" i="22"/>
  <c r="B49" i="22"/>
  <c r="B41" i="22"/>
  <c r="B33" i="22"/>
  <c r="B25" i="22"/>
  <c r="B17" i="22"/>
  <c r="B344" i="22"/>
  <c r="B328" i="22"/>
  <c r="B312" i="22"/>
  <c r="B296" i="22"/>
  <c r="B280" i="22"/>
  <c r="B264" i="22"/>
  <c r="B248" i="22"/>
  <c r="B240" i="22"/>
  <c r="B224" i="22"/>
  <c r="B208" i="22"/>
  <c r="B192" i="22"/>
  <c r="B176" i="22"/>
  <c r="B160" i="22"/>
  <c r="B152" i="22"/>
  <c r="B136" i="22"/>
  <c r="B120" i="22"/>
  <c r="B112" i="22"/>
  <c r="B96" i="22"/>
  <c r="B80" i="22"/>
  <c r="B64" i="22"/>
  <c r="B48" i="22"/>
  <c r="B40" i="22"/>
  <c r="B32" i="22"/>
  <c r="B16" i="22"/>
  <c r="B359" i="22"/>
  <c r="B351" i="22"/>
  <c r="B343" i="22"/>
  <c r="B335" i="22"/>
  <c r="B327" i="22"/>
  <c r="B319" i="22"/>
  <c r="B311" i="22"/>
  <c r="B303" i="22"/>
  <c r="B295" i="22"/>
  <c r="B287" i="22"/>
  <c r="B279" i="22"/>
  <c r="B271" i="22"/>
  <c r="B263" i="22"/>
  <c r="B255" i="22"/>
  <c r="B247" i="22"/>
  <c r="B239" i="22"/>
  <c r="B231" i="22"/>
  <c r="B223" i="22"/>
  <c r="B215" i="22"/>
  <c r="B207" i="22"/>
  <c r="B199" i="22"/>
  <c r="B191" i="22"/>
  <c r="B183" i="22"/>
  <c r="B175" i="22"/>
  <c r="B167" i="22"/>
  <c r="B159" i="22"/>
  <c r="B151" i="22"/>
  <c r="B143" i="22"/>
  <c r="B135" i="22"/>
  <c r="B127" i="22"/>
  <c r="B119" i="22"/>
  <c r="B111" i="22"/>
  <c r="B103" i="22"/>
  <c r="B95" i="22"/>
  <c r="B87" i="22"/>
  <c r="B79" i="22"/>
  <c r="B71" i="22"/>
  <c r="B63" i="22"/>
  <c r="B55" i="22"/>
  <c r="B47" i="22"/>
  <c r="B39" i="22"/>
  <c r="B31" i="22"/>
  <c r="B23" i="22"/>
  <c r="B15" i="22"/>
  <c r="B352" i="22"/>
  <c r="B336" i="22"/>
  <c r="B320" i="22"/>
  <c r="B304" i="22"/>
  <c r="B288" i="22"/>
  <c r="B272" i="22"/>
  <c r="B256" i="22"/>
  <c r="B232" i="22"/>
  <c r="B216" i="22"/>
  <c r="B200" i="22"/>
  <c r="B184" i="22"/>
  <c r="B168" i="22"/>
  <c r="B144" i="22"/>
  <c r="B128" i="22"/>
  <c r="B104" i="22"/>
  <c r="B88" i="22"/>
  <c r="B72" i="22"/>
  <c r="B56" i="22"/>
  <c r="B24" i="22"/>
  <c r="B358" i="22"/>
  <c r="B350" i="22"/>
  <c r="B342" i="22"/>
  <c r="B334" i="22"/>
  <c r="B326" i="22"/>
  <c r="B318" i="22"/>
  <c r="B310" i="22"/>
  <c r="B302" i="22"/>
  <c r="B294" i="22"/>
  <c r="B286" i="22"/>
  <c r="B278" i="22"/>
  <c r="B270" i="22"/>
  <c r="B262" i="22"/>
  <c r="B254" i="22"/>
  <c r="B246" i="22"/>
  <c r="B238" i="22"/>
  <c r="B230" i="22"/>
  <c r="B222" i="22"/>
  <c r="B214" i="22"/>
  <c r="B206" i="22"/>
  <c r="B198" i="22"/>
  <c r="B190" i="22"/>
  <c r="B182" i="22"/>
  <c r="B174" i="22"/>
  <c r="B166" i="22"/>
  <c r="B158" i="22"/>
  <c r="B150" i="22"/>
  <c r="B142" i="22"/>
  <c r="B134" i="22"/>
  <c r="B126" i="22"/>
  <c r="B118" i="22"/>
  <c r="B110" i="22"/>
  <c r="B102" i="22"/>
  <c r="B94" i="22"/>
  <c r="B86" i="22"/>
  <c r="B78" i="22"/>
  <c r="B70" i="22"/>
  <c r="B62" i="22"/>
  <c r="B54" i="22"/>
  <c r="B46" i="22"/>
  <c r="B38" i="22"/>
  <c r="B30" i="22"/>
  <c r="B22" i="22"/>
  <c r="B14" i="22"/>
  <c r="B357" i="22"/>
  <c r="B349" i="22"/>
  <c r="B341" i="22"/>
  <c r="B333" i="22"/>
  <c r="B325" i="22"/>
  <c r="B317" i="22"/>
  <c r="B309" i="22"/>
  <c r="B301" i="22"/>
  <c r="B293" i="22"/>
  <c r="B285" i="22"/>
  <c r="B277" i="22"/>
  <c r="B269" i="22"/>
  <c r="B261" i="22"/>
  <c r="B253" i="22"/>
  <c r="B245" i="22"/>
  <c r="B237" i="22"/>
  <c r="B229" i="22"/>
  <c r="B221" i="22"/>
  <c r="B213" i="22"/>
  <c r="B205" i="22"/>
  <c r="B197" i="22"/>
  <c r="B189" i="22"/>
  <c r="B181" i="22"/>
  <c r="B173" i="22"/>
  <c r="B165" i="22"/>
  <c r="B157" i="22"/>
  <c r="B149" i="22"/>
  <c r="B141" i="22"/>
  <c r="B133" i="22"/>
  <c r="B125" i="22"/>
  <c r="B117" i="22"/>
  <c r="B109" i="22"/>
  <c r="B101" i="22"/>
  <c r="B93" i="22"/>
  <c r="B85" i="22"/>
  <c r="B77" i="22"/>
  <c r="B69" i="22"/>
  <c r="B61" i="22"/>
  <c r="B53" i="22"/>
  <c r="B45" i="22"/>
  <c r="B37" i="22"/>
  <c r="B29" i="22"/>
  <c r="B21" i="22"/>
  <c r="AE9" i="24"/>
  <c r="AD139" i="24" l="1"/>
  <c r="E13" i="18" s="1"/>
  <c r="AD149" i="24"/>
  <c r="E23" i="18" s="1"/>
  <c r="AD143" i="24"/>
  <c r="E17" i="18" s="1"/>
  <c r="AD141" i="24"/>
  <c r="E15" i="18" s="1"/>
  <c r="AD148" i="24"/>
  <c r="E22" i="18" s="1"/>
  <c r="AD145" i="24"/>
  <c r="E19" i="18" s="1"/>
  <c r="AD140" i="24"/>
  <c r="E14" i="18" s="1"/>
  <c r="AD142" i="24"/>
  <c r="E16" i="18" s="1"/>
  <c r="AD144" i="24"/>
  <c r="E18" i="18" s="1"/>
  <c r="AD147" i="24"/>
  <c r="E21" i="18" s="1"/>
  <c r="AD146" i="24"/>
  <c r="E20" i="18" s="1"/>
  <c r="AE143" i="24"/>
  <c r="AD138" i="24"/>
  <c r="E12" i="18" s="1"/>
  <c r="AF9" i="24"/>
  <c r="AG9" i="24" s="1"/>
  <c r="AE7" i="24"/>
  <c r="AE6" i="24"/>
  <c r="AF6" i="24"/>
  <c r="AF7" i="24"/>
  <c r="AE139" i="24"/>
  <c r="AE145" i="24"/>
  <c r="AE141" i="24"/>
  <c r="AE147" i="24"/>
  <c r="AE149" i="24"/>
  <c r="AE146" i="24"/>
  <c r="AE148" i="24"/>
  <c r="AE142" i="24"/>
  <c r="AE144" i="24"/>
  <c r="AE138" i="24"/>
  <c r="AE140" i="24"/>
  <c r="AG80" i="24"/>
  <c r="AF5" i="24"/>
  <c r="AE13" i="24"/>
  <c r="AE8" i="24"/>
  <c r="B13" i="14" a="1"/>
  <c r="B13" i="14" s="1"/>
  <c r="AF143" i="24" l="1"/>
  <c r="E24" i="18"/>
  <c r="F17" i="18"/>
  <c r="AG7" i="24"/>
  <c r="AG6" i="24"/>
  <c r="AE5" i="24"/>
  <c r="AG5" i="24" s="1"/>
  <c r="AF146" i="24"/>
  <c r="F20" i="18"/>
  <c r="AF149" i="24"/>
  <c r="F23" i="18"/>
  <c r="AF147" i="24"/>
  <c r="F21" i="18"/>
  <c r="AF138" i="24"/>
  <c r="F12" i="18"/>
  <c r="AF145" i="24"/>
  <c r="F19" i="18"/>
  <c r="AF140" i="24"/>
  <c r="F14" i="18"/>
  <c r="AF144" i="24"/>
  <c r="F18" i="18"/>
  <c r="AF139" i="24"/>
  <c r="F13" i="18"/>
  <c r="AF141" i="24"/>
  <c r="F15" i="18"/>
  <c r="AF142" i="24"/>
  <c r="F16" i="18"/>
  <c r="AF148" i="24"/>
  <c r="F22" i="18"/>
  <c r="AF13" i="24"/>
  <c r="AG13" i="24" s="1"/>
  <c r="AF8" i="24"/>
  <c r="AG8" i="24" s="1"/>
  <c r="G13" i="14"/>
  <c r="F13" i="14"/>
  <c r="E13" i="14"/>
  <c r="D13" i="14"/>
  <c r="C13" i="14"/>
  <c r="C12" i="14" s="1"/>
  <c r="H13" i="14"/>
  <c r="F24" i="18" l="1"/>
  <c r="D21" i="24" a="1"/>
  <c r="B26" i="14"/>
  <c r="B23" i="14" a="1"/>
  <c r="C23" i="14" s="1"/>
  <c r="B17" i="14" a="1"/>
  <c r="F17" i="14" s="1"/>
  <c r="B21" i="14" a="1"/>
  <c r="F21" i="14" s="1"/>
  <c r="B15" i="14" a="1"/>
  <c r="H15" i="14" s="1"/>
  <c r="B19" i="14" a="1"/>
  <c r="E19" i="14" s="1"/>
  <c r="C26" i="14"/>
  <c r="F27" i="24" l="1"/>
  <c r="F26" i="24"/>
  <c r="F24" i="24"/>
  <c r="F23" i="24"/>
  <c r="F22" i="24"/>
  <c r="F25" i="24"/>
  <c r="D21" i="24"/>
  <c r="F21" i="24" s="1"/>
  <c r="AF4" i="24"/>
  <c r="AG4" i="24" s="1"/>
  <c r="D12" i="14"/>
  <c r="B29" i="14" a="1"/>
  <c r="C29" i="14" s="1"/>
  <c r="B23" i="14"/>
  <c r="G15" i="14"/>
  <c r="D15" i="14"/>
  <c r="F15" i="14"/>
  <c r="F19" i="14"/>
  <c r="B19" i="14"/>
  <c r="G19" i="14"/>
  <c r="E17" i="14"/>
  <c r="C19" i="14"/>
  <c r="B31" i="14" a="1"/>
  <c r="G31" i="14" s="1"/>
  <c r="H19" i="14"/>
  <c r="B17" i="14"/>
  <c r="B33" i="14" a="1"/>
  <c r="B33" i="14" s="1"/>
  <c r="D19" i="14"/>
  <c r="G17" i="14"/>
  <c r="B37" i="14" a="1"/>
  <c r="B37" i="14" s="1"/>
  <c r="C42" i="14"/>
  <c r="B42" i="14"/>
  <c r="B35" i="14" a="1"/>
  <c r="H35" i="14" s="1"/>
  <c r="C21" i="14"/>
  <c r="G21" i="14"/>
  <c r="D21" i="14"/>
  <c r="B21" i="14"/>
  <c r="H21" i="14"/>
  <c r="H17" i="14"/>
  <c r="C17" i="14"/>
  <c r="D17" i="14"/>
  <c r="B15" i="14"/>
  <c r="C15" i="14"/>
  <c r="E15" i="14"/>
  <c r="E21" i="14"/>
  <c r="B39" i="14" a="1"/>
  <c r="D56" i="24" l="1" a="1"/>
  <c r="F57" i="24" s="1"/>
  <c r="D49" i="24" a="1"/>
  <c r="D42" i="24" a="1"/>
  <c r="D28" i="24" a="1"/>
  <c r="D35" i="24" a="1"/>
  <c r="B58" i="14"/>
  <c r="E12" i="14"/>
  <c r="H12" i="14"/>
  <c r="F12" i="14"/>
  <c r="G12" i="14"/>
  <c r="F29" i="14"/>
  <c r="G29" i="14"/>
  <c r="D29" i="14"/>
  <c r="E29" i="14"/>
  <c r="H29" i="14"/>
  <c r="B29" i="14"/>
  <c r="C28" i="14"/>
  <c r="B45" i="14" a="1"/>
  <c r="G45" i="14" s="1"/>
  <c r="H33" i="14"/>
  <c r="C31" i="14"/>
  <c r="F31" i="14"/>
  <c r="E31" i="14"/>
  <c r="C35" i="14"/>
  <c r="G33" i="14"/>
  <c r="B31" i="14"/>
  <c r="C58" i="14"/>
  <c r="H37" i="14"/>
  <c r="D31" i="14"/>
  <c r="H31" i="14"/>
  <c r="C37" i="14"/>
  <c r="C33" i="14"/>
  <c r="D37" i="14"/>
  <c r="B51" i="14" a="1"/>
  <c r="G51" i="14" s="1"/>
  <c r="E33" i="14"/>
  <c r="F33" i="14"/>
  <c r="D33" i="14"/>
  <c r="E37" i="14"/>
  <c r="G37" i="14"/>
  <c r="F37" i="14"/>
  <c r="F35" i="14"/>
  <c r="D35" i="14"/>
  <c r="B35" i="14"/>
  <c r="E35" i="14"/>
  <c r="G35" i="14"/>
  <c r="B47" i="14" a="1"/>
  <c r="B53" i="14" a="1"/>
  <c r="B49" i="14" a="1"/>
  <c r="B55" i="14" a="1"/>
  <c r="C39" i="14"/>
  <c r="B39" i="14"/>
  <c r="F34" i="24" l="1"/>
  <c r="F32" i="24"/>
  <c r="F31" i="24"/>
  <c r="F30" i="24"/>
  <c r="F29" i="24"/>
  <c r="F33" i="24"/>
  <c r="F44" i="24"/>
  <c r="F43" i="24"/>
  <c r="F48" i="24"/>
  <c r="F47" i="24"/>
  <c r="F46" i="24"/>
  <c r="F45" i="24"/>
  <c r="F36" i="24"/>
  <c r="F41" i="24"/>
  <c r="F40" i="24"/>
  <c r="F39" i="24"/>
  <c r="F38" i="24"/>
  <c r="F37" i="24"/>
  <c r="F55" i="24"/>
  <c r="F53" i="24"/>
  <c r="F51" i="24"/>
  <c r="F52" i="24"/>
  <c r="F54" i="24"/>
  <c r="F50" i="24"/>
  <c r="D72" i="24" a="1"/>
  <c r="D49" i="24"/>
  <c r="F49" i="24" s="1"/>
  <c r="D42" i="24"/>
  <c r="F42" i="24" s="1"/>
  <c r="D35" i="24"/>
  <c r="F35" i="24" s="1"/>
  <c r="D58" i="24" a="1"/>
  <c r="D93" i="24" a="1"/>
  <c r="F94" i="24" s="1"/>
  <c r="D79" i="24" a="1"/>
  <c r="D65" i="24" a="1"/>
  <c r="D86" i="24" a="1"/>
  <c r="D28" i="24"/>
  <c r="F28" i="24" s="1"/>
  <c r="D56" i="24"/>
  <c r="F56" i="24" s="1"/>
  <c r="H45" i="14"/>
  <c r="F28" i="14"/>
  <c r="E28" i="14"/>
  <c r="D28" i="14"/>
  <c r="B69" i="14" a="1"/>
  <c r="C69" i="14" s="1"/>
  <c r="H28" i="14"/>
  <c r="G28" i="14"/>
  <c r="B28" i="14"/>
  <c r="G44" i="14"/>
  <c r="E45" i="14"/>
  <c r="B45" i="14"/>
  <c r="D45" i="14"/>
  <c r="C45" i="14"/>
  <c r="F45" i="14"/>
  <c r="F51" i="14"/>
  <c r="B74" i="14"/>
  <c r="C51" i="14"/>
  <c r="B51" i="14"/>
  <c r="H51" i="14"/>
  <c r="E51" i="14"/>
  <c r="D51" i="14"/>
  <c r="B67" i="14" a="1"/>
  <c r="D67" i="14" s="1"/>
  <c r="B65" i="14" a="1"/>
  <c r="D65" i="14" s="1"/>
  <c r="B61" i="14" a="1"/>
  <c r="G61" i="14" s="1"/>
  <c r="C74" i="14"/>
  <c r="C49" i="14"/>
  <c r="D49" i="14"/>
  <c r="B49" i="14"/>
  <c r="F49" i="14"/>
  <c r="E49" i="14"/>
  <c r="G49" i="14"/>
  <c r="H49" i="14"/>
  <c r="B63" i="14" a="1"/>
  <c r="B71" i="14" a="1"/>
  <c r="F47" i="14"/>
  <c r="B47" i="14"/>
  <c r="D47" i="14"/>
  <c r="H47" i="14"/>
  <c r="G47" i="14"/>
  <c r="C47" i="14"/>
  <c r="E47" i="14"/>
  <c r="C53" i="14"/>
  <c r="E53" i="14"/>
  <c r="G53" i="14"/>
  <c r="F53" i="14"/>
  <c r="B53" i="14"/>
  <c r="D53" i="14"/>
  <c r="H53" i="14"/>
  <c r="B55" i="14"/>
  <c r="C55" i="14"/>
  <c r="F70" i="24" l="1"/>
  <c r="F69" i="24"/>
  <c r="F68" i="24"/>
  <c r="F71" i="24"/>
  <c r="F67" i="24"/>
  <c r="F66" i="24"/>
  <c r="F92" i="24"/>
  <c r="F89" i="24"/>
  <c r="F91" i="24"/>
  <c r="F88" i="24"/>
  <c r="F90" i="24"/>
  <c r="F87" i="24"/>
  <c r="F82" i="24"/>
  <c r="F80" i="24"/>
  <c r="F83" i="24"/>
  <c r="F81" i="24"/>
  <c r="F84" i="24"/>
  <c r="F85" i="24"/>
  <c r="F73" i="24"/>
  <c r="F78" i="24"/>
  <c r="F77" i="24"/>
  <c r="F76" i="24"/>
  <c r="F75" i="24"/>
  <c r="F74" i="24"/>
  <c r="F63" i="24"/>
  <c r="F64" i="24"/>
  <c r="F61" i="24"/>
  <c r="F62" i="24"/>
  <c r="F59" i="24"/>
  <c r="F60" i="24"/>
  <c r="D95" i="24" a="1"/>
  <c r="D86" i="24"/>
  <c r="F86" i="24" s="1"/>
  <c r="D116" i="24" a="1"/>
  <c r="D65" i="24"/>
  <c r="F65" i="24" s="1"/>
  <c r="D130" i="24" a="1"/>
  <c r="F131" i="24" s="1"/>
  <c r="D79" i="24"/>
  <c r="F79" i="24" s="1"/>
  <c r="D123" i="24" a="1"/>
  <c r="D93" i="24"/>
  <c r="F93" i="24" s="1"/>
  <c r="D102" i="24" a="1"/>
  <c r="D109" i="24" a="1"/>
  <c r="D58" i="24"/>
  <c r="F58" i="24" s="1"/>
  <c r="D72" i="24"/>
  <c r="F72" i="24" s="1"/>
  <c r="H44" i="14"/>
  <c r="F69" i="14"/>
  <c r="E69" i="14"/>
  <c r="B69" i="14"/>
  <c r="G69" i="14"/>
  <c r="D69" i="14"/>
  <c r="H69" i="14"/>
  <c r="B79" i="14" a="1"/>
  <c r="H79" i="14" s="1"/>
  <c r="C44" i="14"/>
  <c r="D44" i="14"/>
  <c r="E44" i="14"/>
  <c r="G60" i="14"/>
  <c r="F44" i="14"/>
  <c r="B81" i="14" a="1"/>
  <c r="D81" i="14" s="1"/>
  <c r="B44" i="14"/>
  <c r="C90" i="14"/>
  <c r="H65" i="14"/>
  <c r="C65" i="14"/>
  <c r="E65" i="14"/>
  <c r="F65" i="14"/>
  <c r="G65" i="14"/>
  <c r="B67" i="14"/>
  <c r="H67" i="14"/>
  <c r="G67" i="14"/>
  <c r="F67" i="14"/>
  <c r="C67" i="14"/>
  <c r="E67" i="14"/>
  <c r="B61" i="14"/>
  <c r="B65" i="14"/>
  <c r="C61" i="14"/>
  <c r="F61" i="14"/>
  <c r="H61" i="14"/>
  <c r="B87" i="14" a="1"/>
  <c r="C87" i="14" s="1"/>
  <c r="B85" i="14" a="1"/>
  <c r="E85" i="14" s="1"/>
  <c r="E61" i="14"/>
  <c r="B90" i="14"/>
  <c r="B83" i="14" a="1"/>
  <c r="D83" i="14" s="1"/>
  <c r="D61" i="14"/>
  <c r="B77" i="14" a="1"/>
  <c r="B77" i="14" s="1"/>
  <c r="C63" i="14"/>
  <c r="H63" i="14"/>
  <c r="B63" i="14"/>
  <c r="G63" i="14"/>
  <c r="F63" i="14"/>
  <c r="D63" i="14"/>
  <c r="E63" i="14"/>
  <c r="B71" i="14"/>
  <c r="C71" i="14"/>
  <c r="F114" i="24" l="1"/>
  <c r="F110" i="24"/>
  <c r="F112" i="24"/>
  <c r="F113" i="24"/>
  <c r="F115" i="24"/>
  <c r="F111" i="24"/>
  <c r="F105" i="24"/>
  <c r="F104" i="24"/>
  <c r="F108" i="24"/>
  <c r="F103" i="24"/>
  <c r="F107" i="24"/>
  <c r="F106" i="24"/>
  <c r="F97" i="24"/>
  <c r="F96" i="24"/>
  <c r="F99" i="24"/>
  <c r="F100" i="24"/>
  <c r="F98" i="24"/>
  <c r="F101" i="24"/>
  <c r="F120" i="24"/>
  <c r="F117" i="24"/>
  <c r="F119" i="24"/>
  <c r="F118" i="24"/>
  <c r="F122" i="24"/>
  <c r="F121" i="24"/>
  <c r="F128" i="24"/>
  <c r="F127" i="24"/>
  <c r="F124" i="24"/>
  <c r="F126" i="24"/>
  <c r="F125" i="24"/>
  <c r="F129" i="24"/>
  <c r="D123" i="24"/>
  <c r="F123" i="24" s="1"/>
  <c r="D109" i="24"/>
  <c r="F109" i="24" s="1"/>
  <c r="D130" i="24"/>
  <c r="F130" i="24" s="1"/>
  <c r="D167" i="24" a="1"/>
  <c r="F168" i="24" s="1"/>
  <c r="D139" i="24" a="1"/>
  <c r="D116" i="24"/>
  <c r="F116" i="24" s="1"/>
  <c r="D153" i="24" a="1"/>
  <c r="D102" i="24"/>
  <c r="F102" i="24" s="1"/>
  <c r="D95" i="24"/>
  <c r="F95" i="24" s="1"/>
  <c r="D160" i="24" a="1"/>
  <c r="D146" i="24" a="1"/>
  <c r="D132" i="24" a="1"/>
  <c r="E79" i="14"/>
  <c r="F79" i="14"/>
  <c r="C79" i="14"/>
  <c r="G79" i="14"/>
  <c r="B79" i="14"/>
  <c r="D79" i="14"/>
  <c r="F81" i="14"/>
  <c r="E81" i="14"/>
  <c r="C81" i="14"/>
  <c r="H81" i="14"/>
  <c r="G81" i="14"/>
  <c r="B81" i="14"/>
  <c r="C106" i="14"/>
  <c r="E60" i="14"/>
  <c r="C60" i="14"/>
  <c r="D60" i="14"/>
  <c r="H60" i="14"/>
  <c r="F60" i="14"/>
  <c r="B60" i="14"/>
  <c r="B76" i="14"/>
  <c r="G85" i="14"/>
  <c r="B103" i="14" a="1"/>
  <c r="C103" i="14" s="1"/>
  <c r="B106" i="14"/>
  <c r="B95" i="14" a="1"/>
  <c r="C95" i="14" s="1"/>
  <c r="B99" i="14" a="1"/>
  <c r="C99" i="14" s="1"/>
  <c r="B97" i="14" a="1"/>
  <c r="D97" i="14" s="1"/>
  <c r="B101" i="14" a="1"/>
  <c r="D101" i="14" s="1"/>
  <c r="B93" i="14" a="1"/>
  <c r="F93" i="14" s="1"/>
  <c r="C83" i="14"/>
  <c r="H85" i="14"/>
  <c r="B87" i="14"/>
  <c r="F83" i="14"/>
  <c r="F77" i="14"/>
  <c r="H77" i="14"/>
  <c r="G77" i="14"/>
  <c r="H83" i="14"/>
  <c r="E83" i="14"/>
  <c r="F85" i="14"/>
  <c r="C77" i="14"/>
  <c r="E77" i="14"/>
  <c r="D85" i="14"/>
  <c r="B85" i="14"/>
  <c r="B83" i="14"/>
  <c r="G83" i="14"/>
  <c r="C85" i="14"/>
  <c r="D77" i="14"/>
  <c r="F163" i="24" l="1"/>
  <c r="F162" i="24"/>
  <c r="F166" i="24"/>
  <c r="F161" i="24"/>
  <c r="F165" i="24"/>
  <c r="F164" i="24"/>
  <c r="F151" i="24"/>
  <c r="F149" i="24"/>
  <c r="F150" i="24"/>
  <c r="F148" i="24"/>
  <c r="F147" i="24"/>
  <c r="F152" i="24"/>
  <c r="F159" i="24"/>
  <c r="F158" i="24"/>
  <c r="F154" i="24"/>
  <c r="F156" i="24"/>
  <c r="F155" i="24"/>
  <c r="F157" i="24"/>
  <c r="F144" i="24"/>
  <c r="F141" i="24"/>
  <c r="F142" i="24"/>
  <c r="F143" i="24"/>
  <c r="F145" i="24"/>
  <c r="F140" i="24"/>
  <c r="F136" i="24"/>
  <c r="F135" i="24"/>
  <c r="F138" i="24"/>
  <c r="F137" i="24"/>
  <c r="F134" i="24"/>
  <c r="F133" i="24"/>
  <c r="D183" i="24" a="1"/>
  <c r="D132" i="24"/>
  <c r="F132" i="24" s="1"/>
  <c r="D139" i="24"/>
  <c r="F139" i="24" s="1"/>
  <c r="D190" i="24" a="1"/>
  <c r="D176" i="24" a="1"/>
  <c r="D146" i="24"/>
  <c r="F146" i="24" s="1"/>
  <c r="D167" i="24"/>
  <c r="F167" i="24" s="1"/>
  <c r="D169" i="24" a="1"/>
  <c r="D153" i="24"/>
  <c r="F153" i="24" s="1"/>
  <c r="D197" i="24" a="1"/>
  <c r="D204" i="24" a="1"/>
  <c r="F205" i="24" s="1"/>
  <c r="D160" i="24"/>
  <c r="F160" i="24" s="1"/>
  <c r="B138" i="14"/>
  <c r="B119" i="14" a="1"/>
  <c r="C119" i="14" s="1"/>
  <c r="F92" i="14"/>
  <c r="C122" i="14"/>
  <c r="G76" i="14"/>
  <c r="H76" i="14"/>
  <c r="F76" i="14"/>
  <c r="E76" i="14"/>
  <c r="C76" i="14"/>
  <c r="D76" i="14"/>
  <c r="B111" i="14" a="1"/>
  <c r="C111" i="14" s="1"/>
  <c r="B113" i="14" a="1"/>
  <c r="C113" i="14" s="1"/>
  <c r="B109" i="14" a="1"/>
  <c r="E109" i="14" s="1"/>
  <c r="B103" i="14"/>
  <c r="E95" i="14"/>
  <c r="B115" i="14" a="1"/>
  <c r="B115" i="14" s="1"/>
  <c r="G97" i="14"/>
  <c r="C97" i="14"/>
  <c r="B117" i="14" a="1"/>
  <c r="H117" i="14" s="1"/>
  <c r="E97" i="14"/>
  <c r="H101" i="14"/>
  <c r="C101" i="14"/>
  <c r="B122" i="14"/>
  <c r="F97" i="14"/>
  <c r="B97" i="14"/>
  <c r="C93" i="14"/>
  <c r="G95" i="14"/>
  <c r="H97" i="14"/>
  <c r="H99" i="14"/>
  <c r="D99" i="14"/>
  <c r="E99" i="14"/>
  <c r="B99" i="14"/>
  <c r="G99" i="14"/>
  <c r="F99" i="14"/>
  <c r="B101" i="14"/>
  <c r="G101" i="14"/>
  <c r="D95" i="14"/>
  <c r="F101" i="14"/>
  <c r="E101" i="14"/>
  <c r="H95" i="14"/>
  <c r="B95" i="14"/>
  <c r="B93" i="14"/>
  <c r="E93" i="14"/>
  <c r="G93" i="14"/>
  <c r="H93" i="14"/>
  <c r="D93" i="14"/>
  <c r="F95" i="14"/>
  <c r="F200" i="24" l="1"/>
  <c r="F199" i="24"/>
  <c r="F198" i="24"/>
  <c r="F203" i="24"/>
  <c r="F202" i="24"/>
  <c r="F201" i="24"/>
  <c r="F184" i="24"/>
  <c r="F189" i="24"/>
  <c r="F188" i="24"/>
  <c r="F187" i="24"/>
  <c r="F186" i="24"/>
  <c r="F185" i="24"/>
  <c r="F171" i="24"/>
  <c r="F170" i="24"/>
  <c r="F175" i="24"/>
  <c r="F174" i="24"/>
  <c r="F173" i="24"/>
  <c r="F172" i="24"/>
  <c r="F177" i="24"/>
  <c r="F179" i="24"/>
  <c r="F181" i="24"/>
  <c r="F182" i="24"/>
  <c r="F178" i="24"/>
  <c r="F180" i="24"/>
  <c r="F192" i="24"/>
  <c r="F191" i="24"/>
  <c r="F196" i="24"/>
  <c r="F195" i="24"/>
  <c r="F194" i="24"/>
  <c r="F193" i="24"/>
  <c r="D169" i="24"/>
  <c r="F169" i="24" s="1"/>
  <c r="D176" i="24"/>
  <c r="F176" i="24" s="1"/>
  <c r="D241" i="24" a="1"/>
  <c r="F242" i="24" s="1"/>
  <c r="D204" i="24"/>
  <c r="F204" i="24" s="1"/>
  <c r="D234" i="24" a="1"/>
  <c r="D227" i="24" a="1"/>
  <c r="D190" i="24"/>
  <c r="F190" i="24" s="1"/>
  <c r="D183" i="24"/>
  <c r="F183" i="24" s="1"/>
  <c r="D206" i="24" a="1"/>
  <c r="D213" i="24" a="1"/>
  <c r="D220" i="24" a="1"/>
  <c r="D197" i="24"/>
  <c r="F197" i="24" s="1"/>
  <c r="B119" i="14"/>
  <c r="C109" i="14"/>
  <c r="C108" i="14" s="1"/>
  <c r="F113" i="14"/>
  <c r="F111" i="14"/>
  <c r="H109" i="14"/>
  <c r="D109" i="14"/>
  <c r="D108" i="14" s="1"/>
  <c r="B113" i="14"/>
  <c r="B133" i="14" a="1"/>
  <c r="E133" i="14" s="1"/>
  <c r="H92" i="14"/>
  <c r="B109" i="14"/>
  <c r="G111" i="14"/>
  <c r="D113" i="14"/>
  <c r="C92" i="14"/>
  <c r="D92" i="14"/>
  <c r="E108" i="14"/>
  <c r="F109" i="14"/>
  <c r="H113" i="14"/>
  <c r="G92" i="14"/>
  <c r="G109" i="14"/>
  <c r="G113" i="14"/>
  <c r="E92" i="14"/>
  <c r="B111" i="14"/>
  <c r="E113" i="14"/>
  <c r="D111" i="14"/>
  <c r="B125" i="14" a="1"/>
  <c r="F125" i="14" s="1"/>
  <c r="B127" i="14" a="1"/>
  <c r="E127" i="14" s="1"/>
  <c r="E111" i="14"/>
  <c r="H111" i="14"/>
  <c r="B92" i="14"/>
  <c r="G115" i="14"/>
  <c r="F115" i="14"/>
  <c r="E115" i="14"/>
  <c r="C115" i="14"/>
  <c r="D115" i="14"/>
  <c r="H115" i="14"/>
  <c r="C117" i="14"/>
  <c r="D117" i="14"/>
  <c r="B117" i="14"/>
  <c r="G117" i="14"/>
  <c r="F117" i="14"/>
  <c r="E117" i="14"/>
  <c r="B135" i="14" a="1"/>
  <c r="C135" i="14" s="1"/>
  <c r="B131" i="14" a="1"/>
  <c r="F131" i="14" s="1"/>
  <c r="C138" i="14"/>
  <c r="B129" i="14" a="1"/>
  <c r="E129" i="14" s="1"/>
  <c r="F216" i="24" l="1"/>
  <c r="F215" i="24"/>
  <c r="F214" i="24"/>
  <c r="F219" i="24"/>
  <c r="F218" i="24"/>
  <c r="F217" i="24"/>
  <c r="F208" i="24"/>
  <c r="F207" i="24"/>
  <c r="F212" i="24"/>
  <c r="F211" i="24"/>
  <c r="F210" i="24"/>
  <c r="F209" i="24"/>
  <c r="F232" i="24"/>
  <c r="F231" i="24"/>
  <c r="F229" i="24"/>
  <c r="F228" i="24"/>
  <c r="F230" i="24"/>
  <c r="F233" i="24"/>
  <c r="F236" i="24"/>
  <c r="F238" i="24"/>
  <c r="F239" i="24"/>
  <c r="F240" i="24"/>
  <c r="F235" i="24"/>
  <c r="F237" i="24"/>
  <c r="F224" i="24"/>
  <c r="F223" i="24"/>
  <c r="F221" i="24"/>
  <c r="F226" i="24"/>
  <c r="F225" i="24"/>
  <c r="F222" i="24"/>
  <c r="D227" i="24"/>
  <c r="F227" i="24" s="1"/>
  <c r="D264" i="24" a="1"/>
  <c r="D234" i="24"/>
  <c r="F234" i="24" s="1"/>
  <c r="D257" i="24" a="1"/>
  <c r="D206" i="24"/>
  <c r="F206" i="24" s="1"/>
  <c r="D271" i="24" a="1"/>
  <c r="D250" i="24" a="1"/>
  <c r="D220" i="24"/>
  <c r="F220" i="24" s="1"/>
  <c r="D243" i="24" a="1"/>
  <c r="D278" i="24" a="1"/>
  <c r="F279" i="24" s="1"/>
  <c r="D213" i="24"/>
  <c r="F213" i="24" s="1"/>
  <c r="D241" i="24"/>
  <c r="F241" i="24" s="1"/>
  <c r="H108" i="14"/>
  <c r="H133" i="14"/>
  <c r="F133" i="14"/>
  <c r="B133" i="14"/>
  <c r="G133" i="14"/>
  <c r="C133" i="14"/>
  <c r="D133" i="14"/>
  <c r="E125" i="14"/>
  <c r="H125" i="14"/>
  <c r="F124" i="14"/>
  <c r="C125" i="14"/>
  <c r="F108" i="14"/>
  <c r="G125" i="14"/>
  <c r="B125" i="14"/>
  <c r="D125" i="14"/>
  <c r="B151" i="14" a="1"/>
  <c r="B151" i="14" s="1"/>
  <c r="B108" i="14"/>
  <c r="G108" i="14"/>
  <c r="H127" i="14"/>
  <c r="B127" i="14"/>
  <c r="G127" i="14"/>
  <c r="D127" i="14"/>
  <c r="C127" i="14"/>
  <c r="F127" i="14"/>
  <c r="B145" i="14" a="1"/>
  <c r="D145" i="14" s="1"/>
  <c r="B147" i="14" a="1"/>
  <c r="E147" i="14" s="1"/>
  <c r="B135" i="14"/>
  <c r="E131" i="14"/>
  <c r="G131" i="14"/>
  <c r="H131" i="14"/>
  <c r="G129" i="14"/>
  <c r="D131" i="14"/>
  <c r="H129" i="14"/>
  <c r="B143" i="14" a="1"/>
  <c r="D143" i="14" s="1"/>
  <c r="F129" i="14"/>
  <c r="B149" i="14" a="1"/>
  <c r="E149" i="14" s="1"/>
  <c r="C129" i="14"/>
  <c r="D129" i="14"/>
  <c r="B131" i="14"/>
  <c r="B129" i="14"/>
  <c r="B154" i="14"/>
  <c r="C131" i="14"/>
  <c r="C154" i="14"/>
  <c r="B141" i="14" a="1"/>
  <c r="B141" i="14" s="1"/>
  <c r="F266" i="24" l="1"/>
  <c r="F268" i="24"/>
  <c r="F269" i="24"/>
  <c r="F265" i="24"/>
  <c r="F267" i="24"/>
  <c r="F270" i="24"/>
  <c r="F247" i="24"/>
  <c r="F246" i="24"/>
  <c r="F244" i="24"/>
  <c r="F249" i="24"/>
  <c r="F245" i="24"/>
  <c r="F248" i="24"/>
  <c r="F256" i="24"/>
  <c r="F255" i="24"/>
  <c r="F254" i="24"/>
  <c r="F251" i="24"/>
  <c r="F253" i="24"/>
  <c r="F252" i="24"/>
  <c r="F275" i="24"/>
  <c r="F274" i="24"/>
  <c r="F273" i="24"/>
  <c r="F272" i="24"/>
  <c r="F277" i="24"/>
  <c r="F276" i="24"/>
  <c r="F260" i="24"/>
  <c r="F258" i="24"/>
  <c r="F259" i="24"/>
  <c r="F263" i="24"/>
  <c r="F262" i="24"/>
  <c r="F261" i="24"/>
  <c r="D250" i="24"/>
  <c r="F250" i="24" s="1"/>
  <c r="D301" i="24" a="1"/>
  <c r="D271" i="24"/>
  <c r="F271" i="24" s="1"/>
  <c r="D294" i="24" a="1"/>
  <c r="D280" i="24" a="1"/>
  <c r="D257" i="24"/>
  <c r="F257" i="24" s="1"/>
  <c r="D243" i="24"/>
  <c r="F243" i="24" s="1"/>
  <c r="D287" i="24" a="1"/>
  <c r="D308" i="24" a="1"/>
  <c r="D315" i="24" a="1"/>
  <c r="F316" i="24" s="1"/>
  <c r="D278" i="24"/>
  <c r="F278" i="24" s="1"/>
  <c r="D264" i="24"/>
  <c r="F264" i="24" s="1"/>
  <c r="E124" i="14"/>
  <c r="C151" i="14"/>
  <c r="B124" i="14"/>
  <c r="H124" i="14"/>
  <c r="D124" i="14"/>
  <c r="C124" i="14"/>
  <c r="B165" i="14" a="1"/>
  <c r="D165" i="14" s="1"/>
  <c r="G124" i="14"/>
  <c r="H145" i="14"/>
  <c r="G145" i="14"/>
  <c r="C145" i="14"/>
  <c r="B140" i="14"/>
  <c r="F145" i="14"/>
  <c r="E145" i="14"/>
  <c r="D147" i="14"/>
  <c r="B145" i="14"/>
  <c r="G147" i="14"/>
  <c r="F147" i="14"/>
  <c r="H147" i="14"/>
  <c r="C147" i="14"/>
  <c r="B147" i="14"/>
  <c r="B163" i="14" a="1"/>
  <c r="H163" i="14" s="1"/>
  <c r="B170" i="14"/>
  <c r="B161" i="14" a="1"/>
  <c r="B161" i="14" s="1"/>
  <c r="C170" i="14"/>
  <c r="D149" i="14"/>
  <c r="H143" i="14"/>
  <c r="B157" i="14" a="1"/>
  <c r="B157" i="14" s="1"/>
  <c r="D141" i="14"/>
  <c r="H149" i="14"/>
  <c r="F141" i="14"/>
  <c r="C143" i="14"/>
  <c r="C149" i="14"/>
  <c r="B167" i="14" a="1"/>
  <c r="B167" i="14" s="1"/>
  <c r="G149" i="14"/>
  <c r="F143" i="14"/>
  <c r="B149" i="14"/>
  <c r="E143" i="14"/>
  <c r="B159" i="14" a="1"/>
  <c r="H159" i="14" s="1"/>
  <c r="F149" i="14"/>
  <c r="G143" i="14"/>
  <c r="C141" i="14"/>
  <c r="B143" i="14"/>
  <c r="H141" i="14"/>
  <c r="G141" i="14"/>
  <c r="E141" i="14"/>
  <c r="F305" i="24" l="1"/>
  <c r="F304" i="24"/>
  <c r="F303" i="24"/>
  <c r="F302" i="24"/>
  <c r="F307" i="24"/>
  <c r="F306" i="24"/>
  <c r="F313" i="24"/>
  <c r="F312" i="24"/>
  <c r="F311" i="24"/>
  <c r="F310" i="24"/>
  <c r="F309" i="24"/>
  <c r="F314" i="24"/>
  <c r="F290" i="24"/>
  <c r="F293" i="24"/>
  <c r="F288" i="24"/>
  <c r="F289" i="24"/>
  <c r="F292" i="24"/>
  <c r="F291" i="24"/>
  <c r="F283" i="24"/>
  <c r="F282" i="24"/>
  <c r="F281" i="24"/>
  <c r="F286" i="24"/>
  <c r="F285" i="24"/>
  <c r="F284" i="24"/>
  <c r="F297" i="24"/>
  <c r="F296" i="24"/>
  <c r="F295" i="24"/>
  <c r="F300" i="24"/>
  <c r="F299" i="24"/>
  <c r="F298" i="24"/>
  <c r="D352" i="24" a="1"/>
  <c r="D317" i="24" a="1"/>
  <c r="D315" i="24"/>
  <c r="F315" i="24" s="1"/>
  <c r="D287" i="24"/>
  <c r="F287" i="24" s="1"/>
  <c r="D331" i="24" a="1"/>
  <c r="D280" i="24"/>
  <c r="F280" i="24" s="1"/>
  <c r="D308" i="24"/>
  <c r="F308" i="24" s="1"/>
  <c r="D324" i="24" a="1"/>
  <c r="D294" i="24"/>
  <c r="F294" i="24" s="1"/>
  <c r="D345" i="24" a="1"/>
  <c r="D338" i="24" a="1"/>
  <c r="D301" i="24"/>
  <c r="F301" i="24" s="1"/>
  <c r="F165" i="14"/>
  <c r="B165" i="14"/>
  <c r="G165" i="14"/>
  <c r="C165" i="14"/>
  <c r="E165" i="14"/>
  <c r="H165" i="14"/>
  <c r="B156" i="14"/>
  <c r="E140" i="14"/>
  <c r="H140" i="14"/>
  <c r="F140" i="14"/>
  <c r="D140" i="14"/>
  <c r="C140" i="14"/>
  <c r="G140" i="14"/>
  <c r="B163" i="14"/>
  <c r="B181" i="14" a="1"/>
  <c r="B181" i="14" s="1"/>
  <c r="F163" i="14"/>
  <c r="C163" i="14"/>
  <c r="E163" i="14"/>
  <c r="D163" i="14"/>
  <c r="D161" i="14"/>
  <c r="G161" i="14"/>
  <c r="E161" i="14"/>
  <c r="G163" i="14"/>
  <c r="F161" i="14"/>
  <c r="H161" i="14"/>
  <c r="C161" i="14"/>
  <c r="G157" i="14"/>
  <c r="D157" i="14"/>
  <c r="E157" i="14"/>
  <c r="C157" i="14"/>
  <c r="H157" i="14"/>
  <c r="F157" i="14"/>
  <c r="B173" i="14" a="1"/>
  <c r="E173" i="14" s="1"/>
  <c r="B179" i="14" a="1"/>
  <c r="B179" i="14" s="1"/>
  <c r="C167" i="14"/>
  <c r="B186" i="14"/>
  <c r="D159" i="14"/>
  <c r="F159" i="14"/>
  <c r="B175" i="14" a="1"/>
  <c r="D175" i="14" s="1"/>
  <c r="B159" i="14"/>
  <c r="B183" i="14" a="1"/>
  <c r="C183" i="14" s="1"/>
  <c r="B177" i="14" a="1"/>
  <c r="H177" i="14" s="1"/>
  <c r="C159" i="14"/>
  <c r="E159" i="14"/>
  <c r="C186" i="14"/>
  <c r="G159" i="14"/>
  <c r="F333" i="24" l="1"/>
  <c r="F337" i="24"/>
  <c r="F336" i="24"/>
  <c r="F332" i="24"/>
  <c r="F334" i="24"/>
  <c r="F335" i="24"/>
  <c r="F351" i="24"/>
  <c r="F350" i="24"/>
  <c r="F349" i="24"/>
  <c r="F348" i="24"/>
  <c r="F347" i="24"/>
  <c r="F346" i="24"/>
  <c r="D317" i="24"/>
  <c r="F317" i="24" s="1"/>
  <c r="F321" i="24"/>
  <c r="F320" i="24"/>
  <c r="F319" i="24"/>
  <c r="F318" i="24"/>
  <c r="F323" i="24"/>
  <c r="F322" i="24"/>
  <c r="D352" i="24"/>
  <c r="F352" i="24" s="1"/>
  <c r="F353" i="24"/>
  <c r="F329" i="24"/>
  <c r="F328" i="24"/>
  <c r="F327" i="24"/>
  <c r="F326" i="24"/>
  <c r="F325" i="24"/>
  <c r="F330" i="24"/>
  <c r="F344" i="24"/>
  <c r="F343" i="24"/>
  <c r="F342" i="24"/>
  <c r="F341" i="24"/>
  <c r="F340" i="24"/>
  <c r="F339" i="24"/>
  <c r="D354" i="24" a="1"/>
  <c r="D338" i="24"/>
  <c r="F338" i="24" s="1"/>
  <c r="D368" i="24" a="1"/>
  <c r="D324" i="24"/>
  <c r="F324" i="24" s="1"/>
  <c r="D345" i="24"/>
  <c r="F345" i="24" s="1"/>
  <c r="D331" i="24"/>
  <c r="F331" i="24" s="1"/>
  <c r="D389" i="24" a="1"/>
  <c r="F390" i="24" s="1"/>
  <c r="D382" i="24" a="1"/>
  <c r="D375" i="24" a="1"/>
  <c r="D361" i="24" a="1"/>
  <c r="F156" i="14"/>
  <c r="H156" i="14"/>
  <c r="E156" i="14"/>
  <c r="D156" i="14"/>
  <c r="G156" i="14"/>
  <c r="C156" i="14"/>
  <c r="E172" i="14"/>
  <c r="G181" i="14"/>
  <c r="B189" i="14" a="1"/>
  <c r="B189" i="14" s="1"/>
  <c r="C181" i="14"/>
  <c r="B173" i="14"/>
  <c r="H181" i="14"/>
  <c r="E181" i="14"/>
  <c r="D181" i="14"/>
  <c r="F181" i="14"/>
  <c r="B195" i="14" a="1"/>
  <c r="F195" i="14" s="1"/>
  <c r="B199" i="14" a="1"/>
  <c r="B199" i="14" s="1"/>
  <c r="F173" i="14"/>
  <c r="D173" i="14"/>
  <c r="H173" i="14"/>
  <c r="B175" i="14"/>
  <c r="G173" i="14"/>
  <c r="F179" i="14"/>
  <c r="C179" i="14"/>
  <c r="G177" i="14"/>
  <c r="D179" i="14"/>
  <c r="B197" i="14" a="1"/>
  <c r="E197" i="14" s="1"/>
  <c r="E175" i="14"/>
  <c r="E179" i="14"/>
  <c r="G175" i="14"/>
  <c r="B177" i="14"/>
  <c r="H179" i="14"/>
  <c r="B191" i="14" a="1"/>
  <c r="C191" i="14" s="1"/>
  <c r="F175" i="14"/>
  <c r="D177" i="14"/>
  <c r="C173" i="14"/>
  <c r="B193" i="14" a="1"/>
  <c r="C193" i="14" s="1"/>
  <c r="E177" i="14"/>
  <c r="G179" i="14"/>
  <c r="H175" i="14"/>
  <c r="C177" i="14"/>
  <c r="F177" i="14"/>
  <c r="B183" i="14"/>
  <c r="C175" i="14"/>
  <c r="F371" i="24" l="1"/>
  <c r="F373" i="24"/>
  <c r="F374" i="24"/>
  <c r="F369" i="24"/>
  <c r="F370" i="24"/>
  <c r="F372" i="24"/>
  <c r="F381" i="24"/>
  <c r="F380" i="24"/>
  <c r="F379" i="24"/>
  <c r="F378" i="24"/>
  <c r="F377" i="24"/>
  <c r="F376" i="24"/>
  <c r="F360" i="24"/>
  <c r="F355" i="24"/>
  <c r="F357" i="24"/>
  <c r="F359" i="24"/>
  <c r="F356" i="24"/>
  <c r="F358" i="24"/>
  <c r="F366" i="24"/>
  <c r="F365" i="24"/>
  <c r="F364" i="24"/>
  <c r="F363" i="24"/>
  <c r="F362" i="24"/>
  <c r="F367" i="24"/>
  <c r="F388" i="24"/>
  <c r="F387" i="24"/>
  <c r="F386" i="24"/>
  <c r="F385" i="24"/>
  <c r="F384" i="24"/>
  <c r="F383" i="24"/>
  <c r="D354" i="24"/>
  <c r="F354" i="24" s="1"/>
  <c r="D382" i="24"/>
  <c r="F382" i="24" s="1"/>
  <c r="D398" i="24" a="1"/>
  <c r="D361" i="24"/>
  <c r="F361" i="24" s="1"/>
  <c r="D389" i="24"/>
  <c r="F389" i="24" s="1"/>
  <c r="D412" i="24" a="1"/>
  <c r="D375" i="24"/>
  <c r="F375" i="24" s="1"/>
  <c r="D405" i="24" a="1"/>
  <c r="D426" i="24" a="1"/>
  <c r="F427" i="24" s="1"/>
  <c r="D391" i="24" a="1"/>
  <c r="D368" i="24"/>
  <c r="F368" i="24" s="1"/>
  <c r="D419" i="24" a="1"/>
  <c r="C189" i="14"/>
  <c r="C188" i="14" s="1"/>
  <c r="F189" i="14"/>
  <c r="F188" i="14" s="1"/>
  <c r="D189" i="14"/>
  <c r="D188" i="14" s="1"/>
  <c r="C172" i="14"/>
  <c r="H172" i="14"/>
  <c r="B172" i="14"/>
  <c r="F172" i="14"/>
  <c r="G189" i="14"/>
  <c r="E189" i="14"/>
  <c r="H189" i="14"/>
  <c r="D172" i="14"/>
  <c r="G172" i="14"/>
  <c r="G195" i="14"/>
  <c r="E195" i="14"/>
  <c r="B188" i="14"/>
  <c r="C195" i="14"/>
  <c r="D195" i="14"/>
  <c r="E193" i="14"/>
  <c r="B197" i="14"/>
  <c r="B193" i="14"/>
  <c r="H195" i="14"/>
  <c r="C199" i="14"/>
  <c r="B195" i="14"/>
  <c r="E191" i="14"/>
  <c r="H193" i="14"/>
  <c r="D197" i="14"/>
  <c r="F191" i="14"/>
  <c r="H191" i="14"/>
  <c r="B191" i="14"/>
  <c r="H197" i="14"/>
  <c r="D193" i="14"/>
  <c r="D191" i="14"/>
  <c r="C197" i="14"/>
  <c r="G193" i="14"/>
  <c r="F197" i="14"/>
  <c r="F193" i="14"/>
  <c r="G191" i="14"/>
  <c r="G197" i="14"/>
  <c r="F397" i="24" l="1"/>
  <c r="F396" i="24"/>
  <c r="F395" i="24"/>
  <c r="F394" i="24"/>
  <c r="F393" i="24"/>
  <c r="F392" i="24"/>
  <c r="F411" i="24"/>
  <c r="F410" i="24"/>
  <c r="F409" i="24"/>
  <c r="F408" i="24"/>
  <c r="F407" i="24"/>
  <c r="F406" i="24"/>
  <c r="F418" i="24"/>
  <c r="F417" i="24"/>
  <c r="F416" i="24"/>
  <c r="F415" i="24"/>
  <c r="F414" i="24"/>
  <c r="F413" i="24"/>
  <c r="F423" i="24"/>
  <c r="F424" i="24"/>
  <c r="F425" i="24"/>
  <c r="F421" i="24"/>
  <c r="F420" i="24"/>
  <c r="F422" i="24"/>
  <c r="F400" i="24"/>
  <c r="F404" i="24"/>
  <c r="F399" i="24"/>
  <c r="F403" i="24"/>
  <c r="F401" i="24"/>
  <c r="F402" i="24"/>
  <c r="D435" i="24" a="1"/>
  <c r="D412" i="24"/>
  <c r="F412" i="24" s="1"/>
  <c r="D442" i="24" a="1"/>
  <c r="D456" i="24" a="1"/>
  <c r="D426" i="24"/>
  <c r="F426" i="24" s="1"/>
  <c r="D463" i="24" a="1"/>
  <c r="F464" i="24" s="1"/>
  <c r="D398" i="24"/>
  <c r="F398" i="24" s="1"/>
  <c r="D419" i="24"/>
  <c r="F419" i="24" s="1"/>
  <c r="D405" i="24"/>
  <c r="F405" i="24" s="1"/>
  <c r="D391" i="24"/>
  <c r="F391" i="24" s="1"/>
  <c r="D449" i="24" a="1"/>
  <c r="D428" i="24" a="1"/>
  <c r="H188" i="14"/>
  <c r="G188" i="14"/>
  <c r="E188" i="14"/>
  <c r="F440" i="24" l="1"/>
  <c r="F439" i="24"/>
  <c r="F438" i="24"/>
  <c r="F437" i="24"/>
  <c r="F436" i="24"/>
  <c r="F441" i="24"/>
  <c r="F432" i="24"/>
  <c r="F431" i="24"/>
  <c r="F430" i="24"/>
  <c r="F429" i="24"/>
  <c r="F434" i="24"/>
  <c r="F433" i="24"/>
  <c r="F462" i="24"/>
  <c r="F461" i="24"/>
  <c r="F460" i="24"/>
  <c r="F459" i="24"/>
  <c r="F458" i="24"/>
  <c r="F457" i="24"/>
  <c r="F455" i="24"/>
  <c r="F454" i="24"/>
  <c r="F453" i="24"/>
  <c r="F452" i="24"/>
  <c r="F451" i="24"/>
  <c r="F450" i="24"/>
  <c r="F448" i="24"/>
  <c r="F447" i="24"/>
  <c r="F446" i="24"/>
  <c r="F445" i="24"/>
  <c r="F444" i="24"/>
  <c r="F443" i="24"/>
  <c r="D449" i="24"/>
  <c r="F449" i="24" s="1"/>
  <c r="D463" i="24"/>
  <c r="F463" i="24" s="1"/>
  <c r="D428" i="24"/>
  <c r="F428" i="24" s="1"/>
  <c r="D456" i="24"/>
  <c r="F456" i="24" s="1"/>
  <c r="D435" i="24"/>
  <c r="F435" i="24" s="1"/>
  <c r="D442" i="24"/>
  <c r="F442" i="24" s="1"/>
  <c r="Z3" i="24" l="1"/>
  <c r="J21" i="24" a="1"/>
  <c r="C27" i="18" l="1"/>
  <c r="P21" i="24"/>
  <c r="S224" i="24"/>
  <c r="S226" i="24"/>
  <c r="S225" i="24"/>
  <c r="S223" i="24"/>
  <c r="S218" i="24"/>
  <c r="S219" i="24"/>
  <c r="S220" i="24"/>
  <c r="S221" i="24"/>
  <c r="S222" i="24"/>
  <c r="S216" i="24"/>
  <c r="S217" i="24"/>
  <c r="S215" i="24"/>
  <c r="S214" i="24"/>
  <c r="S32" i="24"/>
  <c r="S40" i="24"/>
  <c r="S48" i="24"/>
  <c r="S56" i="24"/>
  <c r="S64" i="24"/>
  <c r="S72" i="24"/>
  <c r="S80" i="24"/>
  <c r="S88" i="24"/>
  <c r="S96" i="24"/>
  <c r="S104" i="24"/>
  <c r="S112" i="24"/>
  <c r="S120" i="24"/>
  <c r="S128" i="24"/>
  <c r="S136" i="24"/>
  <c r="S144" i="24"/>
  <c r="S152" i="24"/>
  <c r="S160" i="24"/>
  <c r="S168" i="24"/>
  <c r="S176" i="24"/>
  <c r="S184" i="24"/>
  <c r="S192" i="24"/>
  <c r="S200" i="24"/>
  <c r="S208" i="24"/>
  <c r="S27" i="24"/>
  <c r="S33" i="24"/>
  <c r="S41" i="24"/>
  <c r="S49" i="24"/>
  <c r="S57" i="24"/>
  <c r="S65" i="24"/>
  <c r="S73" i="24"/>
  <c r="S81" i="24"/>
  <c r="S89" i="24"/>
  <c r="S97" i="24"/>
  <c r="S105" i="24"/>
  <c r="S113" i="24"/>
  <c r="S121" i="24"/>
  <c r="S129" i="24"/>
  <c r="S137" i="24"/>
  <c r="S145" i="24"/>
  <c r="S153" i="24"/>
  <c r="S161" i="24"/>
  <c r="S169" i="24"/>
  <c r="S177" i="24"/>
  <c r="S185" i="24"/>
  <c r="S193" i="24"/>
  <c r="S201" i="24"/>
  <c r="S209" i="24"/>
  <c r="S28" i="24"/>
  <c r="S34" i="24"/>
  <c r="S42" i="24"/>
  <c r="S50" i="24"/>
  <c r="S58" i="24"/>
  <c r="S66" i="24"/>
  <c r="S74" i="24"/>
  <c r="S82" i="24"/>
  <c r="S90" i="24"/>
  <c r="S98" i="24"/>
  <c r="S106" i="24"/>
  <c r="S114" i="24"/>
  <c r="S122" i="24"/>
  <c r="S130" i="24"/>
  <c r="S138" i="24"/>
  <c r="S146" i="24"/>
  <c r="S154" i="24"/>
  <c r="S162" i="24"/>
  <c r="S170" i="24"/>
  <c r="S178" i="24"/>
  <c r="S186" i="24"/>
  <c r="S194" i="24"/>
  <c r="S202" i="24"/>
  <c r="S210" i="24"/>
  <c r="S35" i="24"/>
  <c r="S43" i="24"/>
  <c r="S51" i="24"/>
  <c r="S59" i="24"/>
  <c r="S67" i="24"/>
  <c r="S75" i="24"/>
  <c r="S83" i="24"/>
  <c r="S91" i="24"/>
  <c r="S99" i="24"/>
  <c r="S107" i="24"/>
  <c r="S115" i="24"/>
  <c r="S123" i="24"/>
  <c r="S131" i="24"/>
  <c r="S139" i="24"/>
  <c r="S147" i="24"/>
  <c r="S155" i="24"/>
  <c r="S163" i="24"/>
  <c r="S171" i="24"/>
  <c r="S179" i="24"/>
  <c r="S187" i="24"/>
  <c r="S195" i="24"/>
  <c r="S203" i="24"/>
  <c r="S211" i="24"/>
  <c r="S22" i="24"/>
  <c r="S36" i="24"/>
  <c r="S44" i="24"/>
  <c r="S52" i="24"/>
  <c r="S60" i="24"/>
  <c r="S68" i="24"/>
  <c r="S76" i="24"/>
  <c r="S84" i="24"/>
  <c r="S92" i="24"/>
  <c r="S100" i="24"/>
  <c r="S108" i="24"/>
  <c r="S116" i="24"/>
  <c r="S124" i="24"/>
  <c r="S132" i="24"/>
  <c r="S140" i="24"/>
  <c r="S148" i="24"/>
  <c r="S156" i="24"/>
  <c r="S164" i="24"/>
  <c r="S172" i="24"/>
  <c r="S180" i="24"/>
  <c r="S188" i="24"/>
  <c r="S196" i="24"/>
  <c r="S204" i="24"/>
  <c r="S212" i="24"/>
  <c r="S23" i="24"/>
  <c r="S29" i="24"/>
  <c r="S37" i="24"/>
  <c r="S45" i="24"/>
  <c r="S53" i="24"/>
  <c r="S61" i="24"/>
  <c r="S69" i="24"/>
  <c r="S77" i="24"/>
  <c r="S85" i="24"/>
  <c r="S93" i="24"/>
  <c r="S101" i="24"/>
  <c r="S109" i="24"/>
  <c r="S117" i="24"/>
  <c r="S125" i="24"/>
  <c r="S133" i="24"/>
  <c r="S141" i="24"/>
  <c r="S149" i="24"/>
  <c r="S157" i="24"/>
  <c r="S165" i="24"/>
  <c r="S173" i="24"/>
  <c r="S181" i="24"/>
  <c r="S189" i="24"/>
  <c r="S197" i="24"/>
  <c r="S205" i="24"/>
  <c r="S213" i="24"/>
  <c r="S24" i="24"/>
  <c r="S30" i="24"/>
  <c r="S38" i="24"/>
  <c r="S46" i="24"/>
  <c r="S54" i="24"/>
  <c r="S62" i="24"/>
  <c r="S70" i="24"/>
  <c r="S78" i="24"/>
  <c r="S86" i="24"/>
  <c r="S94" i="24"/>
  <c r="S102" i="24"/>
  <c r="S110" i="24"/>
  <c r="S118" i="24"/>
  <c r="S126" i="24"/>
  <c r="S134" i="24"/>
  <c r="S142" i="24"/>
  <c r="S150" i="24"/>
  <c r="S158" i="24"/>
  <c r="S166" i="24"/>
  <c r="S174" i="24"/>
  <c r="S182" i="24"/>
  <c r="S190" i="24"/>
  <c r="S198" i="24"/>
  <c r="S206" i="24"/>
  <c r="S25" i="24"/>
  <c r="S31" i="24"/>
  <c r="S39" i="24"/>
  <c r="S47" i="24"/>
  <c r="S55" i="24"/>
  <c r="S63" i="24"/>
  <c r="S71" i="24"/>
  <c r="S79" i="24"/>
  <c r="S87" i="24"/>
  <c r="S95" i="24"/>
  <c r="S103" i="24"/>
  <c r="S111" i="24"/>
  <c r="S119" i="24"/>
  <c r="S127" i="24"/>
  <c r="S135" i="24"/>
  <c r="S143" i="24"/>
  <c r="S151" i="24"/>
  <c r="S159" i="24"/>
  <c r="S167" i="24"/>
  <c r="S175" i="24"/>
  <c r="S183" i="24"/>
  <c r="S191" i="24"/>
  <c r="S199" i="24"/>
  <c r="S207" i="24"/>
  <c r="S26" i="24"/>
  <c r="S21" i="24"/>
  <c r="Q224" i="24"/>
  <c r="Q216" i="24"/>
  <c r="Q208" i="24"/>
  <c r="Q200" i="24"/>
  <c r="Q192" i="24"/>
  <c r="Q184" i="24"/>
  <c r="Q176" i="24"/>
  <c r="Q168" i="24"/>
  <c r="Q160" i="24"/>
  <c r="Q152" i="24"/>
  <c r="Q144" i="24"/>
  <c r="Q136" i="24"/>
  <c r="Q128" i="24"/>
  <c r="Q120" i="24"/>
  <c r="Q112" i="24"/>
  <c r="Q104" i="24"/>
  <c r="Q96" i="24"/>
  <c r="Q88" i="24"/>
  <c r="Q80" i="24"/>
  <c r="Q72" i="24"/>
  <c r="Q64" i="24"/>
  <c r="Q56" i="24"/>
  <c r="Q195" i="24"/>
  <c r="Q187" i="24"/>
  <c r="Q155" i="24"/>
  <c r="Q115" i="24"/>
  <c r="Q67" i="24"/>
  <c r="Q28" i="24"/>
  <c r="Q202" i="24"/>
  <c r="Q178" i="24"/>
  <c r="Q146" i="24"/>
  <c r="Q122" i="24"/>
  <c r="Q90" i="24"/>
  <c r="Q58" i="24"/>
  <c r="Q223" i="24"/>
  <c r="Q215" i="24"/>
  <c r="Q207" i="24"/>
  <c r="Q199" i="24"/>
  <c r="Q191" i="24"/>
  <c r="Q183" i="24"/>
  <c r="Q175" i="24"/>
  <c r="Q167" i="24"/>
  <c r="Q159" i="24"/>
  <c r="Q151" i="24"/>
  <c r="Q143" i="24"/>
  <c r="Q135" i="24"/>
  <c r="Q127" i="24"/>
  <c r="Q119" i="24"/>
  <c r="Q111" i="24"/>
  <c r="Q103" i="24"/>
  <c r="Q95" i="24"/>
  <c r="Q87" i="24"/>
  <c r="Q79" i="24"/>
  <c r="Q71" i="24"/>
  <c r="Q63" i="24"/>
  <c r="Q55" i="24"/>
  <c r="Q50" i="24"/>
  <c r="Q46" i="24"/>
  <c r="Q42" i="24"/>
  <c r="Q38" i="24"/>
  <c r="Q34" i="24"/>
  <c r="Q30" i="24"/>
  <c r="Q26" i="24"/>
  <c r="Q22" i="24"/>
  <c r="Q194" i="24"/>
  <c r="Q222" i="24"/>
  <c r="Q214" i="24"/>
  <c r="Q206" i="24"/>
  <c r="Q198" i="24"/>
  <c r="Q190" i="24"/>
  <c r="Q182" i="24"/>
  <c r="Q174" i="24"/>
  <c r="Q166" i="24"/>
  <c r="Q158" i="24"/>
  <c r="Q150" i="24"/>
  <c r="Q142" i="24"/>
  <c r="Q134" i="24"/>
  <c r="Q126" i="24"/>
  <c r="Q118" i="24"/>
  <c r="Q110" i="24"/>
  <c r="Q102" i="24"/>
  <c r="Q94" i="24"/>
  <c r="Q86" i="24"/>
  <c r="Q78" i="24"/>
  <c r="Q70" i="24"/>
  <c r="Q62" i="24"/>
  <c r="Q54" i="24"/>
  <c r="Q21" i="24"/>
  <c r="Q219" i="24"/>
  <c r="Q147" i="24"/>
  <c r="Q99" i="24"/>
  <c r="Q75" i="24"/>
  <c r="Q52" i="24"/>
  <c r="Q36" i="24"/>
  <c r="Q24" i="24"/>
  <c r="Q226" i="24"/>
  <c r="Q162" i="24"/>
  <c r="Q138" i="24"/>
  <c r="Q106" i="24"/>
  <c r="Q74" i="24"/>
  <c r="Q221" i="24"/>
  <c r="Q213" i="24"/>
  <c r="Q205" i="24"/>
  <c r="Q197" i="24"/>
  <c r="Q189" i="24"/>
  <c r="Q181" i="24"/>
  <c r="Q173" i="24"/>
  <c r="Q165" i="24"/>
  <c r="Q157" i="24"/>
  <c r="Q149" i="24"/>
  <c r="Q141" i="24"/>
  <c r="Q133" i="24"/>
  <c r="Q125" i="24"/>
  <c r="Q117" i="24"/>
  <c r="Q109" i="24"/>
  <c r="Q101" i="24"/>
  <c r="Q93" i="24"/>
  <c r="Q85" i="24"/>
  <c r="Q77" i="24"/>
  <c r="Q69" i="24"/>
  <c r="Q61" i="24"/>
  <c r="Q53" i="24"/>
  <c r="Q49" i="24"/>
  <c r="Q45" i="24"/>
  <c r="Q41" i="24"/>
  <c r="Q37" i="24"/>
  <c r="Q33" i="24"/>
  <c r="Q29" i="24"/>
  <c r="Q25" i="24"/>
  <c r="Q211" i="24"/>
  <c r="Q179" i="24"/>
  <c r="Q139" i="24"/>
  <c r="Q107" i="24"/>
  <c r="Q59" i="24"/>
  <c r="Q32" i="24"/>
  <c r="Q210" i="24"/>
  <c r="Q186" i="24"/>
  <c r="Q154" i="24"/>
  <c r="Q130" i="24"/>
  <c r="Q98" i="24"/>
  <c r="Q66" i="24"/>
  <c r="Q220" i="24"/>
  <c r="Q212" i="24"/>
  <c r="Q204" i="24"/>
  <c r="Q196" i="24"/>
  <c r="Q188" i="24"/>
  <c r="Q180" i="24"/>
  <c r="Q172" i="24"/>
  <c r="Q164" i="24"/>
  <c r="Q156" i="24"/>
  <c r="Q148" i="24"/>
  <c r="Q140" i="24"/>
  <c r="Q132" i="24"/>
  <c r="Q124" i="24"/>
  <c r="Q116" i="24"/>
  <c r="Q108" i="24"/>
  <c r="Q100" i="24"/>
  <c r="Q92" i="24"/>
  <c r="Q84" i="24"/>
  <c r="Q76" i="24"/>
  <c r="Q68" i="24"/>
  <c r="Q60" i="24"/>
  <c r="Q171" i="24"/>
  <c r="Q131" i="24"/>
  <c r="Q91" i="24"/>
  <c r="Q44" i="24"/>
  <c r="Q225" i="24"/>
  <c r="Q217" i="24"/>
  <c r="Q209" i="24"/>
  <c r="Q201" i="24"/>
  <c r="Q193" i="24"/>
  <c r="Q185" i="24"/>
  <c r="Q177" i="24"/>
  <c r="Q169" i="24"/>
  <c r="Q161" i="24"/>
  <c r="Q153" i="24"/>
  <c r="Q145" i="24"/>
  <c r="Q137" i="24"/>
  <c r="Q129" i="24"/>
  <c r="Q121" i="24"/>
  <c r="Q113" i="24"/>
  <c r="Q105" i="24"/>
  <c r="Q97" i="24"/>
  <c r="Q89" i="24"/>
  <c r="Q81" i="24"/>
  <c r="Q73" i="24"/>
  <c r="Q65" i="24"/>
  <c r="Q57" i="24"/>
  <c r="Q51" i="24"/>
  <c r="Q47" i="24"/>
  <c r="Q43" i="24"/>
  <c r="Q39" i="24"/>
  <c r="Q35" i="24"/>
  <c r="Q31" i="24"/>
  <c r="Q27" i="24"/>
  <c r="Q23" i="24"/>
  <c r="Q203" i="24"/>
  <c r="Q163" i="24"/>
  <c r="Q123" i="24"/>
  <c r="Q83" i="24"/>
  <c r="Q48" i="24"/>
  <c r="Q40" i="24"/>
  <c r="Q218" i="24"/>
  <c r="Q170" i="24"/>
  <c r="Q114" i="24"/>
  <c r="Q82" i="24"/>
  <c r="N221" i="24"/>
  <c r="O221" i="24" s="1"/>
  <c r="N214" i="24"/>
  <c r="O214" i="24" s="1"/>
  <c r="N222" i="24"/>
  <c r="O222" i="24" s="1"/>
  <c r="N215" i="24"/>
  <c r="O215" i="24" s="1"/>
  <c r="N223" i="24"/>
  <c r="O223" i="24" s="1"/>
  <c r="N216" i="24"/>
  <c r="O216" i="24" s="1"/>
  <c r="N224" i="24"/>
  <c r="O224" i="24" s="1"/>
  <c r="N217" i="24"/>
  <c r="O217" i="24" s="1"/>
  <c r="N225" i="24"/>
  <c r="O225" i="24" s="1"/>
  <c r="N218" i="24"/>
  <c r="O218" i="24" s="1"/>
  <c r="N226" i="24"/>
  <c r="O226" i="24" s="1"/>
  <c r="N219" i="24"/>
  <c r="O219" i="24" s="1"/>
  <c r="N220" i="24"/>
  <c r="O220" i="24" s="1"/>
  <c r="N29" i="24"/>
  <c r="O29" i="24" s="1"/>
  <c r="N37" i="24"/>
  <c r="O37" i="24" s="1"/>
  <c r="N45" i="24"/>
  <c r="O45" i="24" s="1"/>
  <c r="N53" i="24"/>
  <c r="O53" i="24" s="1"/>
  <c r="N61" i="24"/>
  <c r="O61" i="24" s="1"/>
  <c r="N69" i="24"/>
  <c r="O69" i="24" s="1"/>
  <c r="N77" i="24"/>
  <c r="O77" i="24" s="1"/>
  <c r="N85" i="24"/>
  <c r="O85" i="24" s="1"/>
  <c r="N93" i="24"/>
  <c r="O93" i="24" s="1"/>
  <c r="N101" i="24"/>
  <c r="O101" i="24" s="1"/>
  <c r="N109" i="24"/>
  <c r="O109" i="24" s="1"/>
  <c r="N117" i="24"/>
  <c r="O117" i="24" s="1"/>
  <c r="N125" i="24"/>
  <c r="O125" i="24" s="1"/>
  <c r="N133" i="24"/>
  <c r="O133" i="24" s="1"/>
  <c r="N141" i="24"/>
  <c r="O141" i="24" s="1"/>
  <c r="N149" i="24"/>
  <c r="O149" i="24" s="1"/>
  <c r="N157" i="24"/>
  <c r="O157" i="24" s="1"/>
  <c r="N165" i="24"/>
  <c r="O165" i="24" s="1"/>
  <c r="N173" i="24"/>
  <c r="O173" i="24" s="1"/>
  <c r="N181" i="24"/>
  <c r="O181" i="24" s="1"/>
  <c r="N189" i="24"/>
  <c r="O189" i="24" s="1"/>
  <c r="N197" i="24"/>
  <c r="O197" i="24" s="1"/>
  <c r="N205" i="24"/>
  <c r="O205" i="24" s="1"/>
  <c r="N213" i="24"/>
  <c r="O213" i="24" s="1"/>
  <c r="N22" i="24"/>
  <c r="O22" i="24" s="1"/>
  <c r="N30" i="24"/>
  <c r="O30" i="24" s="1"/>
  <c r="N38" i="24"/>
  <c r="O38" i="24" s="1"/>
  <c r="N46" i="24"/>
  <c r="O46" i="24" s="1"/>
  <c r="N54" i="24"/>
  <c r="O54" i="24" s="1"/>
  <c r="N62" i="24"/>
  <c r="O62" i="24" s="1"/>
  <c r="N70" i="24"/>
  <c r="O70" i="24" s="1"/>
  <c r="N78" i="24"/>
  <c r="O78" i="24" s="1"/>
  <c r="N86" i="24"/>
  <c r="O86" i="24" s="1"/>
  <c r="N94" i="24"/>
  <c r="O94" i="24" s="1"/>
  <c r="N102" i="24"/>
  <c r="O102" i="24" s="1"/>
  <c r="N110" i="24"/>
  <c r="O110" i="24" s="1"/>
  <c r="N118" i="24"/>
  <c r="O118" i="24" s="1"/>
  <c r="N126" i="24"/>
  <c r="O126" i="24" s="1"/>
  <c r="N134" i="24"/>
  <c r="O134" i="24" s="1"/>
  <c r="N142" i="24"/>
  <c r="O142" i="24" s="1"/>
  <c r="N150" i="24"/>
  <c r="O150" i="24" s="1"/>
  <c r="N158" i="24"/>
  <c r="O158" i="24" s="1"/>
  <c r="N166" i="24"/>
  <c r="O166" i="24" s="1"/>
  <c r="N174" i="24"/>
  <c r="O174" i="24" s="1"/>
  <c r="N182" i="24"/>
  <c r="O182" i="24" s="1"/>
  <c r="N190" i="24"/>
  <c r="O190" i="24" s="1"/>
  <c r="N198" i="24"/>
  <c r="O198" i="24" s="1"/>
  <c r="N206" i="24"/>
  <c r="O206" i="24" s="1"/>
  <c r="N127" i="24"/>
  <c r="O127" i="24" s="1"/>
  <c r="N159" i="24"/>
  <c r="O159" i="24" s="1"/>
  <c r="N175" i="24"/>
  <c r="O175" i="24" s="1"/>
  <c r="N191" i="24"/>
  <c r="O191" i="24" s="1"/>
  <c r="N207" i="24"/>
  <c r="O207" i="24" s="1"/>
  <c r="N23" i="24"/>
  <c r="O23" i="24" s="1"/>
  <c r="N31" i="24"/>
  <c r="O31" i="24" s="1"/>
  <c r="N39" i="24"/>
  <c r="O39" i="24" s="1"/>
  <c r="N47" i="24"/>
  <c r="O47" i="24" s="1"/>
  <c r="N55" i="24"/>
  <c r="O55" i="24" s="1"/>
  <c r="N63" i="24"/>
  <c r="O63" i="24" s="1"/>
  <c r="N71" i="24"/>
  <c r="O71" i="24" s="1"/>
  <c r="N79" i="24"/>
  <c r="O79" i="24" s="1"/>
  <c r="N87" i="24"/>
  <c r="O87" i="24" s="1"/>
  <c r="N95" i="24"/>
  <c r="O95" i="24" s="1"/>
  <c r="N103" i="24"/>
  <c r="O103" i="24" s="1"/>
  <c r="N111" i="24"/>
  <c r="O111" i="24" s="1"/>
  <c r="N119" i="24"/>
  <c r="O119" i="24" s="1"/>
  <c r="N135" i="24"/>
  <c r="O135" i="24" s="1"/>
  <c r="N143" i="24"/>
  <c r="O143" i="24" s="1"/>
  <c r="N151" i="24"/>
  <c r="O151" i="24" s="1"/>
  <c r="N167" i="24"/>
  <c r="O167" i="24" s="1"/>
  <c r="N183" i="24"/>
  <c r="O183" i="24" s="1"/>
  <c r="N199" i="24"/>
  <c r="O199" i="24" s="1"/>
  <c r="N24" i="24"/>
  <c r="O24" i="24" s="1"/>
  <c r="N32" i="24"/>
  <c r="O32" i="24" s="1"/>
  <c r="N40" i="24"/>
  <c r="O40" i="24" s="1"/>
  <c r="N48" i="24"/>
  <c r="O48" i="24" s="1"/>
  <c r="N56" i="24"/>
  <c r="O56" i="24" s="1"/>
  <c r="N64" i="24"/>
  <c r="O64" i="24" s="1"/>
  <c r="N72" i="24"/>
  <c r="O72" i="24" s="1"/>
  <c r="N80" i="24"/>
  <c r="O80" i="24" s="1"/>
  <c r="N88" i="24"/>
  <c r="O88" i="24" s="1"/>
  <c r="N96" i="24"/>
  <c r="O96" i="24" s="1"/>
  <c r="N104" i="24"/>
  <c r="O104" i="24" s="1"/>
  <c r="N112" i="24"/>
  <c r="O112" i="24" s="1"/>
  <c r="N120" i="24"/>
  <c r="O120" i="24" s="1"/>
  <c r="N128" i="24"/>
  <c r="O128" i="24" s="1"/>
  <c r="N136" i="24"/>
  <c r="O136" i="24" s="1"/>
  <c r="N144" i="24"/>
  <c r="O144" i="24" s="1"/>
  <c r="N152" i="24"/>
  <c r="O152" i="24" s="1"/>
  <c r="N160" i="24"/>
  <c r="O160" i="24" s="1"/>
  <c r="N168" i="24"/>
  <c r="O168" i="24" s="1"/>
  <c r="N176" i="24"/>
  <c r="O176" i="24" s="1"/>
  <c r="N184" i="24"/>
  <c r="O184" i="24" s="1"/>
  <c r="N192" i="24"/>
  <c r="O192" i="24" s="1"/>
  <c r="N200" i="24"/>
  <c r="O200" i="24" s="1"/>
  <c r="N208" i="24"/>
  <c r="O208" i="24" s="1"/>
  <c r="N25" i="24"/>
  <c r="O25" i="24" s="1"/>
  <c r="N33" i="24"/>
  <c r="O33" i="24" s="1"/>
  <c r="N41" i="24"/>
  <c r="O41" i="24" s="1"/>
  <c r="N49" i="24"/>
  <c r="O49" i="24" s="1"/>
  <c r="N57" i="24"/>
  <c r="O57" i="24" s="1"/>
  <c r="N65" i="24"/>
  <c r="O65" i="24" s="1"/>
  <c r="N73" i="24"/>
  <c r="O73" i="24" s="1"/>
  <c r="N81" i="24"/>
  <c r="O81" i="24" s="1"/>
  <c r="N89" i="24"/>
  <c r="O89" i="24" s="1"/>
  <c r="N97" i="24"/>
  <c r="O97" i="24" s="1"/>
  <c r="N105" i="24"/>
  <c r="O105" i="24" s="1"/>
  <c r="N113" i="24"/>
  <c r="O113" i="24" s="1"/>
  <c r="N121" i="24"/>
  <c r="O121" i="24" s="1"/>
  <c r="N129" i="24"/>
  <c r="O129" i="24" s="1"/>
  <c r="N137" i="24"/>
  <c r="O137" i="24" s="1"/>
  <c r="N145" i="24"/>
  <c r="O145" i="24" s="1"/>
  <c r="N153" i="24"/>
  <c r="O153" i="24" s="1"/>
  <c r="N161" i="24"/>
  <c r="O161" i="24" s="1"/>
  <c r="N169" i="24"/>
  <c r="O169" i="24" s="1"/>
  <c r="N177" i="24"/>
  <c r="O177" i="24" s="1"/>
  <c r="N185" i="24"/>
  <c r="O185" i="24" s="1"/>
  <c r="N193" i="24"/>
  <c r="O193" i="24" s="1"/>
  <c r="N201" i="24"/>
  <c r="O201" i="24" s="1"/>
  <c r="N209" i="24"/>
  <c r="O209" i="24" s="1"/>
  <c r="N44" i="24"/>
  <c r="O44" i="24" s="1"/>
  <c r="N68" i="24"/>
  <c r="O68" i="24" s="1"/>
  <c r="N84" i="24"/>
  <c r="O84" i="24" s="1"/>
  <c r="N100" i="24"/>
  <c r="O100" i="24" s="1"/>
  <c r="N116" i="24"/>
  <c r="O116" i="24" s="1"/>
  <c r="N140" i="24"/>
  <c r="O140" i="24" s="1"/>
  <c r="N164" i="24"/>
  <c r="O164" i="24" s="1"/>
  <c r="N180" i="24"/>
  <c r="O180" i="24" s="1"/>
  <c r="N212" i="24"/>
  <c r="O212" i="24" s="1"/>
  <c r="N26" i="24"/>
  <c r="O26" i="24" s="1"/>
  <c r="N34" i="24"/>
  <c r="O34" i="24" s="1"/>
  <c r="N42" i="24"/>
  <c r="O42" i="24" s="1"/>
  <c r="N50" i="24"/>
  <c r="O50" i="24" s="1"/>
  <c r="N58" i="24"/>
  <c r="O58" i="24" s="1"/>
  <c r="N66" i="24"/>
  <c r="O66" i="24" s="1"/>
  <c r="N74" i="24"/>
  <c r="O74" i="24" s="1"/>
  <c r="N82" i="24"/>
  <c r="O82" i="24" s="1"/>
  <c r="N90" i="24"/>
  <c r="O90" i="24" s="1"/>
  <c r="N98" i="24"/>
  <c r="O98" i="24" s="1"/>
  <c r="N106" i="24"/>
  <c r="O106" i="24" s="1"/>
  <c r="N114" i="24"/>
  <c r="O114" i="24" s="1"/>
  <c r="N122" i="24"/>
  <c r="O122" i="24" s="1"/>
  <c r="N130" i="24"/>
  <c r="O130" i="24" s="1"/>
  <c r="N138" i="24"/>
  <c r="O138" i="24" s="1"/>
  <c r="N146" i="24"/>
  <c r="O146" i="24" s="1"/>
  <c r="N154" i="24"/>
  <c r="O154" i="24" s="1"/>
  <c r="N162" i="24"/>
  <c r="O162" i="24" s="1"/>
  <c r="N170" i="24"/>
  <c r="O170" i="24" s="1"/>
  <c r="N178" i="24"/>
  <c r="O178" i="24" s="1"/>
  <c r="N186" i="24"/>
  <c r="O186" i="24" s="1"/>
  <c r="N194" i="24"/>
  <c r="O194" i="24" s="1"/>
  <c r="N202" i="24"/>
  <c r="O202" i="24" s="1"/>
  <c r="N210" i="24"/>
  <c r="O210" i="24" s="1"/>
  <c r="N36" i="24"/>
  <c r="O36" i="24" s="1"/>
  <c r="N52" i="24"/>
  <c r="O52" i="24" s="1"/>
  <c r="N76" i="24"/>
  <c r="O76" i="24" s="1"/>
  <c r="N108" i="24"/>
  <c r="O108" i="24" s="1"/>
  <c r="N132" i="24"/>
  <c r="O132" i="24" s="1"/>
  <c r="N156" i="24"/>
  <c r="O156" i="24" s="1"/>
  <c r="N188" i="24"/>
  <c r="O188" i="24" s="1"/>
  <c r="N204" i="24"/>
  <c r="O204" i="24" s="1"/>
  <c r="N27" i="24"/>
  <c r="O27" i="24" s="1"/>
  <c r="N35" i="24"/>
  <c r="O35" i="24" s="1"/>
  <c r="N43" i="24"/>
  <c r="O43" i="24" s="1"/>
  <c r="N51" i="24"/>
  <c r="O51" i="24" s="1"/>
  <c r="N59" i="24"/>
  <c r="O59" i="24" s="1"/>
  <c r="N67" i="24"/>
  <c r="O67" i="24" s="1"/>
  <c r="N75" i="24"/>
  <c r="O75" i="24" s="1"/>
  <c r="N83" i="24"/>
  <c r="O83" i="24" s="1"/>
  <c r="N91" i="24"/>
  <c r="O91" i="24" s="1"/>
  <c r="N99" i="24"/>
  <c r="O99" i="24" s="1"/>
  <c r="N107" i="24"/>
  <c r="O107" i="24" s="1"/>
  <c r="N115" i="24"/>
  <c r="O115" i="24" s="1"/>
  <c r="N123" i="24"/>
  <c r="O123" i="24" s="1"/>
  <c r="N131" i="24"/>
  <c r="O131" i="24" s="1"/>
  <c r="N139" i="24"/>
  <c r="O139" i="24" s="1"/>
  <c r="N147" i="24"/>
  <c r="O147" i="24" s="1"/>
  <c r="N155" i="24"/>
  <c r="O155" i="24" s="1"/>
  <c r="N163" i="24"/>
  <c r="O163" i="24" s="1"/>
  <c r="N171" i="24"/>
  <c r="O171" i="24" s="1"/>
  <c r="N179" i="24"/>
  <c r="O179" i="24" s="1"/>
  <c r="N187" i="24"/>
  <c r="O187" i="24" s="1"/>
  <c r="N195" i="24"/>
  <c r="O195" i="24" s="1"/>
  <c r="N203" i="24"/>
  <c r="O203" i="24" s="1"/>
  <c r="N211" i="24"/>
  <c r="O211" i="24" s="1"/>
  <c r="N21" i="24"/>
  <c r="O21" i="24" s="1"/>
  <c r="N28" i="24"/>
  <c r="O28" i="24" s="1"/>
  <c r="N60" i="24"/>
  <c r="O60" i="24" s="1"/>
  <c r="N92" i="24"/>
  <c r="O92" i="24" s="1"/>
  <c r="N124" i="24"/>
  <c r="O124" i="24" s="1"/>
  <c r="N148" i="24"/>
  <c r="O148" i="24" s="1"/>
  <c r="N172" i="24"/>
  <c r="O172" i="24" s="1"/>
  <c r="N196" i="24"/>
  <c r="O196" i="24" s="1"/>
  <c r="J21" i="24"/>
  <c r="Z4" i="24" l="1"/>
  <c r="C28" i="18" s="1"/>
  <c r="P22" i="24"/>
  <c r="P23" i="24" s="1"/>
  <c r="P24" i="24" s="1"/>
  <c r="P25" i="24" s="1"/>
  <c r="P26" i="24" s="1"/>
  <c r="P27" i="24" s="1"/>
  <c r="P28" i="24" s="1"/>
  <c r="P29" i="24" s="1"/>
  <c r="P30" i="24" s="1"/>
  <c r="P31" i="24" s="1"/>
  <c r="P32" i="24" s="1"/>
  <c r="P33" i="24" s="1"/>
  <c r="P34" i="24" s="1"/>
  <c r="P35" i="24" s="1"/>
  <c r="P36" i="24" s="1"/>
  <c r="P37" i="24" s="1"/>
  <c r="P38" i="24" s="1"/>
  <c r="P39" i="24" s="1"/>
  <c r="P40" i="24" s="1"/>
  <c r="P41" i="24" s="1"/>
  <c r="P42" i="24" s="1"/>
  <c r="P43" i="24" s="1"/>
  <c r="P44" i="24" s="1"/>
  <c r="P45" i="24" s="1"/>
  <c r="P46" i="24" s="1"/>
  <c r="P47" i="24" s="1"/>
  <c r="P48" i="24" s="1"/>
  <c r="P49" i="24" s="1"/>
  <c r="P50" i="24" s="1"/>
  <c r="P51" i="24" s="1"/>
  <c r="P52" i="24" s="1"/>
  <c r="P53" i="24" s="1"/>
  <c r="P54" i="24" s="1"/>
  <c r="P55" i="24" s="1"/>
  <c r="P56" i="24" s="1"/>
  <c r="P57" i="24" s="1"/>
  <c r="P58" i="24" s="1"/>
  <c r="P59" i="24" s="1"/>
  <c r="P60" i="24" s="1"/>
  <c r="P61" i="24" s="1"/>
  <c r="P62" i="24" s="1"/>
  <c r="P63" i="24" s="1"/>
  <c r="P64" i="24" s="1"/>
  <c r="P65" i="24" s="1"/>
  <c r="P66" i="24" s="1"/>
  <c r="P67" i="24" s="1"/>
  <c r="P68" i="24" s="1"/>
  <c r="P69" i="24" s="1"/>
  <c r="P70" i="24" s="1"/>
  <c r="P71" i="24" s="1"/>
  <c r="P72" i="24" s="1"/>
  <c r="P73" i="24" s="1"/>
  <c r="P74" i="24" s="1"/>
  <c r="P75" i="24" s="1"/>
  <c r="P76" i="24" s="1"/>
  <c r="P77" i="24" s="1"/>
  <c r="P78" i="24" s="1"/>
  <c r="P79" i="24" s="1"/>
  <c r="P80" i="24" s="1"/>
  <c r="P81" i="24" s="1"/>
  <c r="P82" i="24" s="1"/>
  <c r="P83" i="24" s="1"/>
  <c r="P84" i="24" s="1"/>
  <c r="P85" i="24" s="1"/>
  <c r="P86" i="24" s="1"/>
  <c r="P87" i="24" s="1"/>
  <c r="P88" i="24" s="1"/>
  <c r="P89" i="24" s="1"/>
  <c r="P90" i="24" s="1"/>
  <c r="P91" i="24" s="1"/>
  <c r="P92" i="24" s="1"/>
  <c r="P93" i="24" s="1"/>
  <c r="P94" i="24" s="1"/>
  <c r="P95" i="24" s="1"/>
  <c r="P96" i="24" s="1"/>
  <c r="P97" i="24" s="1"/>
  <c r="P98" i="24" s="1"/>
  <c r="P99" i="24" s="1"/>
  <c r="P100" i="24" s="1"/>
  <c r="P101" i="24" s="1"/>
  <c r="P102" i="24" s="1"/>
  <c r="P103" i="24" s="1"/>
  <c r="P104" i="24" s="1"/>
  <c r="P105" i="24" s="1"/>
  <c r="P106" i="24" s="1"/>
  <c r="P107" i="24" s="1"/>
  <c r="P108" i="24" s="1"/>
  <c r="P109" i="24" s="1"/>
  <c r="P110" i="24" s="1"/>
  <c r="P111" i="24" s="1"/>
  <c r="P112" i="24" s="1"/>
  <c r="P113" i="24" s="1"/>
  <c r="P114" i="24" s="1"/>
  <c r="P115" i="24" s="1"/>
  <c r="P116" i="24" s="1"/>
  <c r="P117" i="24" s="1"/>
  <c r="P118" i="24" s="1"/>
  <c r="P119" i="24" s="1"/>
  <c r="P120" i="24" s="1"/>
  <c r="P121" i="24" s="1"/>
  <c r="P122" i="24" s="1"/>
  <c r="P123" i="24" s="1"/>
  <c r="P124" i="24" s="1"/>
  <c r="P125" i="24" s="1"/>
  <c r="P126" i="24" s="1"/>
  <c r="P127" i="24" s="1"/>
  <c r="P128" i="24" s="1"/>
  <c r="P129" i="24" s="1"/>
  <c r="P130" i="24" s="1"/>
  <c r="P131" i="24" s="1"/>
  <c r="P132" i="24" s="1"/>
  <c r="P133" i="24" s="1"/>
  <c r="P134" i="24" s="1"/>
  <c r="P135" i="24" s="1"/>
  <c r="P136" i="24" s="1"/>
  <c r="P137" i="24" s="1"/>
  <c r="P138" i="24" s="1"/>
  <c r="P139" i="24" s="1"/>
  <c r="P140" i="24" s="1"/>
  <c r="P141" i="24" s="1"/>
  <c r="P142" i="24" s="1"/>
  <c r="P143" i="24" s="1"/>
  <c r="P144" i="24" s="1"/>
  <c r="P145" i="24" s="1"/>
  <c r="P146" i="24" s="1"/>
  <c r="P147" i="24" s="1"/>
  <c r="P148" i="24" s="1"/>
  <c r="P149" i="24" s="1"/>
  <c r="P150" i="24" s="1"/>
  <c r="P151" i="24" s="1"/>
  <c r="P152" i="24" s="1"/>
  <c r="P153" i="24" s="1"/>
  <c r="P154" i="24" s="1"/>
  <c r="P155" i="24" s="1"/>
  <c r="P156" i="24" s="1"/>
  <c r="P157" i="24" s="1"/>
  <c r="P158" i="24" s="1"/>
  <c r="P159" i="24" s="1"/>
  <c r="P160" i="24" s="1"/>
  <c r="P161" i="24" s="1"/>
  <c r="P162" i="24" s="1"/>
  <c r="P163" i="24" s="1"/>
  <c r="P164" i="24" s="1"/>
  <c r="P165" i="24" s="1"/>
  <c r="P166" i="24" s="1"/>
  <c r="P167" i="24" s="1"/>
  <c r="P168" i="24" s="1"/>
  <c r="P169" i="24" s="1"/>
  <c r="P170" i="24" s="1"/>
  <c r="P171" i="24" s="1"/>
  <c r="P172" i="24" s="1"/>
  <c r="P173" i="24" s="1"/>
  <c r="P174" i="24" s="1"/>
  <c r="P175" i="24" s="1"/>
  <c r="P176" i="24" s="1"/>
  <c r="P177" i="24" s="1"/>
  <c r="P178" i="24" s="1"/>
  <c r="P179" i="24" s="1"/>
  <c r="P180" i="24" s="1"/>
  <c r="P181" i="24" s="1"/>
  <c r="P182" i="24" s="1"/>
  <c r="P183" i="24" s="1"/>
  <c r="P184" i="24" s="1"/>
  <c r="P185" i="24" s="1"/>
  <c r="P186" i="24" s="1"/>
  <c r="P187" i="24" s="1"/>
  <c r="P188" i="24" s="1"/>
  <c r="P189" i="24" s="1"/>
  <c r="P190" i="24" s="1"/>
  <c r="P191" i="24" s="1"/>
  <c r="P192" i="24" s="1"/>
  <c r="P193" i="24" s="1"/>
  <c r="P194" i="24" s="1"/>
  <c r="P195" i="24" s="1"/>
  <c r="P196" i="24" s="1"/>
  <c r="P197" i="24" s="1"/>
  <c r="P198" i="24" s="1"/>
  <c r="P199" i="24" s="1"/>
  <c r="P200" i="24" s="1"/>
  <c r="P201" i="24" s="1"/>
  <c r="P202" i="24" s="1"/>
  <c r="P203" i="24" s="1"/>
  <c r="P204" i="24" s="1"/>
  <c r="P205" i="24" s="1"/>
  <c r="P206" i="24" s="1"/>
  <c r="P207" i="24" s="1"/>
  <c r="P208" i="24" s="1"/>
  <c r="P209" i="24" s="1"/>
  <c r="P210" i="24" s="1"/>
  <c r="P211" i="24" s="1"/>
  <c r="P212" i="24" s="1"/>
  <c r="P213" i="24" s="1"/>
  <c r="P214" i="24" s="1"/>
  <c r="P215" i="24" s="1"/>
  <c r="P216" i="24" s="1"/>
  <c r="P217" i="24" s="1"/>
  <c r="P218" i="24" s="1"/>
  <c r="P219" i="24" s="1"/>
  <c r="P220" i="24" s="1"/>
  <c r="P221" i="24" s="1"/>
  <c r="P222" i="24" s="1"/>
  <c r="P223" i="24" s="1"/>
  <c r="R21" i="24"/>
  <c r="T21" i="24" s="1" a="1"/>
  <c r="T21" i="24" s="1"/>
  <c r="Z5" i="24"/>
  <c r="C29" i="18" s="1"/>
  <c r="R23" i="24" l="1"/>
  <c r="U23" i="24" s="1" a="1"/>
  <c r="U23" i="24" s="1"/>
  <c r="R22" i="24"/>
  <c r="U22" i="24" s="1" a="1"/>
  <c r="U22" i="24" s="1"/>
  <c r="U21" i="24" a="1"/>
  <c r="U21" i="24" s="1"/>
  <c r="R223" i="24"/>
  <c r="P224" i="24"/>
  <c r="R24" i="24"/>
  <c r="T23" i="24" l="1" a="1"/>
  <c r="T23" i="24" s="1"/>
  <c r="T22" i="24" a="1"/>
  <c r="T22" i="24" s="1"/>
  <c r="R224" i="24"/>
  <c r="P225" i="24"/>
  <c r="R25" i="24"/>
  <c r="R26" i="24"/>
  <c r="T24" i="24" a="1"/>
  <c r="T24" i="24" s="1"/>
  <c r="U24" i="24" a="1"/>
  <c r="U24" i="24" s="1"/>
  <c r="R225" i="24" l="1"/>
  <c r="P226" i="24"/>
  <c r="R226" i="24" s="1"/>
  <c r="R27" i="24"/>
  <c r="U25" i="24" a="1"/>
  <c r="U25" i="24" s="1"/>
  <c r="T25" i="24" a="1"/>
  <c r="T25" i="24" s="1"/>
  <c r="R28" i="24" l="1"/>
  <c r="U26" i="24" a="1"/>
  <c r="U26" i="24" s="1"/>
  <c r="T26" i="24" a="1"/>
  <c r="T26" i="24" s="1"/>
  <c r="R29" i="24" l="1"/>
  <c r="T27" i="24" a="1"/>
  <c r="T27" i="24" s="1"/>
  <c r="U27" i="24" a="1"/>
  <c r="U27" i="24" s="1"/>
  <c r="R30" i="24" l="1"/>
  <c r="T28" i="24" a="1"/>
  <c r="T28" i="24" s="1"/>
  <c r="U28" i="24" a="1"/>
  <c r="U28" i="24" s="1"/>
  <c r="R31" i="24" l="1"/>
  <c r="U29" i="24" a="1"/>
  <c r="U29" i="24" s="1"/>
  <c r="T29" i="24" a="1"/>
  <c r="T29" i="24" s="1"/>
  <c r="R32" i="24" l="1"/>
  <c r="T30" i="24" a="1"/>
  <c r="T30" i="24" s="1"/>
  <c r="U30" i="24" a="1"/>
  <c r="U30" i="24" s="1"/>
  <c r="R33" i="24" l="1"/>
  <c r="U31" i="24" a="1"/>
  <c r="U31" i="24" s="1"/>
  <c r="T31" i="24" a="1"/>
  <c r="T31" i="24" s="1"/>
  <c r="R34" i="24" l="1"/>
  <c r="T32" i="24" a="1"/>
  <c r="T32" i="24" s="1"/>
  <c r="U32" i="24" a="1"/>
  <c r="U32" i="24" s="1"/>
  <c r="R35" i="24" l="1"/>
  <c r="T33" i="24" a="1"/>
  <c r="T33" i="24" s="1"/>
  <c r="U33" i="24" a="1"/>
  <c r="U33" i="24" s="1"/>
  <c r="R36" i="24" l="1"/>
  <c r="U34" i="24" a="1"/>
  <c r="U34" i="24" s="1"/>
  <c r="T34" i="24" a="1"/>
  <c r="T34" i="24" s="1"/>
  <c r="R38" i="24" l="1"/>
  <c r="R37" i="24"/>
  <c r="T35" i="24" a="1"/>
  <c r="T35" i="24" s="1"/>
  <c r="U35" i="24" a="1"/>
  <c r="U35" i="24" s="1"/>
  <c r="T36" i="24" l="1" a="1"/>
  <c r="T36" i="24" s="1"/>
  <c r="U36" i="24" a="1"/>
  <c r="U36" i="24" s="1"/>
  <c r="R39" i="24" l="1"/>
  <c r="R40" i="24"/>
  <c r="T37" i="24" a="1"/>
  <c r="T37" i="24" s="1"/>
  <c r="U37" i="24" a="1"/>
  <c r="U37" i="24" s="1"/>
  <c r="R41" i="24" l="1"/>
  <c r="T38" i="24" a="1"/>
  <c r="T38" i="24" s="1"/>
  <c r="U38" i="24" a="1"/>
  <c r="U38" i="24" s="1"/>
  <c r="R42" i="24" l="1"/>
  <c r="U39" i="24" a="1"/>
  <c r="U39" i="24" s="1"/>
  <c r="T39" i="24" a="1"/>
  <c r="T39" i="24" s="1"/>
  <c r="R43" i="24" l="1"/>
  <c r="U40" i="24" a="1"/>
  <c r="U40" i="24" s="1"/>
  <c r="T40" i="24" a="1"/>
  <c r="T40" i="24" s="1"/>
  <c r="R44" i="24" l="1"/>
  <c r="U41" i="24" a="1"/>
  <c r="U41" i="24" s="1"/>
  <c r="T41" i="24" a="1"/>
  <c r="T41" i="24" s="1"/>
  <c r="R45" i="24" l="1"/>
  <c r="T42" i="24" a="1"/>
  <c r="T42" i="24" s="1"/>
  <c r="U42" i="24" a="1"/>
  <c r="U42" i="24" s="1"/>
  <c r="R46" i="24" l="1"/>
  <c r="T43" i="24" a="1"/>
  <c r="T43" i="24" s="1"/>
  <c r="U43" i="24" a="1"/>
  <c r="U43" i="24" s="1"/>
  <c r="R47" i="24" l="1"/>
  <c r="T44" i="24" a="1"/>
  <c r="T44" i="24" s="1"/>
  <c r="U44" i="24" a="1"/>
  <c r="U44" i="24" s="1"/>
  <c r="R48" i="24" l="1"/>
  <c r="U45" i="24" a="1"/>
  <c r="U45" i="24" s="1"/>
  <c r="T45" i="24" a="1"/>
  <c r="T45" i="24" s="1"/>
  <c r="R49" i="24" l="1"/>
  <c r="T46" i="24" a="1"/>
  <c r="T46" i="24" s="1"/>
  <c r="U46" i="24" a="1"/>
  <c r="U46" i="24" s="1"/>
  <c r="R50" i="24" l="1"/>
  <c r="T47" i="24" a="1"/>
  <c r="T47" i="24" s="1"/>
  <c r="U47" i="24" a="1"/>
  <c r="U47" i="24" s="1"/>
  <c r="R51" i="24" l="1"/>
  <c r="T48" i="24" a="1"/>
  <c r="T48" i="24" s="1"/>
  <c r="U48" i="24" a="1"/>
  <c r="U48" i="24" s="1"/>
  <c r="R52" i="24" l="1"/>
  <c r="T49" i="24" a="1"/>
  <c r="T49" i="24" s="1"/>
  <c r="U49" i="24" a="1"/>
  <c r="U49" i="24" s="1"/>
  <c r="R53" i="24" l="1"/>
  <c r="U50" i="24" a="1"/>
  <c r="U50" i="24" s="1"/>
  <c r="T50" i="24" a="1"/>
  <c r="T50" i="24" s="1"/>
  <c r="R54" i="24" l="1"/>
  <c r="T51" i="24" a="1"/>
  <c r="T51" i="24" s="1"/>
  <c r="U51" i="24" a="1"/>
  <c r="U51" i="24" s="1"/>
  <c r="R55" i="24" l="1"/>
  <c r="U52" i="24" a="1"/>
  <c r="U52" i="24" s="1"/>
  <c r="T52" i="24" a="1"/>
  <c r="T52" i="24" s="1"/>
  <c r="R56" i="24" l="1"/>
  <c r="T53" i="24" a="1"/>
  <c r="T53" i="24" s="1"/>
  <c r="U53" i="24" a="1"/>
  <c r="U53" i="24" s="1"/>
  <c r="R57" i="24" l="1"/>
  <c r="T54" i="24" a="1"/>
  <c r="T54" i="24" s="1"/>
  <c r="U54" i="24" a="1"/>
  <c r="U54" i="24" s="1"/>
  <c r="R58" i="24" l="1"/>
  <c r="T55" i="24" a="1"/>
  <c r="T55" i="24" s="1"/>
  <c r="U55" i="24" a="1"/>
  <c r="U55" i="24" s="1"/>
  <c r="R59" i="24" l="1"/>
  <c r="T56" i="24" a="1"/>
  <c r="T56" i="24" s="1"/>
  <c r="U56" i="24" a="1"/>
  <c r="U56" i="24" s="1"/>
  <c r="R60" i="24" l="1"/>
  <c r="T57" i="24" a="1"/>
  <c r="T57" i="24" s="1"/>
  <c r="U57" i="24" a="1"/>
  <c r="U57" i="24" s="1"/>
  <c r="R61" i="24" l="1"/>
  <c r="U58" i="24" a="1"/>
  <c r="U58" i="24" s="1"/>
  <c r="T58" i="24" a="1"/>
  <c r="T58" i="24" s="1"/>
  <c r="R62" i="24" l="1"/>
  <c r="T59" i="24" a="1"/>
  <c r="T59" i="24" s="1"/>
  <c r="U59" i="24" a="1"/>
  <c r="U59" i="24" s="1"/>
  <c r="R63" i="24" l="1"/>
  <c r="U60" i="24" a="1"/>
  <c r="U60" i="24" s="1"/>
  <c r="T60" i="24" a="1"/>
  <c r="T60" i="24" s="1"/>
  <c r="R64" i="24" l="1"/>
  <c r="T61" i="24" a="1"/>
  <c r="T61" i="24" s="1"/>
  <c r="U61" i="24" a="1"/>
  <c r="U61" i="24" s="1"/>
  <c r="R65" i="24" l="1"/>
  <c r="T62" i="24" a="1"/>
  <c r="T62" i="24" s="1"/>
  <c r="U62" i="24" a="1"/>
  <c r="U62" i="24" s="1"/>
  <c r="R66" i="24" l="1"/>
  <c r="T63" i="24" a="1"/>
  <c r="T63" i="24" s="1"/>
  <c r="U63" i="24" a="1"/>
  <c r="U63" i="24" s="1"/>
  <c r="R67" i="24" l="1"/>
  <c r="T64" i="24" a="1"/>
  <c r="T64" i="24" s="1"/>
  <c r="U64" i="24" a="1"/>
  <c r="U64" i="24" s="1"/>
  <c r="R68" i="24" l="1"/>
  <c r="U65" i="24" a="1"/>
  <c r="U65" i="24" s="1"/>
  <c r="T65" i="24" a="1"/>
  <c r="T65" i="24" s="1"/>
  <c r="R69" i="24" l="1"/>
  <c r="U66" i="24" a="1"/>
  <c r="U66" i="24" s="1"/>
  <c r="T66" i="24" a="1"/>
  <c r="T66" i="24" s="1"/>
  <c r="R70" i="24" l="1"/>
  <c r="U67" i="24" a="1"/>
  <c r="U67" i="24" s="1"/>
  <c r="T67" i="24" a="1"/>
  <c r="T67" i="24" s="1"/>
  <c r="R71" i="24" l="1"/>
  <c r="U68" i="24" a="1"/>
  <c r="U68" i="24" s="1"/>
  <c r="T68" i="24" a="1"/>
  <c r="T68" i="24" s="1"/>
  <c r="R72" i="24" l="1"/>
  <c r="U69" i="24" a="1"/>
  <c r="U69" i="24" s="1"/>
  <c r="T69" i="24" a="1"/>
  <c r="T69" i="24" s="1"/>
  <c r="R73" i="24" l="1"/>
  <c r="U70" i="24" a="1"/>
  <c r="U70" i="24" s="1"/>
  <c r="T70" i="24" a="1"/>
  <c r="T70" i="24" s="1"/>
  <c r="R74" i="24" l="1"/>
  <c r="T71" i="24" a="1"/>
  <c r="T71" i="24" s="1"/>
  <c r="U71" i="24" a="1"/>
  <c r="U71" i="24" s="1"/>
  <c r="R75" i="24" l="1"/>
  <c r="U72" i="24" a="1"/>
  <c r="U72" i="24" s="1"/>
  <c r="T72" i="24" a="1"/>
  <c r="T72" i="24" s="1"/>
  <c r="R76" i="24" l="1"/>
  <c r="T73" i="24" a="1"/>
  <c r="T73" i="24" s="1"/>
  <c r="U73" i="24" a="1"/>
  <c r="U73" i="24" s="1"/>
  <c r="R77" i="24" l="1"/>
  <c r="U74" i="24" a="1"/>
  <c r="U74" i="24" s="1"/>
  <c r="T74" i="24" a="1"/>
  <c r="T74" i="24" s="1"/>
  <c r="R78" i="24" l="1"/>
  <c r="T75" i="24" a="1"/>
  <c r="T75" i="24" s="1"/>
  <c r="U75" i="24" a="1"/>
  <c r="U75" i="24" s="1"/>
  <c r="R79" i="24" l="1"/>
  <c r="T76" i="24" a="1"/>
  <c r="T76" i="24" s="1"/>
  <c r="U76" i="24" a="1"/>
  <c r="U76" i="24" s="1"/>
  <c r="R80" i="24" l="1"/>
  <c r="T77" i="24" a="1"/>
  <c r="T77" i="24" s="1"/>
  <c r="U77" i="24" a="1"/>
  <c r="U77" i="24" s="1"/>
  <c r="R81" i="24" l="1"/>
  <c r="T78" i="24" a="1"/>
  <c r="T78" i="24" s="1"/>
  <c r="U78" i="24" a="1"/>
  <c r="U78" i="24" s="1"/>
  <c r="R82" i="24" l="1"/>
  <c r="U79" i="24" a="1"/>
  <c r="U79" i="24" s="1"/>
  <c r="T79" i="24" a="1"/>
  <c r="T79" i="24" s="1"/>
  <c r="R83" i="24" l="1"/>
  <c r="T80" i="24" a="1"/>
  <c r="T80" i="24" s="1"/>
  <c r="U80" i="24" a="1"/>
  <c r="U80" i="24" s="1"/>
  <c r="R84" i="24" l="1"/>
  <c r="U81" i="24" a="1"/>
  <c r="U81" i="24" s="1"/>
  <c r="T81" i="24" a="1"/>
  <c r="T81" i="24" s="1"/>
  <c r="R85" i="24" l="1"/>
  <c r="U82" i="24" a="1"/>
  <c r="U82" i="24" s="1"/>
  <c r="T82" i="24" a="1"/>
  <c r="T82" i="24" s="1"/>
  <c r="R86" i="24" l="1"/>
  <c r="T83" i="24" a="1"/>
  <c r="T83" i="24" s="1"/>
  <c r="U83" i="24" a="1"/>
  <c r="U83" i="24" s="1"/>
  <c r="R87" i="24" l="1"/>
  <c r="U84" i="24" a="1"/>
  <c r="U84" i="24" s="1"/>
  <c r="T84" i="24" a="1"/>
  <c r="T84" i="24" s="1"/>
  <c r="R88" i="24" l="1"/>
  <c r="U85" i="24" a="1"/>
  <c r="U85" i="24" s="1"/>
  <c r="T85" i="24" a="1"/>
  <c r="T85" i="24" s="1"/>
  <c r="R89" i="24" l="1"/>
  <c r="T86" i="24" a="1"/>
  <c r="T86" i="24" s="1"/>
  <c r="U86" i="24" a="1"/>
  <c r="U86" i="24" s="1"/>
  <c r="R90" i="24" l="1"/>
  <c r="T87" i="24" a="1"/>
  <c r="T87" i="24" s="1"/>
  <c r="U87" i="24" a="1"/>
  <c r="U87" i="24" s="1"/>
  <c r="R91" i="24" l="1"/>
  <c r="U88" i="24" a="1"/>
  <c r="U88" i="24" s="1"/>
  <c r="T88" i="24" a="1"/>
  <c r="T88" i="24" s="1"/>
  <c r="R92" i="24" l="1"/>
  <c r="U89" i="24" a="1"/>
  <c r="U89" i="24" s="1"/>
  <c r="T89" i="24" a="1"/>
  <c r="T89" i="24" s="1"/>
  <c r="R93" i="24" l="1"/>
  <c r="U90" i="24" a="1"/>
  <c r="U90" i="24" s="1"/>
  <c r="T90" i="24" a="1"/>
  <c r="T90" i="24" s="1"/>
  <c r="R94" i="24" l="1"/>
  <c r="T91" i="24" a="1"/>
  <c r="T91" i="24" s="1"/>
  <c r="U91" i="24" a="1"/>
  <c r="U91" i="24" s="1"/>
  <c r="R95" i="24" l="1"/>
  <c r="U92" i="24" a="1"/>
  <c r="U92" i="24" s="1"/>
  <c r="T92" i="24" a="1"/>
  <c r="T92" i="24" s="1"/>
  <c r="R96" i="24" l="1"/>
  <c r="T93" i="24" a="1"/>
  <c r="T93" i="24" s="1"/>
  <c r="U93" i="24" a="1"/>
  <c r="U93" i="24" s="1"/>
  <c r="R97" i="24" l="1"/>
  <c r="U94" i="24" a="1"/>
  <c r="U94" i="24" s="1"/>
  <c r="T94" i="24" a="1"/>
  <c r="T94" i="24" s="1"/>
  <c r="R98" i="24" l="1"/>
  <c r="T95" i="24" a="1"/>
  <c r="T95" i="24" s="1"/>
  <c r="U95" i="24" a="1"/>
  <c r="U95" i="24" s="1"/>
  <c r="R99" i="24" l="1"/>
  <c r="T96" i="24" a="1"/>
  <c r="T96" i="24" s="1"/>
  <c r="U96" i="24" a="1"/>
  <c r="U96" i="24" s="1"/>
  <c r="R100" i="24" l="1"/>
  <c r="U97" i="24" a="1"/>
  <c r="U97" i="24" s="1"/>
  <c r="T97" i="24" a="1"/>
  <c r="T97" i="24" s="1"/>
  <c r="R101" i="24" l="1"/>
  <c r="U98" i="24" a="1"/>
  <c r="U98" i="24" s="1"/>
  <c r="T98" i="24" a="1"/>
  <c r="T98" i="24" s="1"/>
  <c r="R102" i="24" l="1"/>
  <c r="T99" i="24" a="1"/>
  <c r="T99" i="24" s="1"/>
  <c r="U99" i="24" a="1"/>
  <c r="U99" i="24" s="1"/>
  <c r="R103" i="24" l="1"/>
  <c r="T100" i="24" a="1"/>
  <c r="T100" i="24" s="1"/>
  <c r="U100" i="24" a="1"/>
  <c r="U100" i="24" s="1"/>
  <c r="R104" i="24" l="1"/>
  <c r="U101" i="24" a="1"/>
  <c r="U101" i="24" s="1"/>
  <c r="T101" i="24" a="1"/>
  <c r="T101" i="24" s="1"/>
  <c r="R105" i="24" l="1"/>
  <c r="U102" i="24" a="1"/>
  <c r="U102" i="24" s="1"/>
  <c r="T102" i="24" a="1"/>
  <c r="T102" i="24" s="1"/>
  <c r="R106" i="24" l="1"/>
  <c r="T103" i="24" a="1"/>
  <c r="T103" i="24" s="1"/>
  <c r="U103" i="24" a="1"/>
  <c r="U103" i="24" s="1"/>
  <c r="R107" i="24" l="1"/>
  <c r="T104" i="24" a="1"/>
  <c r="T104" i="24" s="1"/>
  <c r="U104" i="24" a="1"/>
  <c r="U104" i="24" s="1"/>
  <c r="R108" i="24" l="1"/>
  <c r="T105" i="24" a="1"/>
  <c r="T105" i="24" s="1"/>
  <c r="U105" i="24" a="1"/>
  <c r="U105" i="24" s="1"/>
  <c r="R109" i="24" l="1"/>
  <c r="U106" i="24" a="1"/>
  <c r="U106" i="24" s="1"/>
  <c r="T106" i="24" a="1"/>
  <c r="T106" i="24" s="1"/>
  <c r="R110" i="24" l="1"/>
  <c r="U107" i="24" a="1"/>
  <c r="U107" i="24" s="1"/>
  <c r="T107" i="24" a="1"/>
  <c r="T107" i="24" s="1"/>
  <c r="R111" i="24" l="1"/>
  <c r="U108" i="24" a="1"/>
  <c r="U108" i="24" s="1"/>
  <c r="T108" i="24" a="1"/>
  <c r="T108" i="24" s="1"/>
  <c r="R112" i="24" l="1"/>
  <c r="U109" i="24" a="1"/>
  <c r="U109" i="24" s="1"/>
  <c r="T109" i="24" a="1"/>
  <c r="T109" i="24" s="1"/>
  <c r="R113" i="24" l="1"/>
  <c r="T110" i="24" a="1"/>
  <c r="T110" i="24" s="1"/>
  <c r="U110" i="24" a="1"/>
  <c r="U110" i="24" s="1"/>
  <c r="R114" i="24" l="1"/>
  <c r="U111" i="24" a="1"/>
  <c r="U111" i="24" s="1"/>
  <c r="T111" i="24" a="1"/>
  <c r="T111" i="24" s="1"/>
  <c r="R115" i="24" l="1"/>
  <c r="T112" i="24" a="1"/>
  <c r="T112" i="24" s="1"/>
  <c r="U112" i="24" a="1"/>
  <c r="U112" i="24" s="1"/>
  <c r="R116" i="24" l="1"/>
  <c r="T113" i="24" a="1"/>
  <c r="T113" i="24" s="1"/>
  <c r="U113" i="24" a="1"/>
  <c r="U113" i="24" s="1"/>
  <c r="R117" i="24" l="1"/>
  <c r="T114" i="24" a="1"/>
  <c r="T114" i="24" s="1"/>
  <c r="U114" i="24" a="1"/>
  <c r="U114" i="24" s="1"/>
  <c r="R118" i="24" l="1"/>
  <c r="U115" i="24" a="1"/>
  <c r="U115" i="24" s="1"/>
  <c r="T115" i="24" a="1"/>
  <c r="T115" i="24" s="1"/>
  <c r="R119" i="24" l="1"/>
  <c r="U116" i="24" a="1"/>
  <c r="U116" i="24" s="1"/>
  <c r="T116" i="24" a="1"/>
  <c r="T116" i="24" s="1"/>
  <c r="R120" i="24" l="1"/>
  <c r="U117" i="24" a="1"/>
  <c r="U117" i="24" s="1"/>
  <c r="T117" i="24" a="1"/>
  <c r="T117" i="24" s="1"/>
  <c r="R121" i="24" l="1"/>
  <c r="U118" i="24" a="1"/>
  <c r="U118" i="24" s="1"/>
  <c r="T118" i="24" a="1"/>
  <c r="T118" i="24" s="1"/>
  <c r="R122" i="24" l="1"/>
  <c r="U119" i="24" a="1"/>
  <c r="U119" i="24" s="1"/>
  <c r="T119" i="24" a="1"/>
  <c r="T119" i="24" s="1"/>
  <c r="R123" i="24" l="1"/>
  <c r="U120" i="24" a="1"/>
  <c r="U120" i="24" s="1"/>
  <c r="T120" i="24" a="1"/>
  <c r="T120" i="24" s="1"/>
  <c r="R124" i="24" l="1"/>
  <c r="T121" i="24" a="1"/>
  <c r="T121" i="24" s="1"/>
  <c r="U121" i="24" a="1"/>
  <c r="U121" i="24" s="1"/>
  <c r="R125" i="24" l="1"/>
  <c r="U122" i="24" a="1"/>
  <c r="U122" i="24" s="1"/>
  <c r="T122" i="24" a="1"/>
  <c r="T122" i="24" s="1"/>
  <c r="R126" i="24" l="1"/>
  <c r="T123" i="24" a="1"/>
  <c r="T123" i="24" s="1"/>
  <c r="U123" i="24" a="1"/>
  <c r="U123" i="24" s="1"/>
  <c r="R127" i="24" l="1"/>
  <c r="T124" i="24" a="1"/>
  <c r="T124" i="24" s="1"/>
  <c r="U124" i="24" a="1"/>
  <c r="U124" i="24" s="1"/>
  <c r="R128" i="24" l="1"/>
  <c r="T125" i="24" a="1"/>
  <c r="T125" i="24" s="1"/>
  <c r="U125" i="24" a="1"/>
  <c r="U125" i="24" s="1"/>
  <c r="R129" i="24" l="1"/>
  <c r="U126" i="24" a="1"/>
  <c r="U126" i="24" s="1"/>
  <c r="T126" i="24" a="1"/>
  <c r="T126" i="24" s="1"/>
  <c r="R130" i="24" l="1"/>
  <c r="T127" i="24" a="1"/>
  <c r="T127" i="24" s="1"/>
  <c r="U127" i="24" a="1"/>
  <c r="U127" i="24" s="1"/>
  <c r="R131" i="24" l="1"/>
  <c r="T128" i="24" a="1"/>
  <c r="T128" i="24" s="1"/>
  <c r="U128" i="24" a="1"/>
  <c r="U128" i="24" s="1"/>
  <c r="R132" i="24" l="1"/>
  <c r="U129" i="24" a="1"/>
  <c r="U129" i="24" s="1"/>
  <c r="T129" i="24" a="1"/>
  <c r="T129" i="24" s="1"/>
  <c r="R133" i="24" l="1"/>
  <c r="U130" i="24" a="1"/>
  <c r="U130" i="24" s="1"/>
  <c r="T130" i="24" a="1"/>
  <c r="T130" i="24" s="1"/>
  <c r="R134" i="24" l="1"/>
  <c r="U131" i="24" a="1"/>
  <c r="U131" i="24" s="1"/>
  <c r="T131" i="24" a="1"/>
  <c r="T131" i="24" s="1"/>
  <c r="R135" i="24" l="1"/>
  <c r="U132" i="24" a="1"/>
  <c r="U132" i="24" s="1"/>
  <c r="T132" i="24" a="1"/>
  <c r="T132" i="24" s="1"/>
  <c r="R136" i="24" l="1"/>
  <c r="U133" i="24" a="1"/>
  <c r="U133" i="24" s="1"/>
  <c r="T133" i="24" a="1"/>
  <c r="T133" i="24" s="1"/>
  <c r="R137" i="24" l="1"/>
  <c r="T134" i="24" a="1"/>
  <c r="T134" i="24" s="1"/>
  <c r="U134" i="24" a="1"/>
  <c r="U134" i="24" s="1"/>
  <c r="R138" i="24" l="1"/>
  <c r="T135" i="24" a="1"/>
  <c r="T135" i="24" s="1"/>
  <c r="U135" i="24" a="1"/>
  <c r="U135" i="24" s="1"/>
  <c r="R139" i="24" l="1"/>
  <c r="T136" i="24" a="1"/>
  <c r="T136" i="24" s="1"/>
  <c r="U136" i="24" a="1"/>
  <c r="U136" i="24" s="1"/>
  <c r="R140" i="24" l="1"/>
  <c r="T137" i="24" a="1"/>
  <c r="T137" i="24" s="1"/>
  <c r="U137" i="24" a="1"/>
  <c r="U137" i="24" s="1"/>
  <c r="R141" i="24" l="1"/>
  <c r="T138" i="24" a="1"/>
  <c r="T138" i="24" s="1"/>
  <c r="U138" i="24" a="1"/>
  <c r="U138" i="24" s="1"/>
  <c r="R142" i="24" l="1"/>
  <c r="U139" i="24" a="1"/>
  <c r="U139" i="24" s="1"/>
  <c r="T139" i="24" a="1"/>
  <c r="T139" i="24" s="1"/>
  <c r="R143" i="24" l="1"/>
  <c r="T140" i="24" a="1"/>
  <c r="T140" i="24" s="1"/>
  <c r="U140" i="24" a="1"/>
  <c r="U140" i="24" s="1"/>
  <c r="R144" i="24" l="1"/>
  <c r="T141" i="24" a="1"/>
  <c r="T141" i="24" s="1"/>
  <c r="U141" i="24" a="1"/>
  <c r="U141" i="24" s="1"/>
  <c r="R145" i="24" l="1"/>
  <c r="U142" i="24" a="1"/>
  <c r="U142" i="24" s="1"/>
  <c r="T142" i="24" a="1"/>
  <c r="T142" i="24" s="1"/>
  <c r="R146" i="24" l="1"/>
  <c r="T143" i="24" a="1"/>
  <c r="T143" i="24" s="1"/>
  <c r="U143" i="24" a="1"/>
  <c r="U143" i="24" s="1"/>
  <c r="R147" i="24" l="1"/>
  <c r="T144" i="24" a="1"/>
  <c r="T144" i="24" s="1"/>
  <c r="U144" i="24" a="1"/>
  <c r="U144" i="24" s="1"/>
  <c r="R148" i="24" l="1"/>
  <c r="T145" i="24" a="1"/>
  <c r="T145" i="24" s="1"/>
  <c r="U145" i="24" a="1"/>
  <c r="U145" i="24" s="1"/>
  <c r="R149" i="24" l="1"/>
  <c r="T146" i="24" a="1"/>
  <c r="T146" i="24" s="1"/>
  <c r="U146" i="24" a="1"/>
  <c r="U146" i="24" s="1"/>
  <c r="R150" i="24" l="1"/>
  <c r="U147" i="24" a="1"/>
  <c r="U147" i="24" s="1"/>
  <c r="T147" i="24" a="1"/>
  <c r="T147" i="24" s="1"/>
  <c r="R151" i="24" l="1"/>
  <c r="U148" i="24" a="1"/>
  <c r="U148" i="24" s="1"/>
  <c r="T148" i="24" a="1"/>
  <c r="T148" i="24" s="1"/>
  <c r="R152" i="24" l="1"/>
  <c r="T149" i="24" a="1"/>
  <c r="T149" i="24" s="1"/>
  <c r="U149" i="24" a="1"/>
  <c r="U149" i="24" s="1"/>
  <c r="R153" i="24" l="1"/>
  <c r="U150" i="24" a="1"/>
  <c r="U150" i="24" s="1"/>
  <c r="T150" i="24" a="1"/>
  <c r="T150" i="24" s="1"/>
  <c r="R154" i="24" l="1"/>
  <c r="T151" i="24" a="1"/>
  <c r="T151" i="24" s="1"/>
  <c r="U151" i="24" a="1"/>
  <c r="U151" i="24" s="1"/>
  <c r="R155" i="24" l="1"/>
  <c r="U152" i="24" a="1"/>
  <c r="U152" i="24" s="1"/>
  <c r="T152" i="24" a="1"/>
  <c r="T152" i="24" s="1"/>
  <c r="R156" i="24" l="1"/>
  <c r="T153" i="24" a="1"/>
  <c r="T153" i="24" s="1"/>
  <c r="U153" i="24" a="1"/>
  <c r="U153" i="24" s="1"/>
  <c r="R157" i="24" l="1"/>
  <c r="U154" i="24" a="1"/>
  <c r="U154" i="24" s="1"/>
  <c r="T154" i="24" a="1"/>
  <c r="T154" i="24" s="1"/>
  <c r="R158" i="24" l="1"/>
  <c r="U155" i="24" a="1"/>
  <c r="U155" i="24" s="1"/>
  <c r="T155" i="24" a="1"/>
  <c r="T155" i="24" s="1"/>
  <c r="R159" i="24" l="1"/>
  <c r="U156" i="24" a="1"/>
  <c r="U156" i="24" s="1"/>
  <c r="T156" i="24" a="1"/>
  <c r="T156" i="24" s="1"/>
  <c r="R160" i="24" l="1"/>
  <c r="U157" i="24" a="1"/>
  <c r="U157" i="24" s="1"/>
  <c r="T157" i="24" a="1"/>
  <c r="T157" i="24" s="1"/>
  <c r="R161" i="24" l="1"/>
  <c r="T158" i="24" a="1"/>
  <c r="T158" i="24" s="1"/>
  <c r="U158" i="24" a="1"/>
  <c r="U158" i="24" s="1"/>
  <c r="R162" i="24" l="1"/>
  <c r="T159" i="24" a="1"/>
  <c r="T159" i="24" s="1"/>
  <c r="U159" i="24" a="1"/>
  <c r="U159" i="24" s="1"/>
  <c r="R163" i="24" l="1"/>
  <c r="U160" i="24" a="1"/>
  <c r="U160" i="24" s="1"/>
  <c r="T160" i="24" a="1"/>
  <c r="T160" i="24" s="1"/>
  <c r="R164" i="24" l="1"/>
  <c r="T161" i="24" a="1"/>
  <c r="T161" i="24" s="1"/>
  <c r="U161" i="24" a="1"/>
  <c r="U161" i="24" s="1"/>
  <c r="R165" i="24" l="1"/>
  <c r="U162" i="24" a="1"/>
  <c r="U162" i="24" s="1"/>
  <c r="T162" i="24" a="1"/>
  <c r="T162" i="24" s="1"/>
  <c r="R166" i="24" l="1"/>
  <c r="U163" i="24" a="1"/>
  <c r="U163" i="24" s="1"/>
  <c r="T163" i="24" a="1"/>
  <c r="T163" i="24" s="1"/>
  <c r="R167" i="24" l="1"/>
  <c r="U164" i="24" a="1"/>
  <c r="U164" i="24" s="1"/>
  <c r="T164" i="24" a="1"/>
  <c r="T164" i="24" s="1"/>
  <c r="R168" i="24" l="1"/>
  <c r="U165" i="24" a="1"/>
  <c r="U165" i="24" s="1"/>
  <c r="T165" i="24" a="1"/>
  <c r="T165" i="24" s="1"/>
  <c r="R169" i="24" l="1"/>
  <c r="T166" i="24" a="1"/>
  <c r="T166" i="24" s="1"/>
  <c r="U166" i="24" a="1"/>
  <c r="U166" i="24" s="1"/>
  <c r="R170" i="24" l="1"/>
  <c r="U167" i="24" a="1"/>
  <c r="U167" i="24" s="1"/>
  <c r="T167" i="24" a="1"/>
  <c r="T167" i="24" s="1"/>
  <c r="R171" i="24" l="1"/>
  <c r="U168" i="24" a="1"/>
  <c r="U168" i="24" s="1"/>
  <c r="T168" i="24" a="1"/>
  <c r="T168" i="24" s="1"/>
  <c r="R172" i="24" l="1"/>
  <c r="U169" i="24" a="1"/>
  <c r="U169" i="24" s="1"/>
  <c r="T169" i="24" a="1"/>
  <c r="T169" i="24" s="1"/>
  <c r="R173" i="24" l="1"/>
  <c r="T170" i="24" a="1"/>
  <c r="T170" i="24" s="1"/>
  <c r="U170" i="24" a="1"/>
  <c r="U170" i="24" s="1"/>
  <c r="R174" i="24" l="1"/>
  <c r="T171" i="24" a="1"/>
  <c r="T171" i="24" s="1"/>
  <c r="U171" i="24" a="1"/>
  <c r="U171" i="24" s="1"/>
  <c r="R175" i="24" l="1"/>
  <c r="U172" i="24" a="1"/>
  <c r="U172" i="24" s="1"/>
  <c r="T172" i="24" a="1"/>
  <c r="T172" i="24" s="1"/>
  <c r="R176" i="24" l="1"/>
  <c r="T173" i="24" a="1"/>
  <c r="T173" i="24" s="1"/>
  <c r="U173" i="24" a="1"/>
  <c r="U173" i="24" s="1"/>
  <c r="R177" i="24" l="1"/>
  <c r="U174" i="24" a="1"/>
  <c r="U174" i="24" s="1"/>
  <c r="T174" i="24" a="1"/>
  <c r="T174" i="24" s="1"/>
  <c r="R178" i="24" l="1"/>
  <c r="U175" i="24" a="1"/>
  <c r="U175" i="24" s="1"/>
  <c r="T175" i="24" a="1"/>
  <c r="T175" i="24" s="1"/>
  <c r="R179" i="24" l="1"/>
  <c r="T176" i="24" a="1"/>
  <c r="T176" i="24" s="1"/>
  <c r="U176" i="24" a="1"/>
  <c r="U176" i="24" s="1"/>
  <c r="R180" i="24" l="1"/>
  <c r="T177" i="24" a="1"/>
  <c r="T177" i="24" s="1"/>
  <c r="U177" i="24" a="1"/>
  <c r="U177" i="24" s="1"/>
  <c r="R181" i="24" l="1"/>
  <c r="U178" i="24" a="1"/>
  <c r="U178" i="24" s="1"/>
  <c r="T178" i="24" a="1"/>
  <c r="T178" i="24" s="1"/>
  <c r="R182" i="24" l="1"/>
  <c r="U179" i="24" a="1"/>
  <c r="U179" i="24" s="1"/>
  <c r="T179" i="24" a="1"/>
  <c r="T179" i="24" s="1"/>
  <c r="R183" i="24" l="1"/>
  <c r="U180" i="24" a="1"/>
  <c r="U180" i="24" s="1"/>
  <c r="T180" i="24" a="1"/>
  <c r="T180" i="24" s="1"/>
  <c r="R184" i="24" l="1"/>
  <c r="T181" i="24" a="1"/>
  <c r="T181" i="24" s="1"/>
  <c r="U181" i="24" a="1"/>
  <c r="U181" i="24" s="1"/>
  <c r="R185" i="24" l="1"/>
  <c r="U182" i="24" a="1"/>
  <c r="U182" i="24" s="1"/>
  <c r="T182" i="24" a="1"/>
  <c r="T182" i="24" s="1"/>
  <c r="R186" i="24" l="1"/>
  <c r="U183" i="24" a="1"/>
  <c r="U183" i="24" s="1"/>
  <c r="T183" i="24" a="1"/>
  <c r="T183" i="24" s="1"/>
  <c r="R187" i="24" l="1"/>
  <c r="T184" i="24" a="1"/>
  <c r="T184" i="24" s="1"/>
  <c r="U184" i="24" a="1"/>
  <c r="U184" i="24" s="1"/>
  <c r="R188" i="24" l="1"/>
  <c r="U185" i="24" a="1"/>
  <c r="U185" i="24" s="1"/>
  <c r="T185" i="24" a="1"/>
  <c r="T185" i="24" s="1"/>
  <c r="R189" i="24" l="1"/>
  <c r="U186" i="24" a="1"/>
  <c r="U186" i="24" s="1"/>
  <c r="T186" i="24" a="1"/>
  <c r="T186" i="24" s="1"/>
  <c r="R190" i="24" l="1"/>
  <c r="T187" i="24" a="1"/>
  <c r="T187" i="24" s="1"/>
  <c r="U187" i="24" a="1"/>
  <c r="U187" i="24" s="1"/>
  <c r="R191" i="24" l="1"/>
  <c r="T188" i="24" a="1"/>
  <c r="T188" i="24" s="1"/>
  <c r="U188" i="24" a="1"/>
  <c r="U188" i="24" s="1"/>
  <c r="R192" i="24" l="1"/>
  <c r="U189" i="24" a="1"/>
  <c r="U189" i="24" s="1"/>
  <c r="T189" i="24" a="1"/>
  <c r="T189" i="24" s="1"/>
  <c r="R193" i="24" l="1"/>
  <c r="U190" i="24" a="1"/>
  <c r="U190" i="24" s="1"/>
  <c r="T190" i="24" a="1"/>
  <c r="T190" i="24" s="1"/>
  <c r="R194" i="24" l="1"/>
  <c r="T191" i="24" a="1"/>
  <c r="T191" i="24" s="1"/>
  <c r="U191" i="24" a="1"/>
  <c r="U191" i="24" s="1"/>
  <c r="R195" i="24" l="1"/>
  <c r="U192" i="24" a="1"/>
  <c r="U192" i="24" s="1"/>
  <c r="T192" i="24" a="1"/>
  <c r="T192" i="24" s="1"/>
  <c r="R196" i="24" l="1"/>
  <c r="U193" i="24" a="1"/>
  <c r="U193" i="24" s="1"/>
  <c r="T193" i="24" a="1"/>
  <c r="T193" i="24" s="1"/>
  <c r="R197" i="24" l="1"/>
  <c r="U194" i="24" a="1"/>
  <c r="U194" i="24" s="1"/>
  <c r="T194" i="24" a="1"/>
  <c r="T194" i="24" s="1"/>
  <c r="R198" i="24" l="1"/>
  <c r="T195" i="24" a="1"/>
  <c r="T195" i="24" s="1"/>
  <c r="U195" i="24" a="1"/>
  <c r="U195" i="24" s="1"/>
  <c r="R199" i="24" l="1"/>
  <c r="U196" i="24" a="1"/>
  <c r="U196" i="24" s="1"/>
  <c r="T196" i="24" a="1"/>
  <c r="T196" i="24" s="1"/>
  <c r="R200" i="24" l="1"/>
  <c r="T197" i="24" a="1"/>
  <c r="T197" i="24" s="1"/>
  <c r="U197" i="24" a="1"/>
  <c r="U197" i="24" s="1"/>
  <c r="R201" i="24" l="1"/>
  <c r="U198" i="24" a="1"/>
  <c r="U198" i="24" s="1"/>
  <c r="T198" i="24" a="1"/>
  <c r="T198" i="24" s="1"/>
  <c r="R202" i="24" l="1"/>
  <c r="T199" i="24" a="1"/>
  <c r="T199" i="24" s="1"/>
  <c r="U199" i="24" a="1"/>
  <c r="U199" i="24" s="1"/>
  <c r="R203" i="24" l="1"/>
  <c r="T200" i="24" a="1"/>
  <c r="T200" i="24" s="1"/>
  <c r="U200" i="24" a="1"/>
  <c r="U200" i="24" s="1"/>
  <c r="R204" i="24" l="1"/>
  <c r="T201" i="24" a="1"/>
  <c r="T201" i="24" s="1"/>
  <c r="U201" i="24" a="1"/>
  <c r="U201" i="24" s="1"/>
  <c r="R205" i="24" l="1"/>
  <c r="U202" i="24" a="1"/>
  <c r="U202" i="24" s="1"/>
  <c r="T202" i="24" a="1"/>
  <c r="T202" i="24" s="1"/>
  <c r="R206" i="24" l="1"/>
  <c r="U203" i="24" a="1"/>
  <c r="U203" i="24" s="1"/>
  <c r="T203" i="24" a="1"/>
  <c r="T203" i="24" s="1"/>
  <c r="R207" i="24" l="1"/>
  <c r="U204" i="24" a="1"/>
  <c r="U204" i="24" s="1"/>
  <c r="T204" i="24" a="1"/>
  <c r="T204" i="24" s="1"/>
  <c r="R208" i="24" l="1"/>
  <c r="U205" i="24" a="1"/>
  <c r="U205" i="24" s="1"/>
  <c r="T205" i="24" a="1"/>
  <c r="T205" i="24" s="1"/>
  <c r="R209" i="24" l="1"/>
  <c r="U206" i="24" a="1"/>
  <c r="U206" i="24" s="1"/>
  <c r="T206" i="24" a="1"/>
  <c r="T206" i="24" s="1"/>
  <c r="R210" i="24" l="1"/>
  <c r="U207" i="24" a="1"/>
  <c r="U207" i="24" s="1"/>
  <c r="T207" i="24" a="1"/>
  <c r="T207" i="24" s="1"/>
  <c r="R211" i="24" l="1"/>
  <c r="T208" i="24" a="1"/>
  <c r="T208" i="24" s="1"/>
  <c r="U208" i="24" a="1"/>
  <c r="U208" i="24" s="1"/>
  <c r="R212" i="24" l="1"/>
  <c r="T209" i="24" a="1"/>
  <c r="T209" i="24" s="1"/>
  <c r="U209" i="24" a="1"/>
  <c r="U209" i="24" s="1"/>
  <c r="R213" i="24" l="1"/>
  <c r="U210" i="24" a="1"/>
  <c r="U210" i="24" s="1"/>
  <c r="T210" i="24" a="1"/>
  <c r="T210" i="24" s="1"/>
  <c r="R214" i="24" l="1"/>
  <c r="U211" i="24" a="1"/>
  <c r="U211" i="24" s="1"/>
  <c r="T211" i="24" a="1"/>
  <c r="T211" i="24" s="1"/>
  <c r="R215" i="24" l="1"/>
  <c r="T212" i="24" a="1"/>
  <c r="T212" i="24" s="1"/>
  <c r="U212" i="24" a="1"/>
  <c r="U212" i="24" s="1"/>
  <c r="R216" i="24" l="1"/>
  <c r="T213" i="24" a="1"/>
  <c r="T213" i="24" s="1"/>
  <c r="U213" i="24" a="1"/>
  <c r="U213" i="24" s="1"/>
  <c r="R217" i="24" l="1"/>
  <c r="U214" i="24" a="1"/>
  <c r="U214" i="24" s="1"/>
  <c r="T214" i="24" a="1"/>
  <c r="T214" i="24" s="1"/>
  <c r="R218" i="24" l="1"/>
  <c r="T215" i="24" a="1"/>
  <c r="T215" i="24" s="1"/>
  <c r="U215" i="24" a="1"/>
  <c r="U215" i="24" s="1"/>
  <c r="R219" i="24" l="1"/>
  <c r="T216" i="24" a="1"/>
  <c r="T216" i="24" s="1"/>
  <c r="U216" i="24" a="1"/>
  <c r="U216" i="24" s="1"/>
  <c r="R220" i="24" l="1"/>
  <c r="U217" i="24" a="1"/>
  <c r="U217" i="24" s="1"/>
  <c r="T217" i="24" a="1"/>
  <c r="T217" i="24" s="1"/>
  <c r="R221" i="24" l="1"/>
  <c r="T218" i="24" a="1"/>
  <c r="T218" i="24" s="1"/>
  <c r="U218" i="24" a="1"/>
  <c r="U218" i="24" s="1"/>
  <c r="R222" i="24" l="1"/>
  <c r="U219" i="24" a="1"/>
  <c r="U219" i="24" s="1"/>
  <c r="T219" i="24" a="1"/>
  <c r="T219" i="24" s="1"/>
  <c r="U220" i="24" l="1" a="1"/>
  <c r="U220" i="24" s="1"/>
  <c r="T220" i="24" a="1"/>
  <c r="T220" i="24" s="1"/>
  <c r="U221" i="24" l="1" a="1"/>
  <c r="U221" i="24" s="1"/>
  <c r="T221" i="24" a="1"/>
  <c r="T221" i="24" s="1"/>
  <c r="T222" i="24" l="1" a="1"/>
  <c r="T222" i="24" s="1"/>
  <c r="U222" i="24" a="1"/>
  <c r="U222" i="24" s="1"/>
  <c r="U223" i="24" l="1" a="1"/>
  <c r="U223" i="24" s="1"/>
  <c r="T223" i="24" a="1"/>
  <c r="T223" i="24" s="1"/>
  <c r="T224" i="24" l="1" a="1"/>
  <c r="T224" i="24" s="1"/>
  <c r="U224" i="24" a="1"/>
  <c r="U224" i="24" s="1"/>
  <c r="U226" i="24" l="1" a="1"/>
  <c r="U226" i="24" s="1"/>
  <c r="T226" i="24" a="1"/>
  <c r="T226" i="24" s="1"/>
  <c r="U225" i="24" a="1"/>
  <c r="U225" i="24" s="1"/>
  <c r="AF133" i="24" s="1"/>
  <c r="D23" i="18" s="1"/>
  <c r="T225" i="24" a="1"/>
  <c r="T225" i="24" s="1"/>
  <c r="AE133" i="24" s="1"/>
  <c r="C23" i="18" s="1"/>
  <c r="AE123" i="24" l="1"/>
  <c r="C13" i="18" s="1"/>
  <c r="AE122" i="24"/>
  <c r="C12" i="18" s="1"/>
  <c r="G12" i="18" s="1"/>
  <c r="I12" i="18" s="1"/>
  <c r="AF123" i="24"/>
  <c r="D13" i="18" s="1"/>
  <c r="AF122" i="24"/>
  <c r="D12" i="18" s="1"/>
  <c r="H12" i="18" s="1"/>
  <c r="J12" i="18" s="1"/>
  <c r="AE124" i="24"/>
  <c r="C14" i="18" s="1"/>
  <c r="AE125" i="24"/>
  <c r="C15" i="18" s="1"/>
  <c r="AE126" i="24"/>
  <c r="C16" i="18" s="1"/>
  <c r="AE127" i="24"/>
  <c r="C17" i="18" s="1"/>
  <c r="AE128" i="24"/>
  <c r="C18" i="18" s="1"/>
  <c r="AE129" i="24"/>
  <c r="C19" i="18" s="1"/>
  <c r="AE130" i="24"/>
  <c r="C20" i="18" s="1"/>
  <c r="AE131" i="24"/>
  <c r="C21" i="18" s="1"/>
  <c r="AE132" i="24"/>
  <c r="C22" i="18" s="1"/>
  <c r="AF124" i="24"/>
  <c r="D14" i="18" s="1"/>
  <c r="AF125" i="24"/>
  <c r="D15" i="18" s="1"/>
  <c r="AF126" i="24"/>
  <c r="D16" i="18" s="1"/>
  <c r="AF127" i="24"/>
  <c r="D17" i="18" s="1"/>
  <c r="AF128" i="24"/>
  <c r="D18" i="18" s="1"/>
  <c r="AF129" i="24"/>
  <c r="D19" i="18" s="1"/>
  <c r="AF130" i="24"/>
  <c r="D20" i="18" s="1"/>
  <c r="AF131" i="24"/>
  <c r="D21" i="18" s="1"/>
  <c r="AF132" i="24"/>
  <c r="D22" i="18" s="1"/>
  <c r="H13" i="18" l="1"/>
  <c r="J13" i="18" s="1"/>
  <c r="G13" i="18"/>
  <c r="I13" i="18" s="1"/>
  <c r="C24" i="18"/>
  <c r="D24" i="18"/>
  <c r="F28" i="18" s="1"/>
  <c r="H14" i="18" l="1"/>
  <c r="J14" i="18" s="1"/>
  <c r="G14" i="18"/>
  <c r="I28" i="18"/>
  <c r="H28" i="18"/>
  <c r="J28" i="18"/>
  <c r="G119" i="18"/>
  <c r="F27" i="18"/>
  <c r="J27" i="18" s="1"/>
  <c r="H119" i="18"/>
  <c r="H15" i="18" l="1"/>
  <c r="J15" i="18" s="1"/>
  <c r="G15" i="18"/>
  <c r="I14" i="18"/>
  <c r="I27" i="18"/>
  <c r="H27" i="18"/>
  <c r="F29" i="18"/>
  <c r="I119" i="18" s="1"/>
  <c r="H16" i="18" l="1"/>
  <c r="J16" i="18" s="1"/>
  <c r="G16" i="18"/>
  <c r="I15" i="18"/>
  <c r="J29" i="18"/>
  <c r="I29" i="18"/>
  <c r="H29" i="18"/>
  <c r="H17" i="18" l="1"/>
  <c r="J17" i="18" s="1"/>
  <c r="I16" i="18"/>
  <c r="G17" i="18"/>
  <c r="H18" i="18" l="1"/>
  <c r="J18" i="18" s="1"/>
  <c r="I17" i="18"/>
  <c r="G18" i="18"/>
  <c r="H19" i="18" l="1"/>
  <c r="J19" i="18" s="1"/>
  <c r="G19" i="18"/>
  <c r="I18" i="18"/>
  <c r="H20" i="18" l="1"/>
  <c r="J20" i="18" s="1"/>
  <c r="G20" i="18"/>
  <c r="I19" i="18"/>
  <c r="H21" i="18" l="1"/>
  <c r="J21" i="18" s="1"/>
  <c r="I20" i="18"/>
  <c r="G21" i="18"/>
  <c r="H22" i="18" l="1"/>
  <c r="J22" i="18" s="1"/>
  <c r="G22" i="18"/>
  <c r="I21" i="18"/>
  <c r="H23" i="18" l="1"/>
  <c r="J23" i="18" s="1"/>
  <c r="G23" i="18"/>
  <c r="I23" i="18" s="1"/>
  <c r="I22"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tc={8AABABD2-4310-48AF-A7E8-00170848F3ED}</author>
  </authors>
  <commentList>
    <comment ref="AC3" authorId="0" shapeId="0" xr:uid="{8AABABD2-4310-48AF-A7E8-00170848F3ED}">
      <text>
        <t xml:space="preserve">[Threaded comment]
Your version of Excel allows you to read this threaded comment; however, any edits to it will get removed if the file is opened in a newer version of Excel. Learn more: https://go.microsoft.com/fwlink/?linkid=870924
Comment:
    Special Day Type	Day Code
Early Dismissal 1	90
Early Dismissal 2	91
Early Dismissal 3	92
Extra Day 1	95
Extra Day 2	96
Extra Day 3	97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tc={DC5E533E-F0C0-46C0-AEC1-70848D48E021}</author>
    <author>tc={8DD3B7B1-678B-46E2-889F-C2A0F5B74359}</author>
    <author>tc={B713BBEB-3769-4693-A8B3-0AA264BE7E1B}</author>
    <author>tc={C07D6FBD-1EA0-42FB-B844-DCC95337D530}</author>
  </authors>
  <commentList>
    <comment ref="I1" authorId="0" shapeId="0" xr:uid="{DC5E533E-F0C0-46C0-AEC1-70848D48E021}">
      <text>
        <t xml:space="preserve">[Threaded comment]
Your version of Excel allows you to read this threaded comment; however, any edits to it will get removed if the file is opened in a newer version of Excel. Learn more: https://go.microsoft.com/fwlink/?linkid=870924
Comment:
    This number is the result of a lookup of the timetable type from the first page. It is used on the calculation page to set schedule day
</t>
      </text>
    </comment>
    <comment ref="B3" authorId="1" shapeId="0" xr:uid="{8DD3B7B1-678B-46E2-889F-C2A0F5B74359}">
      <text>
        <t>[Threaded comment]
Your version of Excel allows you to read this threaded comment; however, any edits to it will get removed if the file is opened in a newer version of Excel. Learn more: https://go.microsoft.com/fwlink/?linkid=870924
Comment:
    The entries below are used on the calendar page to classify days. To add extra types, drag the bottom cell down and then put the new types above. This will automatically populate the drop-downs on the calendar page.</t>
      </text>
    </comment>
    <comment ref="F3" authorId="2" shapeId="0" xr:uid="{B713BBEB-3769-4693-A8B3-0AA264BE7E1B}">
      <text>
        <t>[Threaded comment]
Your version of Excel allows you to read this threaded comment; however, any edits to it will get removed if the file is opened in a newer version of Excel. Learn more: https://go.microsoft.com/fwlink/?linkid=870924
Comment:
    The entries below are used to populate the drop-downs for activity type on the timetable setup pages and the exceptions page. See note about Type of Day for instructions on adding entries.
To add extra types, drag the bottom cell down and then put the new types above.</t>
      </text>
    </comment>
    <comment ref="I3" authorId="3" shapeId="0" xr:uid="{C07D6FBD-1EA0-42FB-B844-DCC95337D530}">
      <text>
        <t xml:space="preserve">[Threaded comment]
Your version of Excel allows you to read this threaded comment; however, any edits to it will get removed if the file is opened in a newer version of Excel. Learn more: https://go.microsoft.com/fwlink/?linkid=870924
Comment:
    The entries in this block are used to populate the dropdown for timetable type on the initial setup page. To add extra types, drag the bottom cell down and then put the new types above.
</t>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<sst xmlns="http://schemas.openxmlformats.org/spreadsheetml/2006/main" count="8930" uniqueCount="4268">
  <si>
    <t>Teacher Name</t>
  </si>
  <si>
    <t>School</t>
  </si>
  <si>
    <t>FTE</t>
  </si>
  <si>
    <t>Two day rotation</t>
  </si>
  <si>
    <t xml:space="preserve"> </t>
  </si>
  <si>
    <t>August</t>
  </si>
  <si>
    <t>Sunday</t>
  </si>
  <si>
    <t>Notes:</t>
  </si>
  <si>
    <t>Closed (non-operational)</t>
  </si>
  <si>
    <t>Day 1/Monday</t>
  </si>
  <si>
    <t>Day 2/Tuesday</t>
  </si>
  <si>
    <t>Day 3/Wednesday</t>
  </si>
  <si>
    <t>Day 4/Thursday</t>
  </si>
  <si>
    <t>Day 5/Friday</t>
  </si>
  <si>
    <t>Day 6</t>
  </si>
  <si>
    <t>Day 10</t>
  </si>
  <si>
    <t>Start</t>
  </si>
  <si>
    <t>End</t>
  </si>
  <si>
    <t>Elapsed</t>
  </si>
  <si>
    <t>Activity</t>
  </si>
  <si>
    <t>Instructional Time</t>
  </si>
  <si>
    <t>Non-Instructional</t>
  </si>
  <si>
    <t>Early Dismissal 1</t>
  </si>
  <si>
    <t>Early Dismissal 2</t>
  </si>
  <si>
    <t>Early Dismissal 3</t>
  </si>
  <si>
    <t>Extra Day 1</t>
  </si>
  <si>
    <t>Extra Day 2</t>
  </si>
  <si>
    <t>Extra Day 3</t>
  </si>
  <si>
    <t>Month</t>
  </si>
  <si>
    <t>Date</t>
  </si>
  <si>
    <t>Instructional</t>
  </si>
  <si>
    <t>Name:</t>
  </si>
  <si>
    <t>School:</t>
  </si>
  <si>
    <t>Scheduled</t>
  </si>
  <si>
    <t>Exceptions</t>
  </si>
  <si>
    <t>September</t>
  </si>
  <si>
    <t>October</t>
  </si>
  <si>
    <t>November</t>
  </si>
  <si>
    <t>December</t>
  </si>
  <si>
    <t>January</t>
  </si>
  <si>
    <t>February</t>
  </si>
  <si>
    <t>March</t>
  </si>
  <si>
    <t>April</t>
  </si>
  <si>
    <t>May</t>
  </si>
  <si>
    <t>June</t>
  </si>
  <si>
    <t>July</t>
  </si>
  <si>
    <t>Annual Totals</t>
  </si>
  <si>
    <t>Operational Days</t>
  </si>
  <si>
    <t>Instructional Days</t>
  </si>
  <si>
    <t>Early Dismissals</t>
  </si>
  <si>
    <t>Name</t>
  </si>
  <si>
    <t>Employer</t>
  </si>
  <si>
    <t>NonInstructional</t>
  </si>
  <si>
    <t>Total</t>
  </si>
  <si>
    <t>AuthCode</t>
  </si>
  <si>
    <t>AuthName</t>
  </si>
  <si>
    <t>SchCode</t>
  </si>
  <si>
    <t>SchName</t>
  </si>
  <si>
    <t>2125</t>
  </si>
  <si>
    <t>The Aspen View School Division</t>
  </si>
  <si>
    <t>2610</t>
  </si>
  <si>
    <t>Athabasca Colony School</t>
  </si>
  <si>
    <t>2604</t>
  </si>
  <si>
    <t>Boyle School</t>
  </si>
  <si>
    <t>1546</t>
  </si>
  <si>
    <t>Centre for Alternative and Virtual Education</t>
  </si>
  <si>
    <t>2161</t>
  </si>
  <si>
    <t>Deep Creek Colony School</t>
  </si>
  <si>
    <t>2601</t>
  </si>
  <si>
    <t>Edwin Parr Composite Community School</t>
  </si>
  <si>
    <t>2605</t>
  </si>
  <si>
    <t>Grassland Community School</t>
  </si>
  <si>
    <t>2722</t>
  </si>
  <si>
    <t>H. A. Kostash School</t>
  </si>
  <si>
    <t>2727</t>
  </si>
  <si>
    <t>Hutterite Colony School</t>
  </si>
  <si>
    <t>2602</t>
  </si>
  <si>
    <t>Landing Trail Intermediate School</t>
  </si>
  <si>
    <t>1938</t>
  </si>
  <si>
    <t>New Pine Creek Colony</t>
  </si>
  <si>
    <t>1920</t>
  </si>
  <si>
    <t>Night Wind, Kihew House School</t>
  </si>
  <si>
    <t>1921</t>
  </si>
  <si>
    <t>Night Wind, Maskwa House School</t>
  </si>
  <si>
    <t>2608</t>
  </si>
  <si>
    <t>Rochester School</t>
  </si>
  <si>
    <t>2609</t>
  </si>
  <si>
    <t>Smith School</t>
  </si>
  <si>
    <t>2624</t>
  </si>
  <si>
    <t>Thorhild Central School</t>
  </si>
  <si>
    <t>2352</t>
  </si>
  <si>
    <t>Thunderbird Landing School</t>
  </si>
  <si>
    <t>1547</t>
  </si>
  <si>
    <t>Vilna Off-Campus Achievement Academy</t>
  </si>
  <si>
    <t>2724</t>
  </si>
  <si>
    <t>Vilna School</t>
  </si>
  <si>
    <t>2611</t>
  </si>
  <si>
    <t>Whispering Hills Primary School</t>
  </si>
  <si>
    <t>2285</t>
  </si>
  <si>
    <t xml:space="preserve">The Battle River School Division </t>
  </si>
  <si>
    <t>4502</t>
  </si>
  <si>
    <t>Bashaw School</t>
  </si>
  <si>
    <t>4504</t>
  </si>
  <si>
    <t>Battle River Alternative Centre For Education (BRACE)</t>
  </si>
  <si>
    <t>3505</t>
  </si>
  <si>
    <t>Battle River Home Schools</t>
  </si>
  <si>
    <t>0326</t>
  </si>
  <si>
    <t>Battle River Online</t>
  </si>
  <si>
    <t>1780</t>
  </si>
  <si>
    <t>Battle River Summer School</t>
  </si>
  <si>
    <t>4503</t>
  </si>
  <si>
    <t>Bawlf School</t>
  </si>
  <si>
    <t>3509</t>
  </si>
  <si>
    <t>C W Sears Elementary School</t>
  </si>
  <si>
    <t>4515</t>
  </si>
  <si>
    <t>Camrose Colony School</t>
  </si>
  <si>
    <t>4545</t>
  </si>
  <si>
    <t>Camrose Composite High School</t>
  </si>
  <si>
    <t>4710</t>
  </si>
  <si>
    <t>Central High School Sedgewick</t>
  </si>
  <si>
    <t>4541</t>
  </si>
  <si>
    <t>Charlie Killam School</t>
  </si>
  <si>
    <t>4542</t>
  </si>
  <si>
    <t>Chester Ronning School</t>
  </si>
  <si>
    <t>4702</t>
  </si>
  <si>
    <t>Daysland School</t>
  </si>
  <si>
    <t>4703</t>
  </si>
  <si>
    <t>Forestburg School</t>
  </si>
  <si>
    <t>1581</t>
  </si>
  <si>
    <t>Hartland Colony School</t>
  </si>
  <si>
    <t>4507</t>
  </si>
  <si>
    <t>Hay Lakes School</t>
  </si>
  <si>
    <t>3512</t>
  </si>
  <si>
    <t>Holden Colony School</t>
  </si>
  <si>
    <t>3503</t>
  </si>
  <si>
    <t>Iron Creek Colony School</t>
  </si>
  <si>
    <t>4543</t>
  </si>
  <si>
    <t>Jack Stuart School</t>
  </si>
  <si>
    <t>4707</t>
  </si>
  <si>
    <t>Killam Public School</t>
  </si>
  <si>
    <t>1628</t>
  </si>
  <si>
    <t>Lougheed Colony School</t>
  </si>
  <si>
    <t>4510</t>
  </si>
  <si>
    <t>New Norway School</t>
  </si>
  <si>
    <t>1553</t>
  </si>
  <si>
    <t>Northstar Outreach</t>
  </si>
  <si>
    <t>1563</t>
  </si>
  <si>
    <t>Rosalind Colony School</t>
  </si>
  <si>
    <t>4512</t>
  </si>
  <si>
    <t>Round Hill School</t>
  </si>
  <si>
    <t>3506</t>
  </si>
  <si>
    <t>Ryley School</t>
  </si>
  <si>
    <t>4513</t>
  </si>
  <si>
    <t>Sifton School</t>
  </si>
  <si>
    <t>4713</t>
  </si>
  <si>
    <t>Southbend Colony School</t>
  </si>
  <si>
    <t>4549</t>
  </si>
  <si>
    <t>Sparling School</t>
  </si>
  <si>
    <t>0369</t>
  </si>
  <si>
    <t>Tofield Colony School</t>
  </si>
  <si>
    <t>3508</t>
  </si>
  <si>
    <t>Tofield School</t>
  </si>
  <si>
    <t>3511</t>
  </si>
  <si>
    <t>Viking Colony School</t>
  </si>
  <si>
    <t>3510</t>
  </si>
  <si>
    <t>Viking School</t>
  </si>
  <si>
    <t>1953</t>
  </si>
  <si>
    <t>Wavy Lake Colony School</t>
  </si>
  <si>
    <t>2245</t>
  </si>
  <si>
    <t xml:space="preserve">The Black Gold School Division </t>
  </si>
  <si>
    <t>3000</t>
  </si>
  <si>
    <t>Black Gold Home-Based School</t>
  </si>
  <si>
    <t>1689</t>
  </si>
  <si>
    <t>Black Gold Outreach - Beaumont</t>
  </si>
  <si>
    <t>3238</t>
  </si>
  <si>
    <t>Black Gold Outreach School</t>
  </si>
  <si>
    <t>3210</t>
  </si>
  <si>
    <t>Caledonia Park School</t>
  </si>
  <si>
    <t>1279</t>
  </si>
  <si>
    <t>Calmar Elementary School</t>
  </si>
  <si>
    <t>3206</t>
  </si>
  <si>
    <t>Calmar Secondary School</t>
  </si>
  <si>
    <t>9943</t>
  </si>
  <si>
    <t>Covenant Christian School</t>
  </si>
  <si>
    <t>3214</t>
  </si>
  <si>
    <t>East Elementary School</t>
  </si>
  <si>
    <t>3224</t>
  </si>
  <si>
    <t>Ecole Beau Meadow School</t>
  </si>
  <si>
    <t>3201</t>
  </si>
  <si>
    <t>Ecole Bellevue School</t>
  </si>
  <si>
    <t>2150</t>
  </si>
  <si>
    <t>École Champs Vallée School</t>
  </si>
  <si>
    <t>3234</t>
  </si>
  <si>
    <t>3211</t>
  </si>
  <si>
    <t>Ecole Corinthia Park School</t>
  </si>
  <si>
    <t>1766</t>
  </si>
  <si>
    <t>Ecole Dansereau Meadows School</t>
  </si>
  <si>
    <t>3204</t>
  </si>
  <si>
    <t>Ecole J E Lapointe School</t>
  </si>
  <si>
    <t>3232</t>
  </si>
  <si>
    <t>École Leduc Estates School</t>
  </si>
  <si>
    <t>3213</t>
  </si>
  <si>
    <t>Ecole Leduc Junior High School</t>
  </si>
  <si>
    <t>3231</t>
  </si>
  <si>
    <t>Ecole Secondaire Beaumont Composite High School</t>
  </si>
  <si>
    <t>3235</t>
  </si>
  <si>
    <t>John Maland High School</t>
  </si>
  <si>
    <t>3212</t>
  </si>
  <si>
    <t>Leduc Composite High School</t>
  </si>
  <si>
    <t>3215</t>
  </si>
  <si>
    <t>Linsford Park School</t>
  </si>
  <si>
    <t>3220</t>
  </si>
  <si>
    <t>New Sarepta Community High School</t>
  </si>
  <si>
    <t>3221</t>
  </si>
  <si>
    <t>New Sarepta Elementary School</t>
  </si>
  <si>
    <t>3237</t>
  </si>
  <si>
    <t>Riverview Middle School</t>
  </si>
  <si>
    <t>3236</t>
  </si>
  <si>
    <t>Robina Baker Elementary School</t>
  </si>
  <si>
    <t>3223</t>
  </si>
  <si>
    <t>Thorsby Elementary School</t>
  </si>
  <si>
    <t>3222</t>
  </si>
  <si>
    <t>Thorsby Junior Senior High School</t>
  </si>
  <si>
    <t>3228</t>
  </si>
  <si>
    <t>Warburg Colony School</t>
  </si>
  <si>
    <t>3226</t>
  </si>
  <si>
    <t>Warburg School</t>
  </si>
  <si>
    <t>2065</t>
  </si>
  <si>
    <t>West Haven Public School</t>
  </si>
  <si>
    <t>3217</t>
  </si>
  <si>
    <t>Willow Park School</t>
  </si>
  <si>
    <t>1155</t>
  </si>
  <si>
    <t>The Buffalo Trail School Division</t>
  </si>
  <si>
    <t>4901</t>
  </si>
  <si>
    <t>Amisk School</t>
  </si>
  <si>
    <t>3809</t>
  </si>
  <si>
    <t>Autumn Leaf Colony School</t>
  </si>
  <si>
    <t>3616</t>
  </si>
  <si>
    <t>Creighton Colony School</t>
  </si>
  <si>
    <t>3602</t>
  </si>
  <si>
    <t>Delnorte School</t>
  </si>
  <si>
    <t>3803</t>
  </si>
  <si>
    <t>Dewberry School</t>
  </si>
  <si>
    <t>3902</t>
  </si>
  <si>
    <t>Dr. Folkins Community School</t>
  </si>
  <si>
    <t>3811</t>
  </si>
  <si>
    <t>E. H. Walter School</t>
  </si>
  <si>
    <t>3904</t>
  </si>
  <si>
    <t>Edgerton Public School</t>
  </si>
  <si>
    <t>4908</t>
  </si>
  <si>
    <t>Highland View Colony School</t>
  </si>
  <si>
    <t>3912</t>
  </si>
  <si>
    <t>Holt Colony School</t>
  </si>
  <si>
    <t>4905</t>
  </si>
  <si>
    <t>Hughenden Public School</t>
  </si>
  <si>
    <t>3906</t>
  </si>
  <si>
    <t>Irma School</t>
  </si>
  <si>
    <t>3815</t>
  </si>
  <si>
    <t>J. R. Robson School</t>
  </si>
  <si>
    <t>3805</t>
  </si>
  <si>
    <t>Kitscoty Elementary School</t>
  </si>
  <si>
    <t>3806</t>
  </si>
  <si>
    <t>Kitscoty Junior Senior High School</t>
  </si>
  <si>
    <t>3604</t>
  </si>
  <si>
    <t>Mannville School</t>
  </si>
  <si>
    <t>3808</t>
  </si>
  <si>
    <t>Marwayne Jubilee School</t>
  </si>
  <si>
    <t>3614</t>
  </si>
  <si>
    <t>Percy Lake Colony School</t>
  </si>
  <si>
    <t>4907</t>
  </si>
  <si>
    <t>Provost Public School</t>
  </si>
  <si>
    <t>3913</t>
  </si>
  <si>
    <t>Ribstone Colony School</t>
  </si>
  <si>
    <t>2093</t>
  </si>
  <si>
    <t>Rosewood Colony School</t>
  </si>
  <si>
    <t>3821</t>
  </si>
  <si>
    <t>South Ferriby Colony School</t>
  </si>
  <si>
    <t>1059</t>
  </si>
  <si>
    <t>Students On Line</t>
  </si>
  <si>
    <t>3816</t>
  </si>
  <si>
    <t>Vermilion Elementary School</t>
  </si>
  <si>
    <t>0533</t>
  </si>
  <si>
    <t>Vermilion Outreach School</t>
  </si>
  <si>
    <t>3910</t>
  </si>
  <si>
    <t>Wainwright Elementary School</t>
  </si>
  <si>
    <t>3909</t>
  </si>
  <si>
    <t>Wainwright High School</t>
  </si>
  <si>
    <t>4010</t>
  </si>
  <si>
    <t>The Calgary Roman Catholic Separate School Division</t>
  </si>
  <si>
    <t>2175</t>
  </si>
  <si>
    <t>All Saints School</t>
  </si>
  <si>
    <t>2155</t>
  </si>
  <si>
    <t>Apostles of Jesus</t>
  </si>
  <si>
    <t>0333</t>
  </si>
  <si>
    <t>Ascension of Our Lord</t>
  </si>
  <si>
    <t>8905</t>
  </si>
  <si>
    <t>Bishop Carroll High School</t>
  </si>
  <si>
    <t>8702</t>
  </si>
  <si>
    <t>Bishop Kidd School</t>
  </si>
  <si>
    <t>8907</t>
  </si>
  <si>
    <t>Bishop McNally High School</t>
  </si>
  <si>
    <t>0581</t>
  </si>
  <si>
    <t>Bishop O'Byrne High School</t>
  </si>
  <si>
    <t>2195</t>
  </si>
  <si>
    <t>Blessed Marie-Rose</t>
  </si>
  <si>
    <t>1484</t>
  </si>
  <si>
    <t>Christ the King Catholic School</t>
  </si>
  <si>
    <t>8501</t>
  </si>
  <si>
    <t>Corpus Christi School</t>
  </si>
  <si>
    <t>2189</t>
  </si>
  <si>
    <t>Divine Mercy School</t>
  </si>
  <si>
    <t>8727</t>
  </si>
  <si>
    <t>Don Bosco School</t>
  </si>
  <si>
    <t>8524</t>
  </si>
  <si>
    <t>Ecole St. Pius X School</t>
  </si>
  <si>
    <t>8551</t>
  </si>
  <si>
    <t>Father Doucet School</t>
  </si>
  <si>
    <t>8729</t>
  </si>
  <si>
    <t>Father James Whelihan</t>
  </si>
  <si>
    <t>8903</t>
  </si>
  <si>
    <t>Father Lacombe School</t>
  </si>
  <si>
    <t>8730</t>
  </si>
  <si>
    <t>Father Scollen School</t>
  </si>
  <si>
    <t>1525</t>
  </si>
  <si>
    <t>Fresh Start Outreach Program</t>
  </si>
  <si>
    <t>1462</t>
  </si>
  <si>
    <t>Good Shepherd School</t>
  </si>
  <si>
    <t>2156</t>
  </si>
  <si>
    <t>Guardian Angel School</t>
  </si>
  <si>
    <t>0389</t>
  </si>
  <si>
    <t>Holy Angels School</t>
  </si>
  <si>
    <t>2160</t>
  </si>
  <si>
    <t>Holy Child School</t>
  </si>
  <si>
    <t>8704</t>
  </si>
  <si>
    <t>Holy Cross Elementary Junior High School</t>
  </si>
  <si>
    <t>8503</t>
  </si>
  <si>
    <t>Holy Family School</t>
  </si>
  <si>
    <t>8504</t>
  </si>
  <si>
    <t>Holy Name (Bilingual) School</t>
  </si>
  <si>
    <t>2438</t>
  </si>
  <si>
    <t>Holy Spirit School</t>
  </si>
  <si>
    <t>8506</t>
  </si>
  <si>
    <t>Holy Trinity School</t>
  </si>
  <si>
    <t>8558</t>
  </si>
  <si>
    <t>John Costello Catholic School</t>
  </si>
  <si>
    <t>1688</t>
  </si>
  <si>
    <t>Junior High Fresh Start Outreach Program</t>
  </si>
  <si>
    <t>1486</t>
  </si>
  <si>
    <t>Light of Christ Catholic School</t>
  </si>
  <si>
    <t>8728</t>
  </si>
  <si>
    <t>Madeleine D' Houet Bilingual School</t>
  </si>
  <si>
    <t>8557</t>
  </si>
  <si>
    <t>Monsignor A. J. Hetherington Elementary School</t>
  </si>
  <si>
    <t>8555</t>
  </si>
  <si>
    <t>Monsignor E. L. Doyle Elementary School</t>
  </si>
  <si>
    <t>0589</t>
  </si>
  <si>
    <t>Monsignor J. J. O'Brien</t>
  </si>
  <si>
    <t>0313</t>
  </si>
  <si>
    <t>Monsignor J. S. Smith School</t>
  </si>
  <si>
    <t>8554</t>
  </si>
  <si>
    <t>Monsignor Neville Anderson School</t>
  </si>
  <si>
    <t>8553</t>
  </si>
  <si>
    <t>Mother Mary Greene School</t>
  </si>
  <si>
    <t>1275</t>
  </si>
  <si>
    <t>Notre Dame High School</t>
  </si>
  <si>
    <t>1226</t>
  </si>
  <si>
    <t>Our Lady of Fatima</t>
  </si>
  <si>
    <t>2083</t>
  </si>
  <si>
    <t>Our Lady of Grace School</t>
  </si>
  <si>
    <t>0598</t>
  </si>
  <si>
    <t>Our Lady of Lourdes</t>
  </si>
  <si>
    <t>8732</t>
  </si>
  <si>
    <t>Our Lady of Peace Elementary Junior High School</t>
  </si>
  <si>
    <t>8701</t>
  </si>
  <si>
    <t>Our Lady of the Assumption School</t>
  </si>
  <si>
    <t>1485</t>
  </si>
  <si>
    <t>Our Lady of the Evergreens Catholic School</t>
  </si>
  <si>
    <t>8901</t>
  </si>
  <si>
    <t>Our Lady of the Rockies High School</t>
  </si>
  <si>
    <t>2081</t>
  </si>
  <si>
    <t>Our Lady of the Rosary School</t>
  </si>
  <si>
    <t>1373</t>
  </si>
  <si>
    <t>Our Lady of Wisdom</t>
  </si>
  <si>
    <t>5270</t>
  </si>
  <si>
    <t>2080</t>
  </si>
  <si>
    <t>Prince of Peace School</t>
  </si>
  <si>
    <t>8705</t>
  </si>
  <si>
    <t>Sacred Heart Elementary School</t>
  </si>
  <si>
    <t>1554</t>
  </si>
  <si>
    <t>Sanctuary Outreach</t>
  </si>
  <si>
    <t>1336</t>
  </si>
  <si>
    <t>St. Albert the Great</t>
  </si>
  <si>
    <t>8706</t>
  </si>
  <si>
    <t>St. Alphonsus Elementary Junior High School</t>
  </si>
  <si>
    <t>0390</t>
  </si>
  <si>
    <t>St. Ambrose School</t>
  </si>
  <si>
    <t>8508</t>
  </si>
  <si>
    <t>St. Andrew School</t>
  </si>
  <si>
    <t>8906</t>
  </si>
  <si>
    <t>St. Anne Academic Centre</t>
  </si>
  <si>
    <t>8515</t>
  </si>
  <si>
    <t>St. Anthony</t>
  </si>
  <si>
    <t>8708</t>
  </si>
  <si>
    <t>St. Augustine Elementary Junior High School</t>
  </si>
  <si>
    <t>1337</t>
  </si>
  <si>
    <t>St. Basil Elementary/Junior High School</t>
  </si>
  <si>
    <t>8545</t>
  </si>
  <si>
    <t>St. Bede Elementary School</t>
  </si>
  <si>
    <t>8511</t>
  </si>
  <si>
    <t>St. Benedict School</t>
  </si>
  <si>
    <t>8709</t>
  </si>
  <si>
    <t>St. Bernadette School</t>
  </si>
  <si>
    <t>8721</t>
  </si>
  <si>
    <t>St. Bonaventure School</t>
  </si>
  <si>
    <t>8532</t>
  </si>
  <si>
    <t>St. Boniface Elementary School</t>
  </si>
  <si>
    <t>1119</t>
  </si>
  <si>
    <t>St. Brigid</t>
  </si>
  <si>
    <t>8533</t>
  </si>
  <si>
    <t>St. Catherine Elementary School</t>
  </si>
  <si>
    <t>8513</t>
  </si>
  <si>
    <t>St. Cecilia (Bilingual) Elementary School</t>
  </si>
  <si>
    <t>1118</t>
  </si>
  <si>
    <t>St. Clare</t>
  </si>
  <si>
    <t>8723</t>
  </si>
  <si>
    <t>St. Cyril School</t>
  </si>
  <si>
    <t>8550</t>
  </si>
  <si>
    <t>St. Damien School</t>
  </si>
  <si>
    <t>8531</t>
  </si>
  <si>
    <t>St. Dominic School</t>
  </si>
  <si>
    <t>0588</t>
  </si>
  <si>
    <t>St. Elizabeth Seton</t>
  </si>
  <si>
    <t>8902</t>
  </si>
  <si>
    <t>St. Francis High School</t>
  </si>
  <si>
    <t>1029</t>
  </si>
  <si>
    <t>St. Gabriel the Archangel</t>
  </si>
  <si>
    <t>2328</t>
  </si>
  <si>
    <t>St. Gianna School</t>
  </si>
  <si>
    <t>8710</t>
  </si>
  <si>
    <t>St. Gregory School</t>
  </si>
  <si>
    <t>8711</t>
  </si>
  <si>
    <t>St. Helena School</t>
  </si>
  <si>
    <t>8534</t>
  </si>
  <si>
    <t>St. Henry Elementary School</t>
  </si>
  <si>
    <t>8502</t>
  </si>
  <si>
    <t>St. Hubert Elementary School</t>
  </si>
  <si>
    <t>1680</t>
  </si>
  <si>
    <t>St. Isabella School</t>
  </si>
  <si>
    <t>2344</t>
  </si>
  <si>
    <t>St. Isidore Online School</t>
  </si>
  <si>
    <t>8712</t>
  </si>
  <si>
    <t>St. James Elementary Junior High School</t>
  </si>
  <si>
    <t>8703</t>
  </si>
  <si>
    <t>St. Jean Brebeuf School</t>
  </si>
  <si>
    <t>1340</t>
  </si>
  <si>
    <t>St. Jerome Elementary School</t>
  </si>
  <si>
    <t>1338</t>
  </si>
  <si>
    <t>St. Joan of Arc Elementary/Junior High School</t>
  </si>
  <si>
    <t>8731</t>
  </si>
  <si>
    <t>St. John Henry Newman School</t>
  </si>
  <si>
    <t>8549</t>
  </si>
  <si>
    <t>St. John Paul II School</t>
  </si>
  <si>
    <t>8726</t>
  </si>
  <si>
    <t>St. John XXIII School</t>
  </si>
  <si>
    <t>8713</t>
  </si>
  <si>
    <t>St. Joseph Elementary Junior High School</t>
  </si>
  <si>
    <t>2355</t>
  </si>
  <si>
    <t>St. Josephine Bakhita School</t>
  </si>
  <si>
    <t>8546</t>
  </si>
  <si>
    <t>St. Jude School</t>
  </si>
  <si>
    <t>8552</t>
  </si>
  <si>
    <t>St. Kateri Tekakwitha School</t>
  </si>
  <si>
    <t>8521</t>
  </si>
  <si>
    <t>St. Luke Bilingual Elementary School</t>
  </si>
  <si>
    <t>8714</t>
  </si>
  <si>
    <t>St. Margaret School</t>
  </si>
  <si>
    <t>2082</t>
  </si>
  <si>
    <t>St. Marguerite School</t>
  </si>
  <si>
    <t>8556</t>
  </si>
  <si>
    <t>St. Maria Goretti Elementary School</t>
  </si>
  <si>
    <t>8536</t>
  </si>
  <si>
    <t>St. Mark Elementary School</t>
  </si>
  <si>
    <t>8725</t>
  </si>
  <si>
    <t>St. Martha School</t>
  </si>
  <si>
    <t>0346</t>
  </si>
  <si>
    <t>St. Martin De Porres High School</t>
  </si>
  <si>
    <t>8904</t>
  </si>
  <si>
    <t>St. Mary's High School</t>
  </si>
  <si>
    <t>8716</t>
  </si>
  <si>
    <t>St. Matthew School</t>
  </si>
  <si>
    <t>8717</t>
  </si>
  <si>
    <t>St. Michael School</t>
  </si>
  <si>
    <t>8530</t>
  </si>
  <si>
    <t>St. Monica School</t>
  </si>
  <si>
    <t>8507</t>
  </si>
  <si>
    <t>St. Patrick School</t>
  </si>
  <si>
    <t>8543</t>
  </si>
  <si>
    <t>St. Peter Elementary School</t>
  </si>
  <si>
    <t>8724</t>
  </si>
  <si>
    <t>St. Philip School</t>
  </si>
  <si>
    <t>8547</t>
  </si>
  <si>
    <t>St. Rita School</t>
  </si>
  <si>
    <t>8722</t>
  </si>
  <si>
    <t>St. Rose of Lima Junior High School</t>
  </si>
  <si>
    <t>8548</t>
  </si>
  <si>
    <t>St. Rupert School</t>
  </si>
  <si>
    <t>1339</t>
  </si>
  <si>
    <t>St. Sebastian Elementary School</t>
  </si>
  <si>
    <t>8719</t>
  </si>
  <si>
    <t>St. Stephen School</t>
  </si>
  <si>
    <t>8537</t>
  </si>
  <si>
    <t>St. Sylvester School</t>
  </si>
  <si>
    <t>8542</t>
  </si>
  <si>
    <t>St. Teresa of Calcutta School</t>
  </si>
  <si>
    <t>8527</t>
  </si>
  <si>
    <t>St. Thomas Aquinas School</t>
  </si>
  <si>
    <t>8544</t>
  </si>
  <si>
    <t>St. Thomas More School</t>
  </si>
  <si>
    <t>1225</t>
  </si>
  <si>
    <t>St. Timothy</t>
  </si>
  <si>
    <t>2259</t>
  </si>
  <si>
    <t>St. Veronica School</t>
  </si>
  <si>
    <t>8528</t>
  </si>
  <si>
    <t>St. Vincent De Paul Elementary Junior High School</t>
  </si>
  <si>
    <t>8541</t>
  </si>
  <si>
    <t>St. Wilfrid Elementary School</t>
  </si>
  <si>
    <t>8529</t>
  </si>
  <si>
    <t>St. William School</t>
  </si>
  <si>
    <t>3030</t>
  </si>
  <si>
    <t>The Calgary School Division</t>
  </si>
  <si>
    <t>9638</t>
  </si>
  <si>
    <t>A. E. Cross School</t>
  </si>
  <si>
    <t>9573</t>
  </si>
  <si>
    <t>AADAC Youth Services</t>
  </si>
  <si>
    <t>9376</t>
  </si>
  <si>
    <t>Abbeydale School</t>
  </si>
  <si>
    <t>9300</t>
  </si>
  <si>
    <t>Acadia School</t>
  </si>
  <si>
    <t>1749</t>
  </si>
  <si>
    <t>Adolescent Day Treatment Program</t>
  </si>
  <si>
    <t>9512</t>
  </si>
  <si>
    <t>Adolescent Mental Health Services</t>
  </si>
  <si>
    <t>9101</t>
  </si>
  <si>
    <t>Alex Ferguson School</t>
  </si>
  <si>
    <t>9261</t>
  </si>
  <si>
    <t>Alex Munro School</t>
  </si>
  <si>
    <t>1579</t>
  </si>
  <si>
    <t>All Boys Program</t>
  </si>
  <si>
    <t>9109</t>
  </si>
  <si>
    <t>Altadore School</t>
  </si>
  <si>
    <t>9863</t>
  </si>
  <si>
    <t>Alternative High School</t>
  </si>
  <si>
    <t>9336</t>
  </si>
  <si>
    <t>Andrew Sibbald School</t>
  </si>
  <si>
    <t>9377</t>
  </si>
  <si>
    <t>Annie Foote School</t>
  </si>
  <si>
    <t>9686</t>
  </si>
  <si>
    <t>Annie Gale School</t>
  </si>
  <si>
    <t>1330</t>
  </si>
  <si>
    <t>Arbour Lake Middle School</t>
  </si>
  <si>
    <t>2085</t>
  </si>
  <si>
    <t>Auburn Bay School</t>
  </si>
  <si>
    <t>9601</t>
  </si>
  <si>
    <t>Balmoral School</t>
  </si>
  <si>
    <t>9202</t>
  </si>
  <si>
    <t>Banff Trail School</t>
  </si>
  <si>
    <t>9369</t>
  </si>
  <si>
    <t>Banting and Best School</t>
  </si>
  <si>
    <t>0537</t>
  </si>
  <si>
    <t>Battalion Park School</t>
  </si>
  <si>
    <t>2427</t>
  </si>
  <si>
    <t>Bayside School</t>
  </si>
  <si>
    <t>9372</t>
  </si>
  <si>
    <t>Beddington Heights School</t>
  </si>
  <si>
    <t>9203</t>
  </si>
  <si>
    <t>Belfast School</t>
  </si>
  <si>
    <t>9110</t>
  </si>
  <si>
    <t>Belvedere Parkway School</t>
  </si>
  <si>
    <t>9645</t>
  </si>
  <si>
    <t>Bishop Pinkham School</t>
  </si>
  <si>
    <t>9623</t>
  </si>
  <si>
    <t>Bob Edwards School</t>
  </si>
  <si>
    <t>9111</t>
  </si>
  <si>
    <t>Bowcroft School</t>
  </si>
  <si>
    <t>9847</t>
  </si>
  <si>
    <t>Bowness High School</t>
  </si>
  <si>
    <t>9305</t>
  </si>
  <si>
    <t>Braeside School</t>
  </si>
  <si>
    <t>9621</t>
  </si>
  <si>
    <t>Branton School</t>
  </si>
  <si>
    <t>9204</t>
  </si>
  <si>
    <t>Brentwood School</t>
  </si>
  <si>
    <t>9205</t>
  </si>
  <si>
    <t>Briar Hill School</t>
  </si>
  <si>
    <t>1498</t>
  </si>
  <si>
    <t>Bridlewood School</t>
  </si>
  <si>
    <t>9207</t>
  </si>
  <si>
    <t>Buchanan School</t>
  </si>
  <si>
    <t>2029</t>
  </si>
  <si>
    <t>Buffalo Rubbing Stone School</t>
  </si>
  <si>
    <t>9425</t>
  </si>
  <si>
    <t>Calgary Home Education</t>
  </si>
  <si>
    <t>9208</t>
  </si>
  <si>
    <t>Cambrian Heights School</t>
  </si>
  <si>
    <t>9355</t>
  </si>
  <si>
    <t>Canyon Meadows School</t>
  </si>
  <si>
    <t>9209</t>
  </si>
  <si>
    <t>Capitol Hill School</t>
  </si>
  <si>
    <t>9353</t>
  </si>
  <si>
    <t>Cappy Smart School</t>
  </si>
  <si>
    <t>9210</t>
  </si>
  <si>
    <t>Captain John Palliser School</t>
  </si>
  <si>
    <t>1676</t>
  </si>
  <si>
    <t>Captain Nichola Goddard School</t>
  </si>
  <si>
    <t>9232</t>
  </si>
  <si>
    <t>Catherine Nichols Gunn School</t>
  </si>
  <si>
    <t>1064</t>
  </si>
  <si>
    <t>CBe-learn</t>
  </si>
  <si>
    <t>9373</t>
  </si>
  <si>
    <t>Cecil Swanson School</t>
  </si>
  <si>
    <t>9338</t>
  </si>
  <si>
    <t>Cedarbrae School</t>
  </si>
  <si>
    <t>1224</t>
  </si>
  <si>
    <t>Centennial High School</t>
  </si>
  <si>
    <t>9823</t>
  </si>
  <si>
    <t>Central Memorial High School</t>
  </si>
  <si>
    <t>1331</t>
  </si>
  <si>
    <t>Chaparral School</t>
  </si>
  <si>
    <t>9361</t>
  </si>
  <si>
    <t>Chief Justice Milvain School</t>
  </si>
  <si>
    <t>9014</t>
  </si>
  <si>
    <t>Children's Village School</t>
  </si>
  <si>
    <t>9817</t>
  </si>
  <si>
    <t>Chinook Learning Services</t>
  </si>
  <si>
    <t>9306</t>
  </si>
  <si>
    <t>Chinook Park School</t>
  </si>
  <si>
    <t>9339</t>
  </si>
  <si>
    <t>Chris Akkerman School</t>
  </si>
  <si>
    <t>9037</t>
  </si>
  <si>
    <t>Christine Meikle School</t>
  </si>
  <si>
    <t>1332</t>
  </si>
  <si>
    <t>Citadel Park School</t>
  </si>
  <si>
    <t>9682</t>
  </si>
  <si>
    <t>Clarence Sansom School</t>
  </si>
  <si>
    <t>2452</t>
  </si>
  <si>
    <t>CLS Alternative Site</t>
  </si>
  <si>
    <t>2246</t>
  </si>
  <si>
    <t>CLS James Fowler Writing Centre</t>
  </si>
  <si>
    <t>CLS Lord Beaverbrook Writing Centre</t>
  </si>
  <si>
    <t>2247</t>
  </si>
  <si>
    <t>CLS Lord Shaughnessy Writing Centre</t>
  </si>
  <si>
    <t>9212</t>
  </si>
  <si>
    <t>Collingwood School</t>
  </si>
  <si>
    <t>9622</t>
  </si>
  <si>
    <t>Colonel Irvine School</t>
  </si>
  <si>
    <t>9348</t>
  </si>
  <si>
    <t>Colonel J. Fred Scott School</t>
  </si>
  <si>
    <t>9620</t>
  </si>
  <si>
    <t>Colonel Macleod School</t>
  </si>
  <si>
    <t>1053</t>
  </si>
  <si>
    <t>Colonel Sanders School</t>
  </si>
  <si>
    <t>9602</t>
  </si>
  <si>
    <t>Colonel Walker School</t>
  </si>
  <si>
    <t>9114</t>
  </si>
  <si>
    <t>Connaught School</t>
  </si>
  <si>
    <t>2086</t>
  </si>
  <si>
    <t>Copperfield School</t>
  </si>
  <si>
    <t>1038</t>
  </si>
  <si>
    <t>Coventry Hills School</t>
  </si>
  <si>
    <t>1499</t>
  </si>
  <si>
    <t>Cranston School</t>
  </si>
  <si>
    <t>9815</t>
  </si>
  <si>
    <t>Crescent Heights High School</t>
  </si>
  <si>
    <t>0536</t>
  </si>
  <si>
    <t>Crossing Park School</t>
  </si>
  <si>
    <t>9240</t>
  </si>
  <si>
    <t>Dalhousie School</t>
  </si>
  <si>
    <t>9641</t>
  </si>
  <si>
    <t>David Thompson School</t>
  </si>
  <si>
    <t>9265</t>
  </si>
  <si>
    <t>Deer Run School</t>
  </si>
  <si>
    <t>9868</t>
  </si>
  <si>
    <t>Discovering Choices</t>
  </si>
  <si>
    <t>1161</t>
  </si>
  <si>
    <t>Discovering Choices II</t>
  </si>
  <si>
    <t>9347</t>
  </si>
  <si>
    <t>Douglas Harkness School</t>
  </si>
  <si>
    <t>0596</t>
  </si>
  <si>
    <t>Douglasdale School</t>
  </si>
  <si>
    <t>9858</t>
  </si>
  <si>
    <t>Dr. E. P. Scarlett High School</t>
  </si>
  <si>
    <t>9214</t>
  </si>
  <si>
    <t>Dr. E. W. Coffin School</t>
  </si>
  <si>
    <t>2280</t>
  </si>
  <si>
    <t>Dr. Freda Miller School</t>
  </si>
  <si>
    <t>2084</t>
  </si>
  <si>
    <t>Dr. George Stanley School</t>
  </si>
  <si>
    <t>9350</t>
  </si>
  <si>
    <t>Dr. Gladys McKelvie Egbert School</t>
  </si>
  <si>
    <t>9346</t>
  </si>
  <si>
    <t>Dr. Gordon Higgins School</t>
  </si>
  <si>
    <t>9886</t>
  </si>
  <si>
    <t>Dr. Gordon Townsend School</t>
  </si>
  <si>
    <t>9242</t>
  </si>
  <si>
    <t>Dr. J. K. Mulloy School</t>
  </si>
  <si>
    <t>2070</t>
  </si>
  <si>
    <t>Dr. Martha Cohen School</t>
  </si>
  <si>
    <t>9630</t>
  </si>
  <si>
    <t>Dr. Oakley School</t>
  </si>
  <si>
    <t>2054</t>
  </si>
  <si>
    <t>Dr. Roberta Bondar School</t>
  </si>
  <si>
    <t>9118</t>
  </si>
  <si>
    <t>Earl Grey School</t>
  </si>
  <si>
    <t>9379</t>
  </si>
  <si>
    <t>Edgemont School</t>
  </si>
  <si>
    <t>9119</t>
  </si>
  <si>
    <t>Elbow Park School</t>
  </si>
  <si>
    <t>9627</t>
  </si>
  <si>
    <t>Elboya School</t>
  </si>
  <si>
    <t>9036</t>
  </si>
  <si>
    <t>Emily Follensbee School</t>
  </si>
  <si>
    <t>2031</t>
  </si>
  <si>
    <t>Eric Harvie School</t>
  </si>
  <si>
    <t>9269</t>
  </si>
  <si>
    <t>Erin Woods School</t>
  </si>
  <si>
    <t>9826</t>
  </si>
  <si>
    <t>Ernest Manning High School</t>
  </si>
  <si>
    <t>9644</t>
  </si>
  <si>
    <t>Ernest Morrow School</t>
  </si>
  <si>
    <t>9310</t>
  </si>
  <si>
    <t>Ethel M. Johnson School</t>
  </si>
  <si>
    <t>9311</t>
  </si>
  <si>
    <t>Eugene Coste School</t>
  </si>
  <si>
    <t>1500</t>
  </si>
  <si>
    <t>Evergreen School</t>
  </si>
  <si>
    <t>9651</t>
  </si>
  <si>
    <t>F. E. Osborne School</t>
  </si>
  <si>
    <t>9633</t>
  </si>
  <si>
    <t>Fairview School</t>
  </si>
  <si>
    <t>9375</t>
  </si>
  <si>
    <t>Falconridge School</t>
  </si>
  <si>
    <t>9384</t>
  </si>
  <si>
    <t>Fish Creek School</t>
  </si>
  <si>
    <t>9813</t>
  </si>
  <si>
    <t>Forest Lawn High School</t>
  </si>
  <si>
    <t>9351</t>
  </si>
  <si>
    <t>G. W. Skene School</t>
  </si>
  <si>
    <t>9635</t>
  </si>
  <si>
    <t>Georges P. Vanier School</t>
  </si>
  <si>
    <t>9121</t>
  </si>
  <si>
    <t>Glamorgan School</t>
  </si>
  <si>
    <t>9122</t>
  </si>
  <si>
    <t>Glenbrook School</t>
  </si>
  <si>
    <t>9143</t>
  </si>
  <si>
    <t>Glendale School</t>
  </si>
  <si>
    <t>9123</t>
  </si>
  <si>
    <t>Glenmeadows School</t>
  </si>
  <si>
    <t>9378</t>
  </si>
  <si>
    <t>Grant MacEwan School</t>
  </si>
  <si>
    <t>2147</t>
  </si>
  <si>
    <t>Griffith Woods School</t>
  </si>
  <si>
    <t>9343</t>
  </si>
  <si>
    <t>Guy Weadick School</t>
  </si>
  <si>
    <t>9660</t>
  </si>
  <si>
    <t>H. D. Cartwright School</t>
  </si>
  <si>
    <t>9643</t>
  </si>
  <si>
    <t>Harold Panabaker School</t>
  </si>
  <si>
    <t>9362</t>
  </si>
  <si>
    <t>Haultain Memorial School</t>
  </si>
  <si>
    <t>9273</t>
  </si>
  <si>
    <t>Hawkwood School</t>
  </si>
  <si>
    <t>9316</t>
  </si>
  <si>
    <t>Haysboro School</t>
  </si>
  <si>
    <t>9836</t>
  </si>
  <si>
    <t>Henry Wise Wood High School</t>
  </si>
  <si>
    <t>0535</t>
  </si>
  <si>
    <t>Hidden Valley School</t>
  </si>
  <si>
    <t>9217</t>
  </si>
  <si>
    <t>Highwood School</t>
  </si>
  <si>
    <t>9218</t>
  </si>
  <si>
    <t>Hillhurst School</t>
  </si>
  <si>
    <t>2056</t>
  </si>
  <si>
    <t>Hugh A. Bennett School</t>
  </si>
  <si>
    <t>9219</t>
  </si>
  <si>
    <t>Huntington Hills School</t>
  </si>
  <si>
    <t>9613</t>
  </si>
  <si>
    <t>Ian Bazalgette School</t>
  </si>
  <si>
    <t>9856</t>
  </si>
  <si>
    <t>Jack James High School</t>
  </si>
  <si>
    <t>9825</t>
  </si>
  <si>
    <t>James Fowler High School</t>
  </si>
  <si>
    <t>9364</t>
  </si>
  <si>
    <t>James Short Memorial School</t>
  </si>
  <si>
    <t>9270</t>
  </si>
  <si>
    <t>Janet Johnstone School</t>
  </si>
  <si>
    <t>9103</t>
  </si>
  <si>
    <t>Jennie Elliott School</t>
  </si>
  <si>
    <t>2180</t>
  </si>
  <si>
    <t>Joane Cardinal-Schubert High School</t>
  </si>
  <si>
    <t>9860</t>
  </si>
  <si>
    <t>John G. Diefenbaker High School</t>
  </si>
  <si>
    <t>9603</t>
  </si>
  <si>
    <t>John Ware School</t>
  </si>
  <si>
    <t>1125</t>
  </si>
  <si>
    <t>Juno Beach Academy of Canadian Studies</t>
  </si>
  <si>
    <t>9318</t>
  </si>
  <si>
    <t>Keeler School</t>
  </si>
  <si>
    <t>2088</t>
  </si>
  <si>
    <t>Kenneth D. Taylor School</t>
  </si>
  <si>
    <t>9104</t>
  </si>
  <si>
    <t>Killarney School</t>
  </si>
  <si>
    <t>9608</t>
  </si>
  <si>
    <t>King George School</t>
  </si>
  <si>
    <t>9334</t>
  </si>
  <si>
    <t>Lake Bonavista School</t>
  </si>
  <si>
    <t>2426</t>
  </si>
  <si>
    <t>Lakeshore School</t>
  </si>
  <si>
    <t>9320</t>
  </si>
  <si>
    <t>Le Roi Daniels School</t>
  </si>
  <si>
    <t>9865</t>
  </si>
  <si>
    <t>Lester B. Pearson High School</t>
  </si>
  <si>
    <t>9850</t>
  </si>
  <si>
    <t>Lord Beaverbrook High School</t>
  </si>
  <si>
    <t>9625</t>
  </si>
  <si>
    <t>Louis Riel School</t>
  </si>
  <si>
    <t>9626</t>
  </si>
  <si>
    <t>Louise Dean School</t>
  </si>
  <si>
    <t>2425</t>
  </si>
  <si>
    <t xml:space="preserve">Mahogany School </t>
  </si>
  <si>
    <t>2145</t>
  </si>
  <si>
    <t>Manmeet Singh Bhullar School</t>
  </si>
  <si>
    <t>9321</t>
  </si>
  <si>
    <t>Maple Ridge School</t>
  </si>
  <si>
    <t>9241</t>
  </si>
  <si>
    <t>Marion Carson School</t>
  </si>
  <si>
    <t>9322</t>
  </si>
  <si>
    <t>Marlborough School</t>
  </si>
  <si>
    <t>2069</t>
  </si>
  <si>
    <t>Marshall Springs School</t>
  </si>
  <si>
    <t>9223</t>
  </si>
  <si>
    <t>Mayland Heights School</t>
  </si>
  <si>
    <t>2055</t>
  </si>
  <si>
    <t>McKenzie Highlands School</t>
  </si>
  <si>
    <t>9385</t>
  </si>
  <si>
    <t>McKenzie Lake School</t>
  </si>
  <si>
    <t>1463</t>
  </si>
  <si>
    <t>McKenzie Towne School</t>
  </si>
  <si>
    <t>9363</t>
  </si>
  <si>
    <t>Midnapore School</t>
  </si>
  <si>
    <t>0348</t>
  </si>
  <si>
    <t>Midsun School</t>
  </si>
  <si>
    <t>0538</t>
  </si>
  <si>
    <t>Monterey Park School</t>
  </si>
  <si>
    <t>9639</t>
  </si>
  <si>
    <t>Mount Royal School</t>
  </si>
  <si>
    <t>9224</t>
  </si>
  <si>
    <t>Mount View School</t>
  </si>
  <si>
    <t>1333</t>
  </si>
  <si>
    <t>Mountain Park School</t>
  </si>
  <si>
    <t>9333</t>
  </si>
  <si>
    <t>Nellie McClung School</t>
  </si>
  <si>
    <t>1989</t>
  </si>
  <si>
    <t>Nelson Mandela High School</t>
  </si>
  <si>
    <t>2072</t>
  </si>
  <si>
    <t>New Brighton School</t>
  </si>
  <si>
    <t>9654</t>
  </si>
  <si>
    <t>Nickle School</t>
  </si>
  <si>
    <t>2123</t>
  </si>
  <si>
    <t>Niitsitapi Learning Centre</t>
  </si>
  <si>
    <t>2475</t>
  </si>
  <si>
    <t>9225</t>
  </si>
  <si>
    <t>North Haven School</t>
  </si>
  <si>
    <t>2282</t>
  </si>
  <si>
    <t>Northern Lights School</t>
  </si>
  <si>
    <t>1674</t>
  </si>
  <si>
    <t>Nose Creek School</t>
  </si>
  <si>
    <t>9271</t>
  </si>
  <si>
    <t>O. S. Geiger School</t>
  </si>
  <si>
    <t>9382</t>
  </si>
  <si>
    <t>Olympic Heights School</t>
  </si>
  <si>
    <t>1452</t>
  </si>
  <si>
    <t>Panorama Hills School</t>
  </si>
  <si>
    <t>9327</t>
  </si>
  <si>
    <t>Patrick Airlie School</t>
  </si>
  <si>
    <t>9356</t>
  </si>
  <si>
    <t>Penbrooke Meadows School</t>
  </si>
  <si>
    <t>2068</t>
  </si>
  <si>
    <t>Peter Lougheed School</t>
  </si>
  <si>
    <t>1054</t>
  </si>
  <si>
    <t>Piitoayis Family School</t>
  </si>
  <si>
    <t>9360</t>
  </si>
  <si>
    <t>Pineridge School</t>
  </si>
  <si>
    <t>2428</t>
  </si>
  <si>
    <t>Prairie Sky School</t>
  </si>
  <si>
    <t>9341</t>
  </si>
  <si>
    <t>Prince of Wales School</t>
  </si>
  <si>
    <t>9599</t>
  </si>
  <si>
    <t>Project Trust</t>
  </si>
  <si>
    <t>9806</t>
  </si>
  <si>
    <t>Queen Elizabeth High School</t>
  </si>
  <si>
    <t>9227</t>
  </si>
  <si>
    <t>Queen Elizabeth School</t>
  </si>
  <si>
    <t>9653</t>
  </si>
  <si>
    <t>R. T. Alderman School</t>
  </si>
  <si>
    <t>1334</t>
  </si>
  <si>
    <t>Radisson Park School</t>
  </si>
  <si>
    <t>9130</t>
  </si>
  <si>
    <t>Ramsay School</t>
  </si>
  <si>
    <t>9374</t>
  </si>
  <si>
    <t>Ranchlands School</t>
  </si>
  <si>
    <t>9100</t>
  </si>
  <si>
    <t>Richmond School</t>
  </si>
  <si>
    <t>9610</t>
  </si>
  <si>
    <t>Rideau Park School</t>
  </si>
  <si>
    <t>9386</t>
  </si>
  <si>
    <t>Riverbend School</t>
  </si>
  <si>
    <t>9609</t>
  </si>
  <si>
    <t>Riverside School</t>
  </si>
  <si>
    <t>1679</t>
  </si>
  <si>
    <t>Robert Thirsk High School</t>
  </si>
  <si>
    <t>9655</t>
  </si>
  <si>
    <t>Robert Warren School</t>
  </si>
  <si>
    <t>9250</t>
  </si>
  <si>
    <t>Roland Michener School</t>
  </si>
  <si>
    <t>2146</t>
  </si>
  <si>
    <t>Ron Southern School</t>
  </si>
  <si>
    <t>9618</t>
  </si>
  <si>
    <t>Rosedale School</t>
  </si>
  <si>
    <t>9231</t>
  </si>
  <si>
    <t>Rosemont School</t>
  </si>
  <si>
    <t>1519</t>
  </si>
  <si>
    <t>Royal Oak School</t>
  </si>
  <si>
    <t>9358</t>
  </si>
  <si>
    <t>Rundle School</t>
  </si>
  <si>
    <t>1520</t>
  </si>
  <si>
    <t>Saddle Ridge School</t>
  </si>
  <si>
    <t>9354</t>
  </si>
  <si>
    <t>Sam Livingston School</t>
  </si>
  <si>
    <t>1451</t>
  </si>
  <si>
    <t>Samuel W. Shaw School</t>
  </si>
  <si>
    <t>0597</t>
  </si>
  <si>
    <t>Scenic Acres School</t>
  </si>
  <si>
    <t>9640</t>
  </si>
  <si>
    <t>Senator Patrick Burns School</t>
  </si>
  <si>
    <t>9632</t>
  </si>
  <si>
    <t>Sherwood School</t>
  </si>
  <si>
    <t>2281</t>
  </si>
  <si>
    <t>Sibylla Kiddle School</t>
  </si>
  <si>
    <t>9256</t>
  </si>
  <si>
    <t>Silver Springs School</t>
  </si>
  <si>
    <t>9646</t>
  </si>
  <si>
    <t>Simon Fraser School</t>
  </si>
  <si>
    <t>9383</t>
  </si>
  <si>
    <t>Simons Valley School</t>
  </si>
  <si>
    <t>9652</t>
  </si>
  <si>
    <t>Sir John A. Macdonald School</t>
  </si>
  <si>
    <t>9649</t>
  </si>
  <si>
    <t>Sir John Franklin School</t>
  </si>
  <si>
    <t>9648</t>
  </si>
  <si>
    <t>Sir Wilfrid Laurier School</t>
  </si>
  <si>
    <t>9857</t>
  </si>
  <si>
    <t>Sir Winston Churchill High School</t>
  </si>
  <si>
    <t>1099</t>
  </si>
  <si>
    <t>Somerset School</t>
  </si>
  <si>
    <t>9233</t>
  </si>
  <si>
    <t>Stanley Jones School</t>
  </si>
  <si>
    <t>1232</t>
  </si>
  <si>
    <t>Start Outreach</t>
  </si>
  <si>
    <t>9368</t>
  </si>
  <si>
    <t>Sunalta School</t>
  </si>
  <si>
    <t>9267</t>
  </si>
  <si>
    <t>Sundance School</t>
  </si>
  <si>
    <t>9234</t>
  </si>
  <si>
    <t>Sunnyside School</t>
  </si>
  <si>
    <t>1450</t>
  </si>
  <si>
    <t>Taradale School</t>
  </si>
  <si>
    <t>1677</t>
  </si>
  <si>
    <t>Ted Harrison School</t>
  </si>
  <si>
    <t>9138</t>
  </si>
  <si>
    <t>Terrace Road School</t>
  </si>
  <si>
    <t>9689</t>
  </si>
  <si>
    <t>Terry Fox School</t>
  </si>
  <si>
    <t>0387</t>
  </si>
  <si>
    <t>The Hamptons School</t>
  </si>
  <si>
    <t>9611</t>
  </si>
  <si>
    <t>Thomas B. Riley School</t>
  </si>
  <si>
    <t>9235</t>
  </si>
  <si>
    <t>Thorncliffe School</t>
  </si>
  <si>
    <t>9690</t>
  </si>
  <si>
    <t>Tom Baines School</t>
  </si>
  <si>
    <t>1335</t>
  </si>
  <si>
    <t>Tuscany School</t>
  </si>
  <si>
    <t>1678</t>
  </si>
  <si>
    <t>Twelve Mile Coulee School</t>
  </si>
  <si>
    <t>9237</t>
  </si>
  <si>
    <t>University School</t>
  </si>
  <si>
    <t>1098</t>
  </si>
  <si>
    <t>Valley Creek School</t>
  </si>
  <si>
    <t>9330</t>
  </si>
  <si>
    <t>Valley View School</t>
  </si>
  <si>
    <t>9238</t>
  </si>
  <si>
    <t>Varsity Acres School</t>
  </si>
  <si>
    <t>9628</t>
  </si>
  <si>
    <t>Vincent Massey School</t>
  </si>
  <si>
    <t>9239</t>
  </si>
  <si>
    <t>Vista Heights School</t>
  </si>
  <si>
    <t>9257</t>
  </si>
  <si>
    <t>W. O. Mitchell School</t>
  </si>
  <si>
    <t>9387</t>
  </si>
  <si>
    <t>W.H.Cushing Workplace School</t>
  </si>
  <si>
    <t>9344</t>
  </si>
  <si>
    <t>West Dalhousie School</t>
  </si>
  <si>
    <t>9357</t>
  </si>
  <si>
    <t>West Dover School</t>
  </si>
  <si>
    <t>2087</t>
  </si>
  <si>
    <t>West Ridge School</t>
  </si>
  <si>
    <t>1521</t>
  </si>
  <si>
    <t>West Springs School</t>
  </si>
  <si>
    <t>9687</t>
  </si>
  <si>
    <t>West View School</t>
  </si>
  <si>
    <t>1260</t>
  </si>
  <si>
    <t>Westbrook Outreach</t>
  </si>
  <si>
    <t>9816</t>
  </si>
  <si>
    <t>Western Canada High School</t>
  </si>
  <si>
    <t>9140</t>
  </si>
  <si>
    <t>Westgate School</t>
  </si>
  <si>
    <t>9141</t>
  </si>
  <si>
    <t>Wildwood School</t>
  </si>
  <si>
    <t>9829</t>
  </si>
  <si>
    <t>William Aberhart High School</t>
  </si>
  <si>
    <t>2067</t>
  </si>
  <si>
    <t>William D. Pratt School</t>
  </si>
  <si>
    <t>9142</t>
  </si>
  <si>
    <t>William Reid School</t>
  </si>
  <si>
    <t>9033</t>
  </si>
  <si>
    <t>William Roper Hull School</t>
  </si>
  <si>
    <t>9331</t>
  </si>
  <si>
    <t>9685</t>
  </si>
  <si>
    <t>Wilma Hansen School</t>
  </si>
  <si>
    <t>9266</t>
  </si>
  <si>
    <t>Woodbine School</t>
  </si>
  <si>
    <t>9371</t>
  </si>
  <si>
    <t>Woodlands School</t>
  </si>
  <si>
    <t>9631</t>
  </si>
  <si>
    <t>Woodman School</t>
  </si>
  <si>
    <t>9035</t>
  </si>
  <si>
    <t>Wood's Homes School</t>
  </si>
  <si>
    <t>3065</t>
  </si>
  <si>
    <t>The Canadian Rockies School Division</t>
  </si>
  <si>
    <t>1755</t>
  </si>
  <si>
    <t>Alpenglow Community School</t>
  </si>
  <si>
    <t>5235</t>
  </si>
  <si>
    <t>Banff Community High School</t>
  </si>
  <si>
    <t>5236</t>
  </si>
  <si>
    <t>Banff Elementary School</t>
  </si>
  <si>
    <t>1322</t>
  </si>
  <si>
    <t>Canadian Rockies Education Outreach</t>
  </si>
  <si>
    <t>5243</t>
  </si>
  <si>
    <t>Canmore Collegiate</t>
  </si>
  <si>
    <t>5242</t>
  </si>
  <si>
    <t>Elizabeth Rummel School</t>
  </si>
  <si>
    <t>5239</t>
  </si>
  <si>
    <t>Exshaw School</t>
  </si>
  <si>
    <t>5238</t>
  </si>
  <si>
    <t>Lawrence Grassi Middle School</t>
  </si>
  <si>
    <t>0053</t>
  </si>
  <si>
    <t>The Chinook's Edge School Division</t>
  </si>
  <si>
    <t>1980</t>
  </si>
  <si>
    <t>Beacon Hill Elementary School</t>
  </si>
  <si>
    <t>4402</t>
  </si>
  <si>
    <t>Bowden (Grandview) School</t>
  </si>
  <si>
    <t>4412</t>
  </si>
  <si>
    <t>C. P. Blakely Elementary School</t>
  </si>
  <si>
    <t>1469</t>
  </si>
  <si>
    <t>Carstairs Elementary School</t>
  </si>
  <si>
    <t>4418</t>
  </si>
  <si>
    <t>Chinook's Edge Summer School</t>
  </si>
  <si>
    <t>5103</t>
  </si>
  <si>
    <t>Cremona School</t>
  </si>
  <si>
    <t>4403</t>
  </si>
  <si>
    <t>Delburne Centralized School</t>
  </si>
  <si>
    <t>4419</t>
  </si>
  <si>
    <t>Didsbury Career High School</t>
  </si>
  <si>
    <t>5105</t>
  </si>
  <si>
    <t>Didsbury High School</t>
  </si>
  <si>
    <t>5117</t>
  </si>
  <si>
    <t>École Deer Meadow School</t>
  </si>
  <si>
    <t>0524</t>
  </si>
  <si>
    <t>École Fox Run School</t>
  </si>
  <si>
    <t>4411</t>
  </si>
  <si>
    <t>École H.J. Cody High School</t>
  </si>
  <si>
    <t>1133</t>
  </si>
  <si>
    <t>École Innisfail Middle School</t>
  </si>
  <si>
    <t>4406</t>
  </si>
  <si>
    <t>École John Wilson Elementary School</t>
  </si>
  <si>
    <t>5116</t>
  </si>
  <si>
    <t>École Olds Elementary School</t>
  </si>
  <si>
    <t>5115</t>
  </si>
  <si>
    <t>École Olds High School</t>
  </si>
  <si>
    <t>4415</t>
  </si>
  <si>
    <t>École Steffie Woima Elementary School</t>
  </si>
  <si>
    <t>4404</t>
  </si>
  <si>
    <t>Elnora School</t>
  </si>
  <si>
    <t>5119</t>
  </si>
  <si>
    <t>HOME Base</t>
  </si>
  <si>
    <t>5191</t>
  </si>
  <si>
    <t>Horizon Alternate Program</t>
  </si>
  <si>
    <t>5101</t>
  </si>
  <si>
    <t>Hugh Sutherland School</t>
  </si>
  <si>
    <t>4421</t>
  </si>
  <si>
    <t>Innisfail Career High School</t>
  </si>
  <si>
    <t>4405</t>
  </si>
  <si>
    <t>Innisfail High School</t>
  </si>
  <si>
    <t>4414</t>
  </si>
  <si>
    <t>Jessie Duncan Elementary School</t>
  </si>
  <si>
    <t>2358</t>
  </si>
  <si>
    <t>May City Hutterite Colony School</t>
  </si>
  <si>
    <t>5121</t>
  </si>
  <si>
    <t>Neudorf Colony School</t>
  </si>
  <si>
    <t>4423</t>
  </si>
  <si>
    <t>Off Campus Learning</t>
  </si>
  <si>
    <t>4425</t>
  </si>
  <si>
    <t>Olds Career High School</t>
  </si>
  <si>
    <t>5193</t>
  </si>
  <si>
    <t>Olds Koinonia Christian School</t>
  </si>
  <si>
    <t>4416</t>
  </si>
  <si>
    <t>Penhold Career High School</t>
  </si>
  <si>
    <t>1771</t>
  </si>
  <si>
    <t>Penhold Crossing Secondary School</t>
  </si>
  <si>
    <t>4407</t>
  </si>
  <si>
    <t>Penhold Elementary School</t>
  </si>
  <si>
    <t>4408</t>
  </si>
  <si>
    <t>Pine Hill Colony School</t>
  </si>
  <si>
    <t>4413</t>
  </si>
  <si>
    <t>Poplar Ridge School</t>
  </si>
  <si>
    <t>0385</t>
  </si>
  <si>
    <t>Rainbow Colony School</t>
  </si>
  <si>
    <t>5118</t>
  </si>
  <si>
    <t>Reed Ranch School</t>
  </si>
  <si>
    <t>5120</t>
  </si>
  <si>
    <t>River Valley School</t>
  </si>
  <si>
    <t>5106</t>
  </si>
  <si>
    <t>Ross Ford Elementary School</t>
  </si>
  <si>
    <t>4410</t>
  </si>
  <si>
    <t>Spruce View School</t>
  </si>
  <si>
    <t>5112</t>
  </si>
  <si>
    <t>Sundre High School</t>
  </si>
  <si>
    <t>4420</t>
  </si>
  <si>
    <t>Sundre Learning Centre</t>
  </si>
  <si>
    <t>4417</t>
  </si>
  <si>
    <t>Sylvan Lake Career High School</t>
  </si>
  <si>
    <t>5107</t>
  </si>
  <si>
    <t>Westglen School</t>
  </si>
  <si>
    <t>4208</t>
  </si>
  <si>
    <t>The Christ the Redeemer Catholic Separate School Division</t>
  </si>
  <si>
    <t>5970</t>
  </si>
  <si>
    <t>Assumption Roman Catholic School</t>
  </si>
  <si>
    <t>1784</t>
  </si>
  <si>
    <t>Christ The King Academy</t>
  </si>
  <si>
    <t>5370</t>
  </si>
  <si>
    <t>1231</t>
  </si>
  <si>
    <t>Holy Cross Collegiate</t>
  </si>
  <si>
    <t>5374</t>
  </si>
  <si>
    <t>Holy Family Academy</t>
  </si>
  <si>
    <t>5373</t>
  </si>
  <si>
    <t>Holy Spirit Academy</t>
  </si>
  <si>
    <t>5371</t>
  </si>
  <si>
    <t>Holy Trinity Academy</t>
  </si>
  <si>
    <t>0519</t>
  </si>
  <si>
    <t>Notre Dame Collegiate</t>
  </si>
  <si>
    <t>1482</t>
  </si>
  <si>
    <t>Okotoks Home Schooling</t>
  </si>
  <si>
    <t>0594</t>
  </si>
  <si>
    <t>Our Lady of the Snows Catholic Academy</t>
  </si>
  <si>
    <t>0593</t>
  </si>
  <si>
    <t>Sacred Heart Academy</t>
  </si>
  <si>
    <t>5770</t>
  </si>
  <si>
    <t>St. Anthony's School</t>
  </si>
  <si>
    <t>2063</t>
  </si>
  <si>
    <t>St. Francis of Assisi Academy</t>
  </si>
  <si>
    <t>1281</t>
  </si>
  <si>
    <t>St. John Paul II Collegiate</t>
  </si>
  <si>
    <t>0439</t>
  </si>
  <si>
    <t>St. Joseph's Collegiate</t>
  </si>
  <si>
    <t>1431</t>
  </si>
  <si>
    <t>St. Luke's Outreach Centre Brooks</t>
  </si>
  <si>
    <t>1471</t>
  </si>
  <si>
    <t>St. Luke's Outreach Centre High River</t>
  </si>
  <si>
    <t>1375</t>
  </si>
  <si>
    <t>St. Luke's Outreach Centre Okotoks</t>
  </si>
  <si>
    <t>0391</t>
  </si>
  <si>
    <t>St. Mary's School</t>
  </si>
  <si>
    <t>5369</t>
  </si>
  <si>
    <t>St. Paul's Academy</t>
  </si>
  <si>
    <t>5372</t>
  </si>
  <si>
    <t>The Centre for Learning@HOME</t>
  </si>
  <si>
    <t>1631</t>
  </si>
  <si>
    <t>The Centre for Learning@Home-Edmonton</t>
  </si>
  <si>
    <t>0052</t>
  </si>
  <si>
    <t>The Clearview School Division</t>
  </si>
  <si>
    <t>4601</t>
  </si>
  <si>
    <t>Big Valley School</t>
  </si>
  <si>
    <t>4602</t>
  </si>
  <si>
    <t>Botha School</t>
  </si>
  <si>
    <t>4821</t>
  </si>
  <si>
    <t>Brownfield Community School</t>
  </si>
  <si>
    <t>4612</t>
  </si>
  <si>
    <t>Byemoor Colony School</t>
  </si>
  <si>
    <t>4603</t>
  </si>
  <si>
    <t>Byemoor School</t>
  </si>
  <si>
    <t>1529</t>
  </si>
  <si>
    <t>Castor Outreach School</t>
  </si>
  <si>
    <t>4824</t>
  </si>
  <si>
    <t>Coronation School</t>
  </si>
  <si>
    <t>4611</t>
  </si>
  <si>
    <t>Donalda Colony School</t>
  </si>
  <si>
    <t>4604</t>
  </si>
  <si>
    <t>Donalda School</t>
  </si>
  <si>
    <t>4610</t>
  </si>
  <si>
    <t>Erskine Colony School</t>
  </si>
  <si>
    <t>4606</t>
  </si>
  <si>
    <t>Erskine School</t>
  </si>
  <si>
    <t>4613</t>
  </si>
  <si>
    <t>Gadsby Colony School</t>
  </si>
  <si>
    <t>4822</t>
  </si>
  <si>
    <t>Gus Wetter School</t>
  </si>
  <si>
    <t>4826</t>
  </si>
  <si>
    <t>Lanes Lake Colony School</t>
  </si>
  <si>
    <t>0392</t>
  </si>
  <si>
    <t>Lone Pine Colony School</t>
  </si>
  <si>
    <t>2033</t>
  </si>
  <si>
    <t>Silver Spring Colony School</t>
  </si>
  <si>
    <t>4609</t>
  </si>
  <si>
    <t>Star Ridge Colony School</t>
  </si>
  <si>
    <t>4647</t>
  </si>
  <si>
    <t>Stettler Elementary School</t>
  </si>
  <si>
    <t>4616</t>
  </si>
  <si>
    <t>Stettler Outreach School</t>
  </si>
  <si>
    <t>4827</t>
  </si>
  <si>
    <t>Suncrest Colony School</t>
  </si>
  <si>
    <t>2153</t>
  </si>
  <si>
    <t>Whitesand Colony School</t>
  </si>
  <si>
    <t>4644</t>
  </si>
  <si>
    <t>William E Hay Composite High School</t>
  </si>
  <si>
    <t>4330</t>
  </si>
  <si>
    <t>The East Central Alberta Catholic Separate School Division</t>
  </si>
  <si>
    <t>0433</t>
  </si>
  <si>
    <t>Blessed Sacrament Outreach School</t>
  </si>
  <si>
    <t>3970</t>
  </si>
  <si>
    <t>Blessed Sacrament School</t>
  </si>
  <si>
    <t>1165</t>
  </si>
  <si>
    <t>Christ-King Catholic School</t>
  </si>
  <si>
    <t>3971</t>
  </si>
  <si>
    <t>Hope Home Schooling</t>
  </si>
  <si>
    <t>1220</t>
  </si>
  <si>
    <t>Lethbridge Writing Centre</t>
  </si>
  <si>
    <t>0485</t>
  </si>
  <si>
    <t>Newman Theological College</t>
  </si>
  <si>
    <t>3972</t>
  </si>
  <si>
    <t>School of Hope</t>
  </si>
  <si>
    <t>1937</t>
  </si>
  <si>
    <t>St. David's United Church</t>
  </si>
  <si>
    <t>3870</t>
  </si>
  <si>
    <t>St. Jerome's School</t>
  </si>
  <si>
    <t>4970</t>
  </si>
  <si>
    <t>4870</t>
  </si>
  <si>
    <t>Theresetta Roman Catholic Separate School</t>
  </si>
  <si>
    <t>8060</t>
  </si>
  <si>
    <t>The East Central Francophone Education Region</t>
  </si>
  <si>
    <t>1363</t>
  </si>
  <si>
    <t>2718</t>
  </si>
  <si>
    <t>2876</t>
  </si>
  <si>
    <t>2892</t>
  </si>
  <si>
    <t>1904</t>
  </si>
  <si>
    <t>École Sainte-Catherine</t>
  </si>
  <si>
    <t>2985</t>
  </si>
  <si>
    <t>0110</t>
  </si>
  <si>
    <t>The Edmonton Catholic Separate School Division</t>
  </si>
  <si>
    <t>1576</t>
  </si>
  <si>
    <t>Alberta Health Services Day Program</t>
  </si>
  <si>
    <t>8412</t>
  </si>
  <si>
    <t>Alternative Education</t>
  </si>
  <si>
    <t>8049</t>
  </si>
  <si>
    <t>Anne Fitzgerald Catholic Elementary School</t>
  </si>
  <si>
    <t>8001</t>
  </si>
  <si>
    <t>Annunciation Catholic Elementary School</t>
  </si>
  <si>
    <t>1026</t>
  </si>
  <si>
    <t>Archbishop Joseph MacNeil Catholic Elementary/Junior High School</t>
  </si>
  <si>
    <t>8403</t>
  </si>
  <si>
    <t>Archbishop MacDonald Catholic High School</t>
  </si>
  <si>
    <t>8404</t>
  </si>
  <si>
    <t>Archbishop O’Leary Catholic High School</t>
  </si>
  <si>
    <t>8402</t>
  </si>
  <si>
    <t>Austin O’Brien Catholic High School</t>
  </si>
  <si>
    <t>8214</t>
  </si>
  <si>
    <t>Ben Calf Robe - St. Clare Catholic Elementary/Junior High School</t>
  </si>
  <si>
    <t>1967</t>
  </si>
  <si>
    <t>Bishop David Motiuk Catholic Elementary/Junior High School</t>
  </si>
  <si>
    <t>8059</t>
  </si>
  <si>
    <t>Bishop Greschuk Catholic Elementary School</t>
  </si>
  <si>
    <t>8048</t>
  </si>
  <si>
    <t>Bishop Savaryn Catholic Elementary School</t>
  </si>
  <si>
    <t>2385</t>
  </si>
  <si>
    <t>Cardinal Collins Catholic Academic Centre - City Centre</t>
  </si>
  <si>
    <t>2382</t>
  </si>
  <si>
    <t>Cardinal Collins Catholic Academic Centre - Clareview</t>
  </si>
  <si>
    <t>2383</t>
  </si>
  <si>
    <t>Cardinal Collins Catholic Academic Centre - Mill Woods</t>
  </si>
  <si>
    <t>2384</t>
  </si>
  <si>
    <t>Cardinal Collins Catholic Academic Centre - Westmount</t>
  </si>
  <si>
    <t>8287</t>
  </si>
  <si>
    <t>Cardinal Leger Catholic Junior High School</t>
  </si>
  <si>
    <t>1972</t>
  </si>
  <si>
    <t>Christ the King Catholic Elementary/Junior High School</t>
  </si>
  <si>
    <t>1973</t>
  </si>
  <si>
    <t>Corpus Christi Catholic Elementary/Junior High School</t>
  </si>
  <si>
    <t>2266</t>
  </si>
  <si>
    <t>Divine Mercy Catholic Elementary School</t>
  </si>
  <si>
    <t>8003</t>
  </si>
  <si>
    <t>Father Leo Green Catholic Elementary School</t>
  </si>
  <si>
    <t>2436</t>
  </si>
  <si>
    <t>Father Michael McCaffery Catholic High School</t>
  </si>
  <si>
    <t>1968</t>
  </si>
  <si>
    <t>Father Michael Mireau Catholic Elementary/Junior High School</t>
  </si>
  <si>
    <t>1025</t>
  </si>
  <si>
    <t>Father Michael Troy Catholic Junior High School</t>
  </si>
  <si>
    <t>8236</t>
  </si>
  <si>
    <t>Frere Antoine Catholic Elementary School</t>
  </si>
  <si>
    <t>8061</t>
  </si>
  <si>
    <t>Good Shepherd Catholic Elementary School</t>
  </si>
  <si>
    <t>8004</t>
  </si>
  <si>
    <t>H. E. Beriault Catholic Junior High School</t>
  </si>
  <si>
    <t>8202</t>
  </si>
  <si>
    <t>Holy Child Catholic Elementary School</t>
  </si>
  <si>
    <t>8203</t>
  </si>
  <si>
    <t>Holy Cross Catholic Elementary/Junior High School</t>
  </si>
  <si>
    <t>8234</t>
  </si>
  <si>
    <t>Holy Family Catholic Elementary/Junior High School</t>
  </si>
  <si>
    <t>8411</t>
  </si>
  <si>
    <t>Holy Trinity Catholic High School</t>
  </si>
  <si>
    <t>8410</t>
  </si>
  <si>
    <t>J. H. Picard Catholic Elementary/Junior/Senior High School</t>
  </si>
  <si>
    <t>8200</t>
  </si>
  <si>
    <t>J. J. Bowlen Catholic Junior High School</t>
  </si>
  <si>
    <t>2435</t>
  </si>
  <si>
    <t>Joan Carr Catholic Elementary/Junior High School</t>
  </si>
  <si>
    <t>8053</t>
  </si>
  <si>
    <t>8043</t>
  </si>
  <si>
    <t>Katherine Therrien</t>
  </si>
  <si>
    <t>1361</t>
  </si>
  <si>
    <t>Kisiko Awasis Kiskinahamawin at Mountain Cree Camp</t>
  </si>
  <si>
    <t>8409</t>
  </si>
  <si>
    <t>Louis St. Laurent</t>
  </si>
  <si>
    <t>Mary Hanley</t>
  </si>
  <si>
    <t>1429</t>
  </si>
  <si>
    <t>Monsignor Fee Otterson Catholic Elementary/Junior High School</t>
  </si>
  <si>
    <t>1428</t>
  </si>
  <si>
    <t>Monsignor William Irwin Catholic Elementary School</t>
  </si>
  <si>
    <t>1430</t>
  </si>
  <si>
    <t>Mother Margaret Mary Catholic High School</t>
  </si>
  <si>
    <t>8205</t>
  </si>
  <si>
    <t>Our Lady of Mount Carmel</t>
  </si>
  <si>
    <t>8010</t>
  </si>
  <si>
    <t>Our Lady of Peace</t>
  </si>
  <si>
    <t>8058</t>
  </si>
  <si>
    <t>Our Lady of The Prairies</t>
  </si>
  <si>
    <t>8011</t>
  </si>
  <si>
    <t>Our Lady of Victories</t>
  </si>
  <si>
    <t>8207</t>
  </si>
  <si>
    <t>Sir John Thompson</t>
  </si>
  <si>
    <t>1427</t>
  </si>
  <si>
    <t>Sister Annata Brockman Catholic Elementary/Junior High School</t>
  </si>
  <si>
    <t>8208</t>
  </si>
  <si>
    <t>St. Alphonsus</t>
  </si>
  <si>
    <t>8013</t>
  </si>
  <si>
    <t>St. Angela</t>
  </si>
  <si>
    <t>8042</t>
  </si>
  <si>
    <t>St. Anne</t>
  </si>
  <si>
    <t>8038</t>
  </si>
  <si>
    <t>St. Augustine</t>
  </si>
  <si>
    <t>8232</t>
  </si>
  <si>
    <t>St. Benedict</t>
  </si>
  <si>
    <t>8016</t>
  </si>
  <si>
    <t>St. Bernadette</t>
  </si>
  <si>
    <t>8054</t>
  </si>
  <si>
    <t>St. Bonaventure</t>
  </si>
  <si>
    <t>8018</t>
  </si>
  <si>
    <t>St. Boniface</t>
  </si>
  <si>
    <t>1970</t>
  </si>
  <si>
    <t>St. Brendan School</t>
  </si>
  <si>
    <t>8212</t>
  </si>
  <si>
    <t>St. Catherine</t>
  </si>
  <si>
    <t>8213</t>
  </si>
  <si>
    <t>St. Cecilia</t>
  </si>
  <si>
    <t>8057</t>
  </si>
  <si>
    <t>St. Charles</t>
  </si>
  <si>
    <t>8231</t>
  </si>
  <si>
    <t>St. Clement</t>
  </si>
  <si>
    <t>8020</t>
  </si>
  <si>
    <t>St. Dominic</t>
  </si>
  <si>
    <t>8215</t>
  </si>
  <si>
    <t>St. Edmund</t>
  </si>
  <si>
    <t>8041</t>
  </si>
  <si>
    <t>St. Elizabeth</t>
  </si>
  <si>
    <t>8230</t>
  </si>
  <si>
    <t>8216</t>
  </si>
  <si>
    <t>St. Francis of Assisi</t>
  </si>
  <si>
    <t>8405</t>
  </si>
  <si>
    <t>St. Francis Xavier</t>
  </si>
  <si>
    <t>8217</t>
  </si>
  <si>
    <t>St. Gabriel</t>
  </si>
  <si>
    <t>8022</t>
  </si>
  <si>
    <t>St. Gerard</t>
  </si>
  <si>
    <t>8044</t>
  </si>
  <si>
    <t>St. Hilda</t>
  </si>
  <si>
    <t>1024</t>
  </si>
  <si>
    <t>St. John Bosco</t>
  </si>
  <si>
    <t>1969</t>
  </si>
  <si>
    <t>8407</t>
  </si>
  <si>
    <t>St. Joseph</t>
  </si>
  <si>
    <t>8040</t>
  </si>
  <si>
    <t>St. Justin</t>
  </si>
  <si>
    <t>8238</t>
  </si>
  <si>
    <t>St. Kateri Catholic School</t>
  </si>
  <si>
    <t>8220</t>
  </si>
  <si>
    <t>St. Leo</t>
  </si>
  <si>
    <t>8055</t>
  </si>
  <si>
    <t>St. Lucy</t>
  </si>
  <si>
    <t>8047</t>
  </si>
  <si>
    <t>St. Maria Goretti</t>
  </si>
  <si>
    <t>8221</t>
  </si>
  <si>
    <t>St. Mark</t>
  </si>
  <si>
    <t>8050</t>
  </si>
  <si>
    <t>St. Martha</t>
  </si>
  <si>
    <t>8028</t>
  </si>
  <si>
    <t>St. Martin</t>
  </si>
  <si>
    <t>8237</t>
  </si>
  <si>
    <t>St. Mary</t>
  </si>
  <si>
    <t>8029</t>
  </si>
  <si>
    <t>St. Matthew</t>
  </si>
  <si>
    <t>8039</t>
  </si>
  <si>
    <t>8223</t>
  </si>
  <si>
    <t>St. Nicholas</t>
  </si>
  <si>
    <t>1028</t>
  </si>
  <si>
    <t>St. Oscar Romero Catholic High School</t>
  </si>
  <si>
    <t>8225</t>
  </si>
  <si>
    <t>St. Paul</t>
  </si>
  <si>
    <t>8037</t>
  </si>
  <si>
    <t>St. Philip</t>
  </si>
  <si>
    <t>8226</t>
  </si>
  <si>
    <t>St. Pius X</t>
  </si>
  <si>
    <t>8056</t>
  </si>
  <si>
    <t>St. Richard</t>
  </si>
  <si>
    <t>8227</t>
  </si>
  <si>
    <t>St. Rose Catholic Junior High School</t>
  </si>
  <si>
    <t>8032</t>
  </si>
  <si>
    <t>St. Stanislaus Catholic Elementary School</t>
  </si>
  <si>
    <t>8051</t>
  </si>
  <si>
    <t>St. Teresa Catholic Elementary School</t>
  </si>
  <si>
    <t>1027</t>
  </si>
  <si>
    <t>St. Teresa of Calcutta Catholic Elementary School</t>
  </si>
  <si>
    <t>1971</t>
  </si>
  <si>
    <t>St. Thomas Aquinas Catholic Elementary/Junior High School</t>
  </si>
  <si>
    <t>8228</t>
  </si>
  <si>
    <t>St. Thomas More Catholic Junior High School</t>
  </si>
  <si>
    <t>8045</t>
  </si>
  <si>
    <t>St. Timothy Catholic Elementary School</t>
  </si>
  <si>
    <t>8229</t>
  </si>
  <si>
    <t>St. Vincent Catholic Elementary School</t>
  </si>
  <si>
    <t>8034</t>
  </si>
  <si>
    <t>St. Vladimir Catholic Elementary School</t>
  </si>
  <si>
    <t>3020</t>
  </si>
  <si>
    <t>The Edmonton School Division</t>
  </si>
  <si>
    <t>1458</t>
  </si>
  <si>
    <t>A. Blair McPherson School</t>
  </si>
  <si>
    <t>7100</t>
  </si>
  <si>
    <t>Abbott School</t>
  </si>
  <si>
    <t>7730</t>
  </si>
  <si>
    <t>Alberta School for the Deaf</t>
  </si>
  <si>
    <t>7234</t>
  </si>
  <si>
    <t>Aldergrove School</t>
  </si>
  <si>
    <t>2269</t>
  </si>
  <si>
    <t>Aleda Patterson School</t>
  </si>
  <si>
    <t>2268</t>
  </si>
  <si>
    <t>Alex Janvier School</t>
  </si>
  <si>
    <t>7500</t>
  </si>
  <si>
    <t>Allendale School</t>
  </si>
  <si>
    <t>0484</t>
  </si>
  <si>
    <t>Amiskwaciy Academy</t>
  </si>
  <si>
    <t>0349</t>
  </si>
  <si>
    <t>Argyll Home School Centre</t>
  </si>
  <si>
    <t>7707</t>
  </si>
  <si>
    <t>Aspen Program</t>
  </si>
  <si>
    <t>7104</t>
  </si>
  <si>
    <t>Athlone School</t>
  </si>
  <si>
    <t>7550</t>
  </si>
  <si>
    <t>Avalon Junior School</t>
  </si>
  <si>
    <t>7501</t>
  </si>
  <si>
    <t>Avonmore School</t>
  </si>
  <si>
    <t>7502</t>
  </si>
  <si>
    <t>Balwin School</t>
  </si>
  <si>
    <t>7253</t>
  </si>
  <si>
    <t>Bannerman School</t>
  </si>
  <si>
    <t>7247</t>
  </si>
  <si>
    <t>Baturyn School</t>
  </si>
  <si>
    <t>7106</t>
  </si>
  <si>
    <t>Beacon Heights School</t>
  </si>
  <si>
    <t>7107</t>
  </si>
  <si>
    <t>Belgravia School</t>
  </si>
  <si>
    <t>7236</t>
  </si>
  <si>
    <t>Belmead School</t>
  </si>
  <si>
    <t>7228</t>
  </si>
  <si>
    <t>Belmont School</t>
  </si>
  <si>
    <t>7109</t>
  </si>
  <si>
    <t>Belvedere School</t>
  </si>
  <si>
    <t>1577</t>
  </si>
  <si>
    <t>Bessie Nichols School</t>
  </si>
  <si>
    <t>7276</t>
  </si>
  <si>
    <t>Bisset School</t>
  </si>
  <si>
    <t>7704</t>
  </si>
  <si>
    <t>Braemar School</t>
  </si>
  <si>
    <t>7226</t>
  </si>
  <si>
    <t>Brander Gardens School</t>
  </si>
  <si>
    <t>7504</t>
  </si>
  <si>
    <t>Brightview School</t>
  </si>
  <si>
    <t>7551</t>
  </si>
  <si>
    <t>Britannia School</t>
  </si>
  <si>
    <t>7146</t>
  </si>
  <si>
    <t>Brookside School</t>
  </si>
  <si>
    <t>7225</t>
  </si>
  <si>
    <t>Caernarvon School</t>
  </si>
  <si>
    <t>7113</t>
  </si>
  <si>
    <t>Calder School</t>
  </si>
  <si>
    <t>1278</t>
  </si>
  <si>
    <t>Calgary Writing Centre (Argyll Home School)</t>
  </si>
  <si>
    <t>7237</t>
  </si>
  <si>
    <t>Callingwood Elementary School</t>
  </si>
  <si>
    <t>7260</t>
  </si>
  <si>
    <t>Centennial School</t>
  </si>
  <si>
    <t>0017</t>
  </si>
  <si>
    <t>Centre High</t>
  </si>
  <si>
    <t>7193</t>
  </si>
  <si>
    <t>Clara Tyner School</t>
  </si>
  <si>
    <t>1924</t>
  </si>
  <si>
    <t>Constable Daniel Woodall School</t>
  </si>
  <si>
    <t>7115</t>
  </si>
  <si>
    <t>7263</t>
  </si>
  <si>
    <t>Crawford Plains School</t>
  </si>
  <si>
    <t>7503</t>
  </si>
  <si>
    <t>Crestwood School</t>
  </si>
  <si>
    <t>7522</t>
  </si>
  <si>
    <t>D S MacKenzie School</t>
  </si>
  <si>
    <t>7264</t>
  </si>
  <si>
    <t>Daly Grove School</t>
  </si>
  <si>
    <t>1930</t>
  </si>
  <si>
    <t>David Thomas King School</t>
  </si>
  <si>
    <t>7118</t>
  </si>
  <si>
    <t>Delton School</t>
  </si>
  <si>
    <t>7194</t>
  </si>
  <si>
    <t>Delwood School</t>
  </si>
  <si>
    <t>7559</t>
  </si>
  <si>
    <t>Dickinsfield School</t>
  </si>
  <si>
    <t>1950</t>
  </si>
  <si>
    <t>Donald R. Getty School</t>
  </si>
  <si>
    <t>7505</t>
  </si>
  <si>
    <t>Donnan School</t>
  </si>
  <si>
    <t>7121</t>
  </si>
  <si>
    <t>Dovercourt School</t>
  </si>
  <si>
    <t>2249</t>
  </si>
  <si>
    <t>Dr. Anne Anderson School</t>
  </si>
  <si>
    <t>1456</t>
  </si>
  <si>
    <t>Dr. Donald Massey School</t>
  </si>
  <si>
    <t>1926</t>
  </si>
  <si>
    <t>Dr. Lila Fahlman School</t>
  </si>
  <si>
    <t>1934</t>
  </si>
  <si>
    <t>Dr. Margaret-Ann Armour School</t>
  </si>
  <si>
    <t>7218</t>
  </si>
  <si>
    <t>Duggan School</t>
  </si>
  <si>
    <t>7246</t>
  </si>
  <si>
    <t>Dunluce School</t>
  </si>
  <si>
    <t>7278</t>
  </si>
  <si>
    <t>Earl Buxton School</t>
  </si>
  <si>
    <t>7051</t>
  </si>
  <si>
    <t>Eastglen School</t>
  </si>
  <si>
    <t>7561</t>
  </si>
  <si>
    <t>Edith Rogers School</t>
  </si>
  <si>
    <t>7905</t>
  </si>
  <si>
    <t>Edmonton Christian High School</t>
  </si>
  <si>
    <t>1282</t>
  </si>
  <si>
    <t>Edmonton Christian Northeast School</t>
  </si>
  <si>
    <t>1283</t>
  </si>
  <si>
    <t>Edmonton Christian West School</t>
  </si>
  <si>
    <t>7233</t>
  </si>
  <si>
    <t>Ekota School</t>
  </si>
  <si>
    <t>1459</t>
  </si>
  <si>
    <t>Elizabeth Finch School</t>
  </si>
  <si>
    <t>7565</t>
  </si>
  <si>
    <t>Ellerslie Campus</t>
  </si>
  <si>
    <t>7204</t>
  </si>
  <si>
    <t>Elmwood School</t>
  </si>
  <si>
    <t>1460</t>
  </si>
  <si>
    <t>Esther Starkman School</t>
  </si>
  <si>
    <t>7215</t>
  </si>
  <si>
    <t>Evansdale School</t>
  </si>
  <si>
    <t>1457</t>
  </si>
  <si>
    <t>Florence Hallock School</t>
  </si>
  <si>
    <t>7123</t>
  </si>
  <si>
    <t>Forest Heights School</t>
  </si>
  <si>
    <t>7273</t>
  </si>
  <si>
    <t>Fraser School</t>
  </si>
  <si>
    <t>7509</t>
  </si>
  <si>
    <t>Garneau School</t>
  </si>
  <si>
    <t>2275</t>
  </si>
  <si>
    <t>Garth Worthington School</t>
  </si>
  <si>
    <t>7279</t>
  </si>
  <si>
    <t>George H Luck School</t>
  </si>
  <si>
    <t>1004</t>
  </si>
  <si>
    <t>George P. Nicholson School</t>
  </si>
  <si>
    <t>7184</t>
  </si>
  <si>
    <t>Glengarry School</t>
  </si>
  <si>
    <t>7126</t>
  </si>
  <si>
    <t>Glenora School</t>
  </si>
  <si>
    <t>7127</t>
  </si>
  <si>
    <t>Gold Bar School</t>
  </si>
  <si>
    <t>7220</t>
  </si>
  <si>
    <t>Grace Martin School</t>
  </si>
  <si>
    <t>7128</t>
  </si>
  <si>
    <t>Grandview Heights School</t>
  </si>
  <si>
    <t>7178</t>
  </si>
  <si>
    <t>Greenfield School</t>
  </si>
  <si>
    <t>7250</t>
  </si>
  <si>
    <t>Greenview School</t>
  </si>
  <si>
    <t>7129</t>
  </si>
  <si>
    <t>Grovenor School</t>
  </si>
  <si>
    <t>7512</t>
  </si>
  <si>
    <t>Hardisty School</t>
  </si>
  <si>
    <t>7059</t>
  </si>
  <si>
    <t>Harry Ainlay School</t>
  </si>
  <si>
    <t>7132</t>
  </si>
  <si>
    <t>Hazeldean School</t>
  </si>
  <si>
    <t>7513</t>
  </si>
  <si>
    <t>Highlands School</t>
  </si>
  <si>
    <t>7552</t>
  </si>
  <si>
    <t>Hillcrest School</t>
  </si>
  <si>
    <t>7255</t>
  </si>
  <si>
    <t>Hillview School</t>
  </si>
  <si>
    <t>1931</t>
  </si>
  <si>
    <t>Hilwie Hamdon School</t>
  </si>
  <si>
    <t>7514</t>
  </si>
  <si>
    <t>Holyrood School</t>
  </si>
  <si>
    <t>7240</t>
  </si>
  <si>
    <t>Homesteader School</t>
  </si>
  <si>
    <t>7567</t>
  </si>
  <si>
    <t>Horse Hill School</t>
  </si>
  <si>
    <t>7701</t>
  </si>
  <si>
    <t>Hospital School Campuses</t>
  </si>
  <si>
    <t>7136</t>
  </si>
  <si>
    <t>Inglewood School</t>
  </si>
  <si>
    <t>7706</t>
  </si>
  <si>
    <t>Institutional Services Schools</t>
  </si>
  <si>
    <t>1951</t>
  </si>
  <si>
    <t>Ivor Dent School</t>
  </si>
  <si>
    <t>7188</t>
  </si>
  <si>
    <t>J A Fife School</t>
  </si>
  <si>
    <t>7075</t>
  </si>
  <si>
    <t>J Percy Page School</t>
  </si>
  <si>
    <t>1003</t>
  </si>
  <si>
    <t>Jackson Heights Elementary</t>
  </si>
  <si>
    <t>7207</t>
  </si>
  <si>
    <t>James Gibbons School</t>
  </si>
  <si>
    <t>1927</t>
  </si>
  <si>
    <t>Jan Reimer School</t>
  </si>
  <si>
    <t>7071</t>
  </si>
  <si>
    <t>Jasper Place School</t>
  </si>
  <si>
    <t>2433</t>
  </si>
  <si>
    <t>Joey Moss School</t>
  </si>
  <si>
    <t>7521</t>
  </si>
  <si>
    <t>John A. McDougall School</t>
  </si>
  <si>
    <t>7214</t>
  </si>
  <si>
    <t>John Barnett School</t>
  </si>
  <si>
    <t>7573</t>
  </si>
  <si>
    <t>John D Bracco School</t>
  </si>
  <si>
    <t>1455</t>
  </si>
  <si>
    <t>Johnny Bright School</t>
  </si>
  <si>
    <t>7275</t>
  </si>
  <si>
    <t>Julia Kiniski School</t>
  </si>
  <si>
    <t>7239</t>
  </si>
  <si>
    <t>Kameyosek School</t>
  </si>
  <si>
    <t>7574</t>
  </si>
  <si>
    <t>Kate Chegwin School</t>
  </si>
  <si>
    <t>7254</t>
  </si>
  <si>
    <t>Keheewin School</t>
  </si>
  <si>
    <t>7546</t>
  </si>
  <si>
    <t>Kenilworth School</t>
  </si>
  <si>
    <t>7137</t>
  </si>
  <si>
    <t>Kensington School</t>
  </si>
  <si>
    <t>7138</t>
  </si>
  <si>
    <t>Kildare School</t>
  </si>
  <si>
    <t>7516</t>
  </si>
  <si>
    <t>1925</t>
  </si>
  <si>
    <t>Kim Hung School</t>
  </si>
  <si>
    <t>7517</t>
  </si>
  <si>
    <t>King Edward School</t>
  </si>
  <si>
    <t>7262</t>
  </si>
  <si>
    <t>Kirkness School</t>
  </si>
  <si>
    <t>7563</t>
  </si>
  <si>
    <t>kisêwâtisiwin School</t>
  </si>
  <si>
    <t>7702</t>
  </si>
  <si>
    <t>L Y Cairns School</t>
  </si>
  <si>
    <t>7277</t>
  </si>
  <si>
    <t>Lago Lindo School</t>
  </si>
  <si>
    <t>7180</t>
  </si>
  <si>
    <t>Lansdowne School</t>
  </si>
  <si>
    <t>7267</t>
  </si>
  <si>
    <t>LaPerle School</t>
  </si>
  <si>
    <t>7141</t>
  </si>
  <si>
    <t>Lauderdale School</t>
  </si>
  <si>
    <t>7518</t>
  </si>
  <si>
    <t>Laurier Heights School</t>
  </si>
  <si>
    <t>7724</t>
  </si>
  <si>
    <t>Learning Store at Blue Quill</t>
  </si>
  <si>
    <t>7723</t>
  </si>
  <si>
    <t>Learning Store at Circle Square</t>
  </si>
  <si>
    <t>7722</t>
  </si>
  <si>
    <t>Learning Store at Londonderry</t>
  </si>
  <si>
    <t>0386</t>
  </si>
  <si>
    <t>Learning Store on Whyte</t>
  </si>
  <si>
    <t>1022</t>
  </si>
  <si>
    <t>Learning Store West Edmonton</t>
  </si>
  <si>
    <t>7224</t>
  </si>
  <si>
    <t>Lee Ridge School</t>
  </si>
  <si>
    <t>7185</t>
  </si>
  <si>
    <t>Lendrum School</t>
  </si>
  <si>
    <t>1344</t>
  </si>
  <si>
    <t>Lillian Osborne High School</t>
  </si>
  <si>
    <t>7534</t>
  </si>
  <si>
    <t>Londonderry School</t>
  </si>
  <si>
    <t>7242</t>
  </si>
  <si>
    <t>Lorelei School</t>
  </si>
  <si>
    <t>7269</t>
  </si>
  <si>
    <t>Lymburn School</t>
  </si>
  <si>
    <t>7208</t>
  </si>
  <si>
    <t>Lynnwood School</t>
  </si>
  <si>
    <t>7063</t>
  </si>
  <si>
    <t>M. E. LaZerte School</t>
  </si>
  <si>
    <t>7575</t>
  </si>
  <si>
    <t>Major General Griesbach School</t>
  </si>
  <si>
    <t>7223</t>
  </si>
  <si>
    <t>Malcolm Tweddle School</t>
  </si>
  <si>
    <t>7186</t>
  </si>
  <si>
    <t>Malmo School</t>
  </si>
  <si>
    <t>7572</t>
  </si>
  <si>
    <t>Mary Butterworth School</t>
  </si>
  <si>
    <t>7209</t>
  </si>
  <si>
    <t>Mayfield School</t>
  </si>
  <si>
    <t>7143</t>
  </si>
  <si>
    <t>McArthur School</t>
  </si>
  <si>
    <t>7195</t>
  </si>
  <si>
    <t>McKee School</t>
  </si>
  <si>
    <t>7523</t>
  </si>
  <si>
    <t>McKernan School</t>
  </si>
  <si>
    <t>7200</t>
  </si>
  <si>
    <t>McLeod School</t>
  </si>
  <si>
    <t>7058</t>
  </si>
  <si>
    <t>McNally School</t>
  </si>
  <si>
    <t>7931</t>
  </si>
  <si>
    <t>Meadowlark Christian School</t>
  </si>
  <si>
    <t>7210</t>
  </si>
  <si>
    <t>Meadowlark School</t>
  </si>
  <si>
    <t>7149</t>
  </si>
  <si>
    <t>Mee-Yah-Noh School</t>
  </si>
  <si>
    <t>7259</t>
  </si>
  <si>
    <t>Menisa School</t>
  </si>
  <si>
    <t>7090</t>
  </si>
  <si>
    <t>Metro Continuing Education</t>
  </si>
  <si>
    <t>7257</t>
  </si>
  <si>
    <t>Meyokumin School</t>
  </si>
  <si>
    <t>7249</t>
  </si>
  <si>
    <t>Meyonohk School</t>
  </si>
  <si>
    <t>7281</t>
  </si>
  <si>
    <t>Michael A Kostek Elementary School</t>
  </si>
  <si>
    <t>1933</t>
  </si>
  <si>
    <t>Michael Phair School</t>
  </si>
  <si>
    <t>1578</t>
  </si>
  <si>
    <t>Michael Strembitsky School</t>
  </si>
  <si>
    <t>7150</t>
  </si>
  <si>
    <t>Mill Creek School</t>
  </si>
  <si>
    <t>7909</t>
  </si>
  <si>
    <t>Millwoods Christian School</t>
  </si>
  <si>
    <t>7274</t>
  </si>
  <si>
    <t>Minchau School</t>
  </si>
  <si>
    <t>7524</t>
  </si>
  <si>
    <t>Mount Pleasant School</t>
  </si>
  <si>
    <t>1936</t>
  </si>
  <si>
    <t>Nellie Carlson School</t>
  </si>
  <si>
    <t>7191</t>
  </si>
  <si>
    <t>Northmount School</t>
  </si>
  <si>
    <t>7156</t>
  </si>
  <si>
    <t>Norwood School</t>
  </si>
  <si>
    <t>7066</t>
  </si>
  <si>
    <t>Old Scona School</t>
  </si>
  <si>
    <t>7527</t>
  </si>
  <si>
    <t>7248</t>
  </si>
  <si>
    <t>Ormsby School</t>
  </si>
  <si>
    <t>7528</t>
  </si>
  <si>
    <t>Ottewell School</t>
  </si>
  <si>
    <t>7798</t>
  </si>
  <si>
    <t>Out-of-District Program</t>
  </si>
  <si>
    <t>7229</t>
  </si>
  <si>
    <t>Overlanders School</t>
  </si>
  <si>
    <t>7529</t>
  </si>
  <si>
    <t>Parkallen School</t>
  </si>
  <si>
    <t>7531</t>
  </si>
  <si>
    <t>Parkview School</t>
  </si>
  <si>
    <t>7176</t>
  </si>
  <si>
    <t>Patricia Heights School</t>
  </si>
  <si>
    <t>7258</t>
  </si>
  <si>
    <t>Pollard Meadows School</t>
  </si>
  <si>
    <t>7161</t>
  </si>
  <si>
    <t>7187</t>
  </si>
  <si>
    <t>Princeton School</t>
  </si>
  <si>
    <t>7164</t>
  </si>
  <si>
    <t>Queen Alexandra School</t>
  </si>
  <si>
    <t>7052</t>
  </si>
  <si>
    <t>7201</t>
  </si>
  <si>
    <t>Richard Secord School</t>
  </si>
  <si>
    <t>7232</t>
  </si>
  <si>
    <t>7211</t>
  </si>
  <si>
    <t>Rio Terrace Elementary School</t>
  </si>
  <si>
    <t>7538</t>
  </si>
  <si>
    <t>7168</t>
  </si>
  <si>
    <t>Riverdale School</t>
  </si>
  <si>
    <t>1935</t>
  </si>
  <si>
    <t>Roberta MacAdams School</t>
  </si>
  <si>
    <t>7729</t>
  </si>
  <si>
    <t>Rosecrest School</t>
  </si>
  <si>
    <t>7053</t>
  </si>
  <si>
    <t>Ross Sheppard School</t>
  </si>
  <si>
    <t>7535</t>
  </si>
  <si>
    <t>Rosslyn School</t>
  </si>
  <si>
    <t>7170</t>
  </si>
  <si>
    <t>Rutherford School</t>
  </si>
  <si>
    <t>7571</t>
  </si>
  <si>
    <t>S Bruce Smith School</t>
  </si>
  <si>
    <t>7251</t>
  </si>
  <si>
    <t>Sakaw School</t>
  </si>
  <si>
    <t>7235</t>
  </si>
  <si>
    <t>Satoo School</t>
  </si>
  <si>
    <t>7171</t>
  </si>
  <si>
    <t>Scott Robertson School</t>
  </si>
  <si>
    <t>1929</t>
  </si>
  <si>
    <t>Shauna May Seneca School</t>
  </si>
  <si>
    <t>7238</t>
  </si>
  <si>
    <t>2172</t>
  </si>
  <si>
    <t>Soraya Hafez School</t>
  </si>
  <si>
    <t>7537</t>
  </si>
  <si>
    <t>Spruce Avenue School</t>
  </si>
  <si>
    <t>7532</t>
  </si>
  <si>
    <t>Steele Heights School</t>
  </si>
  <si>
    <t>7241</t>
  </si>
  <si>
    <t>Steinhauer School</t>
  </si>
  <si>
    <t>7553</t>
  </si>
  <si>
    <t>Stratford Elementary/Junior High School</t>
  </si>
  <si>
    <t>7054</t>
  </si>
  <si>
    <t>Strathcona School</t>
  </si>
  <si>
    <t>1928</t>
  </si>
  <si>
    <t>Svend Hansen School</t>
  </si>
  <si>
    <t>7243</t>
  </si>
  <si>
    <t>Sweet Grass School</t>
  </si>
  <si>
    <t>7570</t>
  </si>
  <si>
    <t>T D Baker School</t>
  </si>
  <si>
    <t>7911</t>
  </si>
  <si>
    <t>Talmud Torah School</t>
  </si>
  <si>
    <t>7772</t>
  </si>
  <si>
    <t>Tevie Miller Heritage School Program</t>
  </si>
  <si>
    <t>0018</t>
  </si>
  <si>
    <t>The Academy at King Edward</t>
  </si>
  <si>
    <t>2169</t>
  </si>
  <si>
    <t>Thelma Chalifoux School</t>
  </si>
  <si>
    <t>7216</t>
  </si>
  <si>
    <t>7270</t>
  </si>
  <si>
    <t>Tipaskan School</t>
  </si>
  <si>
    <t>0325</t>
  </si>
  <si>
    <t>Transitions at the Y</t>
  </si>
  <si>
    <t>7280</t>
  </si>
  <si>
    <t>Velma E. Baker School</t>
  </si>
  <si>
    <t>7557</t>
  </si>
  <si>
    <t>Vernon Barford School</t>
  </si>
  <si>
    <t>7055</t>
  </si>
  <si>
    <t>Victoria School</t>
  </si>
  <si>
    <t>7050</t>
  </si>
  <si>
    <t>Vimy Ridge</t>
  </si>
  <si>
    <t>7177</t>
  </si>
  <si>
    <t>Virginia Park School</t>
  </si>
  <si>
    <t>7057</t>
  </si>
  <si>
    <t>W P Wagner School</t>
  </si>
  <si>
    <t>7189</t>
  </si>
  <si>
    <t>Waverley School</t>
  </si>
  <si>
    <t>7265</t>
  </si>
  <si>
    <t>Weinlos School</t>
  </si>
  <si>
    <t>7197</t>
  </si>
  <si>
    <t>Westbrook School</t>
  </si>
  <si>
    <t>7542</t>
  </si>
  <si>
    <t>7543</t>
  </si>
  <si>
    <t>Westminster School</t>
  </si>
  <si>
    <t>7544</t>
  </si>
  <si>
    <t>Westmount School</t>
  </si>
  <si>
    <t>7182</t>
  </si>
  <si>
    <t>Windsor Park School</t>
  </si>
  <si>
    <t>7569</t>
  </si>
  <si>
    <t>Winterburn School</t>
  </si>
  <si>
    <t>7198</t>
  </si>
  <si>
    <t>York School</t>
  </si>
  <si>
    <t>7213</t>
  </si>
  <si>
    <t>Youngstown School</t>
  </si>
  <si>
    <t>2064</t>
  </si>
  <si>
    <t>Youth Community Support Program</t>
  </si>
  <si>
    <t>0046</t>
  </si>
  <si>
    <t>The Elk Island Catholic Separate School Division</t>
  </si>
  <si>
    <t>2041</t>
  </si>
  <si>
    <t>Archbishop Jordan Catholic High School</t>
  </si>
  <si>
    <t>2040</t>
  </si>
  <si>
    <t>Ecole Pere Kenneth Kearns Catholic School</t>
  </si>
  <si>
    <t>2053</t>
  </si>
  <si>
    <t>Holy Redeemer Catholic School</t>
  </si>
  <si>
    <t>1156</t>
  </si>
  <si>
    <t>Holy Spirit Catholic School</t>
  </si>
  <si>
    <t>2046</t>
  </si>
  <si>
    <t>Madonna Catholic School</t>
  </si>
  <si>
    <t>4570</t>
  </si>
  <si>
    <t>Our Lady of Mount Pleasant Catholic School</t>
  </si>
  <si>
    <t>2039</t>
  </si>
  <si>
    <t>Our Lady of Perpetual Help Catholic School</t>
  </si>
  <si>
    <t>2038</t>
  </si>
  <si>
    <t>Our Lady of The Angels Catholic School</t>
  </si>
  <si>
    <t>2184</t>
  </si>
  <si>
    <t>St. André Bessette Catholic High School</t>
  </si>
  <si>
    <t>2185</t>
  </si>
  <si>
    <t>St. Isidore Learning Centre</t>
  </si>
  <si>
    <t>2034</t>
  </si>
  <si>
    <t>St. John Paul II Catholic School</t>
  </si>
  <si>
    <t>2037</t>
  </si>
  <si>
    <t>St. John XXIII Catholic School</t>
  </si>
  <si>
    <t>2051</t>
  </si>
  <si>
    <t>St. Luke Catholic School</t>
  </si>
  <si>
    <t>3670</t>
  </si>
  <si>
    <t>St. Martin's Catholic School</t>
  </si>
  <si>
    <t>3671</t>
  </si>
  <si>
    <t>St. Mary's Catholic High School</t>
  </si>
  <si>
    <t>2045</t>
  </si>
  <si>
    <t>St. Nicholas Catholic School</t>
  </si>
  <si>
    <t>4571</t>
  </si>
  <si>
    <t>St. Patrick Catholic School</t>
  </si>
  <si>
    <t>2047</t>
  </si>
  <si>
    <t>St. Theresa Catholic School</t>
  </si>
  <si>
    <t>The Elk Island School Division</t>
  </si>
  <si>
    <t>3611</t>
  </si>
  <si>
    <t>A. L. Horton Elementary School</t>
  </si>
  <si>
    <t>3301</t>
  </si>
  <si>
    <t>Ardrossan Junior Senior High School</t>
  </si>
  <si>
    <t>3340</t>
  </si>
  <si>
    <t>Bev Facey Community High School</t>
  </si>
  <si>
    <t>3324</t>
  </si>
  <si>
    <t>3409</t>
  </si>
  <si>
    <t>Bruderheim Community School</t>
  </si>
  <si>
    <t>3332</t>
  </si>
  <si>
    <t>Castle School</t>
  </si>
  <si>
    <t>3330</t>
  </si>
  <si>
    <t>Clover Bar Junior High School</t>
  </si>
  <si>
    <t>2182</t>
  </si>
  <si>
    <t>Davidson Creek Elementary School</t>
  </si>
  <si>
    <t>3303</t>
  </si>
  <si>
    <t>3325</t>
  </si>
  <si>
    <t>Ecole Campbelltown School</t>
  </si>
  <si>
    <t>1753</t>
  </si>
  <si>
    <t>Ecole Parc Elementaire</t>
  </si>
  <si>
    <t>1362</t>
  </si>
  <si>
    <t>EIPS Centre for Educational Alternatives</t>
  </si>
  <si>
    <t>1234</t>
  </si>
  <si>
    <t>EIPS Home Education</t>
  </si>
  <si>
    <t>1599</t>
  </si>
  <si>
    <t>Elk Island Youth Ranch Learning Centre</t>
  </si>
  <si>
    <t>3321</t>
  </si>
  <si>
    <t>F. R. Haythorne School</t>
  </si>
  <si>
    <t>3397</t>
  </si>
  <si>
    <t>Fort Saskatchewan Christian School</t>
  </si>
  <si>
    <t>3313</t>
  </si>
  <si>
    <t>Fort Saskatchewan Elementary School</t>
  </si>
  <si>
    <t>3311</t>
  </si>
  <si>
    <t>Fort Saskatchewan High School</t>
  </si>
  <si>
    <t>3310</t>
  </si>
  <si>
    <t>Fort Saskatchewan Next Step II Outreach School</t>
  </si>
  <si>
    <t>3335</t>
  </si>
  <si>
    <t>Fultonvale Elementary Junior High School</t>
  </si>
  <si>
    <t>3333</t>
  </si>
  <si>
    <t>Glen Allan Elementary School</t>
  </si>
  <si>
    <t>2252</t>
  </si>
  <si>
    <t>Heritage Hills Elementary School</t>
  </si>
  <si>
    <t>3341</t>
  </si>
  <si>
    <t>James Mowat School</t>
  </si>
  <si>
    <t>1221</t>
  </si>
  <si>
    <t>Lakeland Ridge School</t>
  </si>
  <si>
    <t>3405</t>
  </si>
  <si>
    <t>Lamont Elementary School</t>
  </si>
  <si>
    <t>3404</t>
  </si>
  <si>
    <t>Lamont High School</t>
  </si>
  <si>
    <t>3329</t>
  </si>
  <si>
    <t>Mills Haven Elementary School</t>
  </si>
  <si>
    <t>3406</t>
  </si>
  <si>
    <t>Mundare School</t>
  </si>
  <si>
    <t>1233</t>
  </si>
  <si>
    <t>NSonline</t>
  </si>
  <si>
    <t>3326</t>
  </si>
  <si>
    <t>Pine Street School</t>
  </si>
  <si>
    <t>3615</t>
  </si>
  <si>
    <t>Pleasant Ridge Colony School</t>
  </si>
  <si>
    <t>1752</t>
  </si>
  <si>
    <t>Rudolph Hennig Junior High School</t>
  </si>
  <si>
    <t>3339</t>
  </si>
  <si>
    <t>Salisbury Composite (Evening)</t>
  </si>
  <si>
    <t>3322</t>
  </si>
  <si>
    <t>Salisbury Composite High School</t>
  </si>
  <si>
    <t>2399</t>
  </si>
  <si>
    <t>Salisbury STEPS Junior/Senior High school</t>
  </si>
  <si>
    <t>3323</t>
  </si>
  <si>
    <t>Sherwood Heights Junior High School</t>
  </si>
  <si>
    <t>3307</t>
  </si>
  <si>
    <t>Sherwood Park Next Step I Outreach School</t>
  </si>
  <si>
    <t>2136</t>
  </si>
  <si>
    <t>SouthPointe School</t>
  </si>
  <si>
    <t>3395</t>
  </si>
  <si>
    <t>Strathcona Christian Academy</t>
  </si>
  <si>
    <t>1367</t>
  </si>
  <si>
    <t>Strathcona Christian Academy Elementary School</t>
  </si>
  <si>
    <t>3304</t>
  </si>
  <si>
    <t>Uncas Elementary School</t>
  </si>
  <si>
    <t>3610</t>
  </si>
  <si>
    <t>Vegreville Composite High School</t>
  </si>
  <si>
    <t>0401</t>
  </si>
  <si>
    <t>Vegreville Next Step III Outreach School</t>
  </si>
  <si>
    <t>3334</t>
  </si>
  <si>
    <t>Wes Hosford School</t>
  </si>
  <si>
    <t>3328</t>
  </si>
  <si>
    <t>Westboro Elementary School</t>
  </si>
  <si>
    <t>3316</t>
  </si>
  <si>
    <t>Win Ferguson Community School</t>
  </si>
  <si>
    <t>3336</t>
  </si>
  <si>
    <t>Woodbridge Farms School</t>
  </si>
  <si>
    <t>0048</t>
  </si>
  <si>
    <t>The Evergreen Catholic Separate School Division</t>
  </si>
  <si>
    <t>2030</t>
  </si>
  <si>
    <t>Father Gerard Redmond Community Catholic School</t>
  </si>
  <si>
    <t>1268</t>
  </si>
  <si>
    <t>1130</t>
  </si>
  <si>
    <t>St. Gregory Catholic School</t>
  </si>
  <si>
    <t>2272</t>
  </si>
  <si>
    <t>2271</t>
  </si>
  <si>
    <t>St. Joseph Catholic School</t>
  </si>
  <si>
    <t>2273</t>
  </si>
  <si>
    <t>St. Marguerite Catholic School</t>
  </si>
  <si>
    <t>2471</t>
  </si>
  <si>
    <t>St. Mary Catholic School</t>
  </si>
  <si>
    <t>1684</t>
  </si>
  <si>
    <t>St. Peter the Apostle Catholic High School</t>
  </si>
  <si>
    <t>1979</t>
  </si>
  <si>
    <t>St. Teresa Catholic Junior High Learning Centre</t>
  </si>
  <si>
    <t>1444</t>
  </si>
  <si>
    <t>St. Teresa Catholic Learning Centre</t>
  </si>
  <si>
    <t>2274</t>
  </si>
  <si>
    <t>St. Thomas Aquinas Catholic School</t>
  </si>
  <si>
    <t>1180</t>
  </si>
  <si>
    <t>The Foothills School Division</t>
  </si>
  <si>
    <t>5323</t>
  </si>
  <si>
    <t>Alberta High School of Fine Arts</t>
  </si>
  <si>
    <t>5318</t>
  </si>
  <si>
    <t>Big Rock School</t>
  </si>
  <si>
    <t>5301</t>
  </si>
  <si>
    <t>Blackie School</t>
  </si>
  <si>
    <t>5312</t>
  </si>
  <si>
    <t>C Ian McLaren School</t>
  </si>
  <si>
    <t>5326</t>
  </si>
  <si>
    <t>Cameron Crossing School</t>
  </si>
  <si>
    <t>5314</t>
  </si>
  <si>
    <t>Cayley Colony School</t>
  </si>
  <si>
    <t>5302</t>
  </si>
  <si>
    <t>Cayley School</t>
  </si>
  <si>
    <t>5321</t>
  </si>
  <si>
    <t>Dr Morris Gibson School</t>
  </si>
  <si>
    <t>5322</t>
  </si>
  <si>
    <t>Ecole Secondaire Highwood High School</t>
  </si>
  <si>
    <t>5319</t>
  </si>
  <si>
    <t>Foothills Composite High School</t>
  </si>
  <si>
    <t>1131</t>
  </si>
  <si>
    <t>Heritage Heights School</t>
  </si>
  <si>
    <t>5306</t>
  </si>
  <si>
    <t>High River Colony School</t>
  </si>
  <si>
    <t>5324</t>
  </si>
  <si>
    <t>Home Education</t>
  </si>
  <si>
    <t>1724</t>
  </si>
  <si>
    <t>5313</t>
  </si>
  <si>
    <t>Longview School</t>
  </si>
  <si>
    <t>5315</t>
  </si>
  <si>
    <t>MacMillan Colony School</t>
  </si>
  <si>
    <t>2250</t>
  </si>
  <si>
    <t>Meadow Ridge School</t>
  </si>
  <si>
    <t>5307</t>
  </si>
  <si>
    <t>Millarville Community School</t>
  </si>
  <si>
    <t>5310</t>
  </si>
  <si>
    <t>Oilfields High School</t>
  </si>
  <si>
    <t>5308</t>
  </si>
  <si>
    <t>Okotoks Junior High School</t>
  </si>
  <si>
    <t>5303</t>
  </si>
  <si>
    <t>Percy Pegler Elementary School</t>
  </si>
  <si>
    <t>5309</t>
  </si>
  <si>
    <t>Red Deer Lake School</t>
  </si>
  <si>
    <t>5316</t>
  </si>
  <si>
    <t>Right Honorable Joe Clark School</t>
  </si>
  <si>
    <t>5304</t>
  </si>
  <si>
    <t>Senator Riley School</t>
  </si>
  <si>
    <t>5305</t>
  </si>
  <si>
    <t>Spitzee Elementary School</t>
  </si>
  <si>
    <t>5311</t>
  </si>
  <si>
    <t>Turner Valley Elementary Junior High School</t>
  </si>
  <si>
    <t>1630</t>
  </si>
  <si>
    <t>4160</t>
  </si>
  <si>
    <t>The Fort McMurray Roman Catholic Separate School Division</t>
  </si>
  <si>
    <t>2199</t>
  </si>
  <si>
    <t>Elsie Yanik Catholic School</t>
  </si>
  <si>
    <t>1899</t>
  </si>
  <si>
    <t>Father Patrick Mercredi Community School</t>
  </si>
  <si>
    <t>1885</t>
  </si>
  <si>
    <t>Fr M Beauregard Education Community Centre</t>
  </si>
  <si>
    <t>1872</t>
  </si>
  <si>
    <t>Good Shepherd Community School</t>
  </si>
  <si>
    <t>1564</t>
  </si>
  <si>
    <t>Holy Trinity High School</t>
  </si>
  <si>
    <t>2388</t>
  </si>
  <si>
    <t>Immaculate Heart of Mary Catholic School</t>
  </si>
  <si>
    <t>1871</t>
  </si>
  <si>
    <t>Our Lady of the Rivers Catholic School</t>
  </si>
  <si>
    <t>1866</t>
  </si>
  <si>
    <t>Sister Mary Phillps Elementary School</t>
  </si>
  <si>
    <t>1894</t>
  </si>
  <si>
    <t>St. Anne School</t>
  </si>
  <si>
    <t>1890</t>
  </si>
  <si>
    <t>St. Gabriel School</t>
  </si>
  <si>
    <t>1767</t>
  </si>
  <si>
    <t>St. Kateri School</t>
  </si>
  <si>
    <t>1354</t>
  </si>
  <si>
    <t>St. Martha Catholic School</t>
  </si>
  <si>
    <t>1873</t>
  </si>
  <si>
    <t>St. Paul's Elementary School</t>
  </si>
  <si>
    <t>3260</t>
  </si>
  <si>
    <t>The Fort McMurray School Division</t>
  </si>
  <si>
    <t>1843</t>
  </si>
  <si>
    <t>Beacon Hill School</t>
  </si>
  <si>
    <t>2075</t>
  </si>
  <si>
    <t>Christina Gordon Public School</t>
  </si>
  <si>
    <t>2074</t>
  </si>
  <si>
    <t>Dave McNeilly Public School</t>
  </si>
  <si>
    <t>1841</t>
  </si>
  <si>
    <t>Dr Karl A Clark Elementary</t>
  </si>
  <si>
    <t>1854</t>
  </si>
  <si>
    <t>Ecole Dickinsfield School</t>
  </si>
  <si>
    <t>1559</t>
  </si>
  <si>
    <t>École McTavish Public High School</t>
  </si>
  <si>
    <t>1864</t>
  </si>
  <si>
    <t>Fort McMurray Christian School</t>
  </si>
  <si>
    <t>1845</t>
  </si>
  <si>
    <t>Fort McMurray Composite High School</t>
  </si>
  <si>
    <t>1256</t>
  </si>
  <si>
    <t>Fort McMurray Islamic School</t>
  </si>
  <si>
    <t>1858</t>
  </si>
  <si>
    <t>Frank Spragins High School</t>
  </si>
  <si>
    <t>1853</t>
  </si>
  <si>
    <t>Greely Road School</t>
  </si>
  <si>
    <t>1844</t>
  </si>
  <si>
    <t>Thickwood Heights School</t>
  </si>
  <si>
    <t>1855</t>
  </si>
  <si>
    <t>Timberlea Public School</t>
  </si>
  <si>
    <t>1765</t>
  </si>
  <si>
    <t>Walter &amp; Gladys Hill Public School</t>
  </si>
  <si>
    <t>1848</t>
  </si>
  <si>
    <t>Westview School</t>
  </si>
  <si>
    <t>1857</t>
  </si>
  <si>
    <t>Westwood Community High School</t>
  </si>
  <si>
    <t>1250</t>
  </si>
  <si>
    <t>The Fort Vermilion School Division</t>
  </si>
  <si>
    <t>1713</t>
  </si>
  <si>
    <t>Blue Hills Community School</t>
  </si>
  <si>
    <t>1701</t>
  </si>
  <si>
    <t>Buffalo Head Prairie School</t>
  </si>
  <si>
    <t>1709</t>
  </si>
  <si>
    <t>Florence MacDougall Community School</t>
  </si>
  <si>
    <t>1702</t>
  </si>
  <si>
    <t>Fort Vermilion Public School</t>
  </si>
  <si>
    <t>1703</t>
  </si>
  <si>
    <t>High Level Public School</t>
  </si>
  <si>
    <t>1712</t>
  </si>
  <si>
    <t>Hill Crest Community School</t>
  </si>
  <si>
    <t>1704</t>
  </si>
  <si>
    <t>La Crete Public School</t>
  </si>
  <si>
    <t>1742</t>
  </si>
  <si>
    <t>Northern Outreach Center</t>
  </si>
  <si>
    <t>2454</t>
  </si>
  <si>
    <t>Pathways School</t>
  </si>
  <si>
    <t>1705</t>
  </si>
  <si>
    <t>Rainbow Lake School</t>
  </si>
  <si>
    <t>1714</t>
  </si>
  <si>
    <t>Ridgeview Central School</t>
  </si>
  <si>
    <t>1706</t>
  </si>
  <si>
    <t>Rocky Lane School</t>
  </si>
  <si>
    <t>1794</t>
  </si>
  <si>
    <t>Sand Hills Elementary School</t>
  </si>
  <si>
    <t>0487</t>
  </si>
  <si>
    <t>Spirit of the North Community School</t>
  </si>
  <si>
    <t>1770</t>
  </si>
  <si>
    <t>St. Mary’s Catholic School</t>
  </si>
  <si>
    <t>1791</t>
  </si>
  <si>
    <t>Upper Hay River School</t>
  </si>
  <si>
    <t>The Golden Hills School Division</t>
  </si>
  <si>
    <t>5601</t>
  </si>
  <si>
    <t>Acme School</t>
  </si>
  <si>
    <t>2162</t>
  </si>
  <si>
    <t>Anchors Outreach School</t>
  </si>
  <si>
    <t>5606</t>
  </si>
  <si>
    <t>Britestone Hutterite Colony</t>
  </si>
  <si>
    <t>5602</t>
  </si>
  <si>
    <t>Carbon School</t>
  </si>
  <si>
    <t>5501</t>
  </si>
  <si>
    <t>Carseland School</t>
  </si>
  <si>
    <t>2243</t>
  </si>
  <si>
    <t>Country Hills School</t>
  </si>
  <si>
    <t>5523</t>
  </si>
  <si>
    <t>Crawling Valley School</t>
  </si>
  <si>
    <t>5519</t>
  </si>
  <si>
    <t>Crowther Memorial Junior High School</t>
  </si>
  <si>
    <t>5607</t>
  </si>
  <si>
    <t>Dr Elliott Community School</t>
  </si>
  <si>
    <t>5526</t>
  </si>
  <si>
    <t>Drumheller Outreach</t>
  </si>
  <si>
    <t>5725</t>
  </si>
  <si>
    <t>Drumheller Valley Secondary School</t>
  </si>
  <si>
    <t>5517</t>
  </si>
  <si>
    <t>École Brentwood Elementary School</t>
  </si>
  <si>
    <t>2196</t>
  </si>
  <si>
    <t>George Freeman School</t>
  </si>
  <si>
    <t>0341</t>
  </si>
  <si>
    <t>Glenrose Colony School</t>
  </si>
  <si>
    <t>0384</t>
  </si>
  <si>
    <t>Golden Hills Learning Academy</t>
  </si>
  <si>
    <t>1077</t>
  </si>
  <si>
    <t>Green Acres School</t>
  </si>
  <si>
    <t>5726</t>
  </si>
  <si>
    <t>Greentree School</t>
  </si>
  <si>
    <t>5515</t>
  </si>
  <si>
    <t>Hines School</t>
  </si>
  <si>
    <t>5615</t>
  </si>
  <si>
    <t>Huxley Colony School</t>
  </si>
  <si>
    <t>0592</t>
  </si>
  <si>
    <t>Mountainview School</t>
  </si>
  <si>
    <t>1016</t>
  </si>
  <si>
    <t>NorthStar Academy</t>
  </si>
  <si>
    <t>5520</t>
  </si>
  <si>
    <t>Poplar Row School</t>
  </si>
  <si>
    <t>5691</t>
  </si>
  <si>
    <t>Prairie Christian Academy</t>
  </si>
  <si>
    <t>5516</t>
  </si>
  <si>
    <t>Rising Sun School</t>
  </si>
  <si>
    <t>5522</t>
  </si>
  <si>
    <t>Rosebud Creek School</t>
  </si>
  <si>
    <t>5514</t>
  </si>
  <si>
    <t>Rosebud River School</t>
  </si>
  <si>
    <t>5512</t>
  </si>
  <si>
    <t>Sandhills School</t>
  </si>
  <si>
    <t>5511</t>
  </si>
  <si>
    <t>Sayre School</t>
  </si>
  <si>
    <t>0660</t>
  </si>
  <si>
    <t>Strathmore High School</t>
  </si>
  <si>
    <t>5527</t>
  </si>
  <si>
    <t>Strathmore Store Front School</t>
  </si>
  <si>
    <t>1360</t>
  </si>
  <si>
    <t>Three Hills Colony School</t>
  </si>
  <si>
    <t>5610</t>
  </si>
  <si>
    <t>Three Hills School</t>
  </si>
  <si>
    <t>5513</t>
  </si>
  <si>
    <t>Towers School</t>
  </si>
  <si>
    <t>1433</t>
  </si>
  <si>
    <t>Trinity Christian Academy</t>
  </si>
  <si>
    <t>5612</t>
  </si>
  <si>
    <t>Trochu Valley School</t>
  </si>
  <si>
    <t>0342</t>
  </si>
  <si>
    <t>Twin Creeks School</t>
  </si>
  <si>
    <t>5616</t>
  </si>
  <si>
    <t>Valleyview Colony School</t>
  </si>
  <si>
    <t>5510</t>
  </si>
  <si>
    <t>2071</t>
  </si>
  <si>
    <t>Wheatland Crossing School</t>
  </si>
  <si>
    <t>5525</t>
  </si>
  <si>
    <t>Wheatland Elementary School</t>
  </si>
  <si>
    <t>0575</t>
  </si>
  <si>
    <t>Wintering Hills</t>
  </si>
  <si>
    <t>4130</t>
  </si>
  <si>
    <t>The Grande Prairie Roman Catholic Separate School Division</t>
  </si>
  <si>
    <t>2437</t>
  </si>
  <si>
    <t>École Catholique Louis Riel</t>
  </si>
  <si>
    <t>Ecole St. Gerard Catholic School</t>
  </si>
  <si>
    <t>1172</t>
  </si>
  <si>
    <t>Holy Cross Catholic School</t>
  </si>
  <si>
    <t>1454</t>
  </si>
  <si>
    <t>Mother Teresa School</t>
  </si>
  <si>
    <t>1955</t>
  </si>
  <si>
    <t>St. Catherine Catholic School</t>
  </si>
  <si>
    <t>1176</t>
  </si>
  <si>
    <t>St. Clement Catholic School</t>
  </si>
  <si>
    <t>1138</t>
  </si>
  <si>
    <t>St. John Bosco Catholic School</t>
  </si>
  <si>
    <t>2157</t>
  </si>
  <si>
    <t>St. John Paul II Catholic School / Faculté St. Jean-Paul II</t>
  </si>
  <si>
    <t>1178</t>
  </si>
  <si>
    <t>St. Joseph Catholic High School</t>
  </si>
  <si>
    <t>1181</t>
  </si>
  <si>
    <t>1170</t>
  </si>
  <si>
    <t>1171</t>
  </si>
  <si>
    <t>St. Mary's Catholic School</t>
  </si>
  <si>
    <t>1370</t>
  </si>
  <si>
    <t>Ste. Marie Catholic School</t>
  </si>
  <si>
    <t>3240</t>
  </si>
  <si>
    <t>The Grande Prairie School Division</t>
  </si>
  <si>
    <t>1142</t>
  </si>
  <si>
    <t>Alexander Forbes School</t>
  </si>
  <si>
    <t>1152</t>
  </si>
  <si>
    <t>Aspen Grove School</t>
  </si>
  <si>
    <t>1140</t>
  </si>
  <si>
    <t>Avondale School</t>
  </si>
  <si>
    <t>1153</t>
  </si>
  <si>
    <t>Bridge Network</t>
  </si>
  <si>
    <t>1761</t>
  </si>
  <si>
    <t>Charles Spencer High School</t>
  </si>
  <si>
    <t>1150</t>
  </si>
  <si>
    <t>Crystal Park School</t>
  </si>
  <si>
    <t>1372</t>
  </si>
  <si>
    <t>Derek Taylor School</t>
  </si>
  <si>
    <t>1144</t>
  </si>
  <si>
    <t>École Montrose School</t>
  </si>
  <si>
    <t>1192</t>
  </si>
  <si>
    <t>Grande Prairie Christian School</t>
  </si>
  <si>
    <t>1141</t>
  </si>
  <si>
    <t>Grande Prairie Composite High School</t>
  </si>
  <si>
    <t>1154</t>
  </si>
  <si>
    <t>Grande Prairie Public School District #2357 Home Schooling</t>
  </si>
  <si>
    <t>1143</t>
  </si>
  <si>
    <t>Hillside Community School</t>
  </si>
  <si>
    <t>0481</t>
  </si>
  <si>
    <t>I.V. Macklin Public School</t>
  </si>
  <si>
    <t>2077</t>
  </si>
  <si>
    <t>Isabel Campbell Public School</t>
  </si>
  <si>
    <t>1461</t>
  </si>
  <si>
    <t>Maude Clifford Public School</t>
  </si>
  <si>
    <t>1147</t>
  </si>
  <si>
    <t>Parkside Montessori</t>
  </si>
  <si>
    <t>2076</t>
  </si>
  <si>
    <t>Riverstone Public School</t>
  </si>
  <si>
    <t>2148</t>
  </si>
  <si>
    <t>Roy Bickell Public School</t>
  </si>
  <si>
    <t>1146</t>
  </si>
  <si>
    <t>Swanavon School</t>
  </si>
  <si>
    <t>1241</t>
  </si>
  <si>
    <t>The Link</t>
  </si>
  <si>
    <t>1085</t>
  </si>
  <si>
    <t>The Grande Yellowhead School Division</t>
  </si>
  <si>
    <t>2012</t>
  </si>
  <si>
    <t>Crescent Valley School</t>
  </si>
  <si>
    <t>2013</t>
  </si>
  <si>
    <t>Ecole Mountain View School</t>
  </si>
  <si>
    <t>2004</t>
  </si>
  <si>
    <t>Ecole Pine Grove School</t>
  </si>
  <si>
    <t>2009</t>
  </si>
  <si>
    <t>Evansview School</t>
  </si>
  <si>
    <t>2007</t>
  </si>
  <si>
    <t>2010</t>
  </si>
  <si>
    <t>Fulham School</t>
  </si>
  <si>
    <t>2008</t>
  </si>
  <si>
    <t>Grand Trunk High School</t>
  </si>
  <si>
    <t>2042</t>
  </si>
  <si>
    <t>Grande Cache Community High School</t>
  </si>
  <si>
    <t>2026</t>
  </si>
  <si>
    <t>Grande Yellowhead Regional Division Home Schooling</t>
  </si>
  <si>
    <t>2011</t>
  </si>
  <si>
    <t>Harry Collinge High School</t>
  </si>
  <si>
    <t>2036</t>
  </si>
  <si>
    <t>Jasper Elementary School</t>
  </si>
  <si>
    <t>2035</t>
  </si>
  <si>
    <t>Jasper Junior Senior High School</t>
  </si>
  <si>
    <t>1266</t>
  </si>
  <si>
    <t>Mary Bergeron Elementary School</t>
  </si>
  <si>
    <t>2015</t>
  </si>
  <si>
    <t>Niton Central School</t>
  </si>
  <si>
    <t>2002</t>
  </si>
  <si>
    <t>Parkland Composite High School</t>
  </si>
  <si>
    <t>2044</t>
  </si>
  <si>
    <t>Sheldon Coates Elementary School</t>
  </si>
  <si>
    <t>2043</t>
  </si>
  <si>
    <t>Summitview School</t>
  </si>
  <si>
    <t>2027</t>
  </si>
  <si>
    <t>The Learning Connection - Edson</t>
  </si>
  <si>
    <t>1731</t>
  </si>
  <si>
    <t>The Learning Connection - Evansburg</t>
  </si>
  <si>
    <t>0327</t>
  </si>
  <si>
    <t>The Learning Connection - Grande Cache</t>
  </si>
  <si>
    <t>2028</t>
  </si>
  <si>
    <t>The Learning Connection - Hinton</t>
  </si>
  <si>
    <t>2163</t>
  </si>
  <si>
    <t>The Learning Connection - Jasper</t>
  </si>
  <si>
    <t>2023</t>
  </si>
  <si>
    <t>Westhaven Elementary School</t>
  </si>
  <si>
    <t>2018</t>
  </si>
  <si>
    <t>The Grasslands School Division</t>
  </si>
  <si>
    <t>6701</t>
  </si>
  <si>
    <t>Alcoma School</t>
  </si>
  <si>
    <t>6702</t>
  </si>
  <si>
    <t>Bassano School</t>
  </si>
  <si>
    <t>6711</t>
  </si>
  <si>
    <t>Bow City Colony School</t>
  </si>
  <si>
    <t>6740</t>
  </si>
  <si>
    <t>Brooks Composite High School</t>
  </si>
  <si>
    <t>6741</t>
  </si>
  <si>
    <t>Brooks Junior High School</t>
  </si>
  <si>
    <t>6790</t>
  </si>
  <si>
    <t>Clearview Colony School</t>
  </si>
  <si>
    <t>6703</t>
  </si>
  <si>
    <t>Duchess School</t>
  </si>
  <si>
    <t>6744</t>
  </si>
  <si>
    <t>Eastbrook Elementary School</t>
  </si>
  <si>
    <t>6717</t>
  </si>
  <si>
    <t>Fairville Colony School</t>
  </si>
  <si>
    <t>6705</t>
  </si>
  <si>
    <t>Gem School</t>
  </si>
  <si>
    <t>6745</t>
  </si>
  <si>
    <t>Griffin Park School</t>
  </si>
  <si>
    <t>1122</t>
  </si>
  <si>
    <t>Lathom Colony School</t>
  </si>
  <si>
    <t>6712</t>
  </si>
  <si>
    <t>Newell Colony School</t>
  </si>
  <si>
    <t>6704</t>
  </si>
  <si>
    <t>Rolling Hills School</t>
  </si>
  <si>
    <t>6708</t>
  </si>
  <si>
    <t>Rosemary School</t>
  </si>
  <si>
    <t>6713</t>
  </si>
  <si>
    <t>Springside Colony School</t>
  </si>
  <si>
    <t>6791</t>
  </si>
  <si>
    <t>Springview Colony School</t>
  </si>
  <si>
    <t>6718</t>
  </si>
  <si>
    <t>Sunrise School</t>
  </si>
  <si>
    <t>6709</t>
  </si>
  <si>
    <t>Tilley School</t>
  </si>
  <si>
    <t>1773</t>
  </si>
  <si>
    <t>Uplands Elementary School</t>
  </si>
  <si>
    <t>The Greater North Central Francophone Education Region</t>
  </si>
  <si>
    <t>1371</t>
  </si>
  <si>
    <t>1467</t>
  </si>
  <si>
    <t>École Alexandre-Taché</t>
  </si>
  <si>
    <t>1870</t>
  </si>
  <si>
    <t>École Boréale</t>
  </si>
  <si>
    <t>2536</t>
  </si>
  <si>
    <t>1986</t>
  </si>
  <si>
    <t>École Claudette-et-Denis-Tardif</t>
  </si>
  <si>
    <t>1907</t>
  </si>
  <si>
    <t>École des Fondateurs</t>
  </si>
  <si>
    <t>1050</t>
  </si>
  <si>
    <t>2434</t>
  </si>
  <si>
    <t>1466</t>
  </si>
  <si>
    <t>École Joseph-Moreau</t>
  </si>
  <si>
    <t>2537</t>
  </si>
  <si>
    <t>2538</t>
  </si>
  <si>
    <t>8098</t>
  </si>
  <si>
    <t>École Michaëlle-Jean</t>
  </si>
  <si>
    <t>8007</t>
  </si>
  <si>
    <t>8002</t>
  </si>
  <si>
    <t>0026</t>
  </si>
  <si>
    <t>1786</t>
  </si>
  <si>
    <t xml:space="preserve">École Quatre-Saisons </t>
  </si>
  <si>
    <t>0438</t>
  </si>
  <si>
    <t>1959</t>
  </si>
  <si>
    <t>École Sans-Frontières</t>
  </si>
  <si>
    <t>8025</t>
  </si>
  <si>
    <t>4077</t>
  </si>
  <si>
    <t>The Greater St. Albert Roman Catholic Separate School Division</t>
  </si>
  <si>
    <t>2575</t>
  </si>
  <si>
    <t>Albert Lacombe Catholic Elementary School</t>
  </si>
  <si>
    <t>2580</t>
  </si>
  <si>
    <t>Bertha Kennedy Catholic Community School</t>
  </si>
  <si>
    <t>2588</t>
  </si>
  <si>
    <t>2587</t>
  </si>
  <si>
    <t>2577</t>
  </si>
  <si>
    <t>École Secondaire St. Albert Catholic High School</t>
  </si>
  <si>
    <t>2572</t>
  </si>
  <si>
    <t>Georges H Primeau School</t>
  </si>
  <si>
    <t>2574</t>
  </si>
  <si>
    <t>Greater St. Albert Catholic Summer School</t>
  </si>
  <si>
    <t>2578</t>
  </si>
  <si>
    <t>Holy Family Catholic School</t>
  </si>
  <si>
    <t>0338</t>
  </si>
  <si>
    <t>J. J. Nearing Catholic Elementary School</t>
  </si>
  <si>
    <t>2535</t>
  </si>
  <si>
    <t>Legal School</t>
  </si>
  <si>
    <t>2594</t>
  </si>
  <si>
    <t>Morinville Community High School</t>
  </si>
  <si>
    <t>2584</t>
  </si>
  <si>
    <t>Neil M Ross Catholic School</t>
  </si>
  <si>
    <t>2571</t>
  </si>
  <si>
    <t>Notre Dame Elementary School</t>
  </si>
  <si>
    <t>2589</t>
  </si>
  <si>
    <t>Richard S Fowler Catholic Junior High School</t>
  </si>
  <si>
    <t>2187</t>
  </si>
  <si>
    <t>Sister Alphonse Academy</t>
  </si>
  <si>
    <t>0378</t>
  </si>
  <si>
    <t>St. Gabriel Education Centre</t>
  </si>
  <si>
    <t>2186</t>
  </si>
  <si>
    <t>St. Kateri Tekakwitha Academy</t>
  </si>
  <si>
    <t>2579</t>
  </si>
  <si>
    <t>Vincent J Maloney Catholic School</t>
  </si>
  <si>
    <t>The High Prairie School Division</t>
  </si>
  <si>
    <t>1615</t>
  </si>
  <si>
    <t>C J Schurter Elementary School</t>
  </si>
  <si>
    <t>1614</t>
  </si>
  <si>
    <t>E G Wahlstrom School</t>
  </si>
  <si>
    <t>1606</t>
  </si>
  <si>
    <t>E W Pratt High School</t>
  </si>
  <si>
    <t>1602</t>
  </si>
  <si>
    <t>Georges P Vanier School</t>
  </si>
  <si>
    <t>1608</t>
  </si>
  <si>
    <t>High Prairie Elementary School</t>
  </si>
  <si>
    <t>1610</t>
  </si>
  <si>
    <t>Joussard School</t>
  </si>
  <si>
    <t>1524</t>
  </si>
  <si>
    <t>Kinuso Outreach Program</t>
  </si>
  <si>
    <t>1611</t>
  </si>
  <si>
    <t>Kinuso School</t>
  </si>
  <si>
    <t>0375</t>
  </si>
  <si>
    <t>Lakeside Outreach School</t>
  </si>
  <si>
    <t>1607</t>
  </si>
  <si>
    <t>Prairie River Junior High School</t>
  </si>
  <si>
    <t>0435</t>
  </si>
  <si>
    <t>Prairie View Outreach School</t>
  </si>
  <si>
    <t>1616</t>
  </si>
  <si>
    <t>Roland Michener Secondary School</t>
  </si>
  <si>
    <t>1635</t>
  </si>
  <si>
    <t>Routhier School</t>
  </si>
  <si>
    <t>0021</t>
  </si>
  <si>
    <t>The Holy Family Catholic Separate School Division</t>
  </si>
  <si>
    <t>1671</t>
  </si>
  <si>
    <t>Ecole Providence School</t>
  </si>
  <si>
    <t>1573</t>
  </si>
  <si>
    <t>Glenmary School</t>
  </si>
  <si>
    <t>1572</t>
  </si>
  <si>
    <t>0311</t>
  </si>
  <si>
    <t>Holy Family Cyber High School</t>
  </si>
  <si>
    <t>1570</t>
  </si>
  <si>
    <t>1574</t>
  </si>
  <si>
    <t>Rosary Roman Catholic Separate School</t>
  </si>
  <si>
    <t>1670</t>
  </si>
  <si>
    <t>St. Andrew's School</t>
  </si>
  <si>
    <t>1619</t>
  </si>
  <si>
    <t>St. Francis Holistic Learning Centre</t>
  </si>
  <si>
    <t>1270</t>
  </si>
  <si>
    <t>St. Stephens Catholic School</t>
  </si>
  <si>
    <t>4481</t>
  </si>
  <si>
    <t>The Holy Spirit Roman Catholic Separate School Division</t>
  </si>
  <si>
    <t>1400</t>
  </si>
  <si>
    <t>CARE (Centre for Adolescent Responsibility Education) Outreach</t>
  </si>
  <si>
    <t>6476</t>
  </si>
  <si>
    <t>Catholic Central High School</t>
  </si>
  <si>
    <t>6482</t>
  </si>
  <si>
    <t>Children of St. Martha School</t>
  </si>
  <si>
    <t>6478</t>
  </si>
  <si>
    <t>Ecole St. Mary School</t>
  </si>
  <si>
    <t>6483</t>
  </si>
  <si>
    <t>Father Leonard Van Tighem School</t>
  </si>
  <si>
    <t>6475</t>
  </si>
  <si>
    <t>Our Lady of The Assumption School</t>
  </si>
  <si>
    <t>6471</t>
  </si>
  <si>
    <t>St. Catherine's School</t>
  </si>
  <si>
    <t>6481</t>
  </si>
  <si>
    <t>St. Francis Junior High School</t>
  </si>
  <si>
    <t>6470</t>
  </si>
  <si>
    <t>St. Joseph's School</t>
  </si>
  <si>
    <t>6670</t>
  </si>
  <si>
    <t>St. Mary's Roman Catholic Separate School</t>
  </si>
  <si>
    <t>6970</t>
  </si>
  <si>
    <t>St. Michaels School</t>
  </si>
  <si>
    <t>6170</t>
  </si>
  <si>
    <t>St. Michael's School</t>
  </si>
  <si>
    <t>6479</t>
  </si>
  <si>
    <t>St. Patrick Fine Arts Elementary School</t>
  </si>
  <si>
    <t>6671</t>
  </si>
  <si>
    <t>St. Patrick's Roman Catholic Separate School</t>
  </si>
  <si>
    <t>6480</t>
  </si>
  <si>
    <t>St. Paul Elementary School</t>
  </si>
  <si>
    <t>2062</t>
  </si>
  <si>
    <t>0020</t>
  </si>
  <si>
    <t>Trinity Learning Centre</t>
  </si>
  <si>
    <t>1045</t>
  </si>
  <si>
    <t>The Horizon School Division</t>
  </si>
  <si>
    <t>6523</t>
  </si>
  <si>
    <t>ACE Place Learning Centre</t>
  </si>
  <si>
    <t>1473</t>
  </si>
  <si>
    <t>Arden T. Litt Centre for Learning</t>
  </si>
  <si>
    <t>1100</t>
  </si>
  <si>
    <t>Armada Colony School</t>
  </si>
  <si>
    <t>6601</t>
  </si>
  <si>
    <t>Barnwell School</t>
  </si>
  <si>
    <t>1033</t>
  </si>
  <si>
    <t>Bluegrass Colony School</t>
  </si>
  <si>
    <t>6493</t>
  </si>
  <si>
    <t>Cameron Farms School</t>
  </si>
  <si>
    <t>6602</t>
  </si>
  <si>
    <t>Chamberlain School</t>
  </si>
  <si>
    <t>1479</t>
  </si>
  <si>
    <t>Copperfield Farms Colony School</t>
  </si>
  <si>
    <t>6614</t>
  </si>
  <si>
    <t>D. A. Ferguson Middle School</t>
  </si>
  <si>
    <t>1114</t>
  </si>
  <si>
    <t>Delco Colony School</t>
  </si>
  <si>
    <t>6608</t>
  </si>
  <si>
    <t>Dr. Hamman School</t>
  </si>
  <si>
    <t>6513</t>
  </si>
  <si>
    <t>Elmspring Colony School</t>
  </si>
  <si>
    <t>6617</t>
  </si>
  <si>
    <t>Enchant Colony School</t>
  </si>
  <si>
    <t>6603</t>
  </si>
  <si>
    <t>Enchant School</t>
  </si>
  <si>
    <t>6503</t>
  </si>
  <si>
    <t>Erle Rivers High School</t>
  </si>
  <si>
    <t>1422</t>
  </si>
  <si>
    <t>Evergreen Colony</t>
  </si>
  <si>
    <t>6521</t>
  </si>
  <si>
    <t>Fairlane Colony School</t>
  </si>
  <si>
    <t>1997</t>
  </si>
  <si>
    <t>Goldspring Colony School</t>
  </si>
  <si>
    <t>6604</t>
  </si>
  <si>
    <t>Hays School</t>
  </si>
  <si>
    <t>6619</t>
  </si>
  <si>
    <t>Hillridge Colony School</t>
  </si>
  <si>
    <t>1129</t>
  </si>
  <si>
    <t>Horizon MAP School</t>
  </si>
  <si>
    <t>1377</t>
  </si>
  <si>
    <t>Kingsland Colony School</t>
  </si>
  <si>
    <t>6609</t>
  </si>
  <si>
    <t>L.T. Westlake School</t>
  </si>
  <si>
    <t>5415</t>
  </si>
  <si>
    <t>Lomond Colony School</t>
  </si>
  <si>
    <t>5405</t>
  </si>
  <si>
    <t>Lomond Community School</t>
  </si>
  <si>
    <t>6613</t>
  </si>
  <si>
    <t>Midland Colony School</t>
  </si>
  <si>
    <t>6504</t>
  </si>
  <si>
    <t>6522</t>
  </si>
  <si>
    <t>Miltow Colony School</t>
  </si>
  <si>
    <t>6618</t>
  </si>
  <si>
    <t>Oaklane Colony School</t>
  </si>
  <si>
    <t>0009</t>
  </si>
  <si>
    <t>Prairiehome Colony School</t>
  </si>
  <si>
    <t>6520</t>
  </si>
  <si>
    <t>River Road Colony School</t>
  </si>
  <si>
    <t>6518</t>
  </si>
  <si>
    <t>Sunnysite Colony School</t>
  </si>
  <si>
    <t>6607</t>
  </si>
  <si>
    <t>Taber Central School</t>
  </si>
  <si>
    <t>2333</t>
  </si>
  <si>
    <t>Taber Christian High School</t>
  </si>
  <si>
    <t>6616</t>
  </si>
  <si>
    <t>Taber Christian School Alternative Program</t>
  </si>
  <si>
    <t>6612</t>
  </si>
  <si>
    <t>Vauxhall Elementary School</t>
  </si>
  <si>
    <t>6611</t>
  </si>
  <si>
    <t>Vauxhall Junior Senior High School</t>
  </si>
  <si>
    <t>6606</t>
  </si>
  <si>
    <t>W. R. Myers High School</t>
  </si>
  <si>
    <t>6509</t>
  </si>
  <si>
    <t>Warner School</t>
  </si>
  <si>
    <t>4105</t>
  </si>
  <si>
    <t>The Lakeland Roman Catholic Separate School Division</t>
  </si>
  <si>
    <t>2971</t>
  </si>
  <si>
    <t>Assumption Junior Senior High School</t>
  </si>
  <si>
    <t>2976</t>
  </si>
  <si>
    <t>Ecole Dr Bernard Brosseau School</t>
  </si>
  <si>
    <t>2973</t>
  </si>
  <si>
    <t>Ecole Notre Dame High</t>
  </si>
  <si>
    <t>2994</t>
  </si>
  <si>
    <t>Holy Cross Elementary School</t>
  </si>
  <si>
    <t>1121</t>
  </si>
  <si>
    <t>2124</t>
  </si>
  <si>
    <t>2974</t>
  </si>
  <si>
    <t>2970</t>
  </si>
  <si>
    <t>3040</t>
  </si>
  <si>
    <t>The Lethbridge School Division</t>
  </si>
  <si>
    <t>1465</t>
  </si>
  <si>
    <t>Chinook High School</t>
  </si>
  <si>
    <t>2144</t>
  </si>
  <si>
    <t>Coalbanks Elementary School</t>
  </si>
  <si>
    <t>6451</t>
  </si>
  <si>
    <t>Dr. Gerald B. Probe Elementary School</t>
  </si>
  <si>
    <t>2334</t>
  </si>
  <si>
    <t>Dr. Robert Plaxton Elementary School</t>
  </si>
  <si>
    <t>6435</t>
  </si>
  <si>
    <t>Ecole Agnes Davidson School</t>
  </si>
  <si>
    <t>6438</t>
  </si>
  <si>
    <t>Fleetwood Bawden School</t>
  </si>
  <si>
    <t>1097</t>
  </si>
  <si>
    <t>G. S. Lakie Middle School</t>
  </si>
  <si>
    <t>6439</t>
  </si>
  <si>
    <t>Galbraith School</t>
  </si>
  <si>
    <t>6440</t>
  </si>
  <si>
    <t>General Stewart School</t>
  </si>
  <si>
    <t>6442</t>
  </si>
  <si>
    <t>Gilbert Paterson Middle School</t>
  </si>
  <si>
    <t>0305</t>
  </si>
  <si>
    <t>Immanuel Christian Elementary School</t>
  </si>
  <si>
    <t>6491</t>
  </si>
  <si>
    <t>Immanuel Christian Secondary School</t>
  </si>
  <si>
    <t>6444</t>
  </si>
  <si>
    <t>Lakeview Elementary School</t>
  </si>
  <si>
    <t>6497</t>
  </si>
  <si>
    <t>Lethbridge Christian School</t>
  </si>
  <si>
    <t>6446</t>
  </si>
  <si>
    <t>Lethbridge Collegiate Institute</t>
  </si>
  <si>
    <t>6453</t>
  </si>
  <si>
    <t>Lethbridge Regional Hospital School</t>
  </si>
  <si>
    <t>6457</t>
  </si>
  <si>
    <t>Mike Mountain Horse School</t>
  </si>
  <si>
    <t>6445</t>
  </si>
  <si>
    <t>Nicholas Sheran Elementary School</t>
  </si>
  <si>
    <t>6447</t>
  </si>
  <si>
    <t>Park Meadows School</t>
  </si>
  <si>
    <t>6456</t>
  </si>
  <si>
    <t>Pitawani School</t>
  </si>
  <si>
    <t>6450</t>
  </si>
  <si>
    <t>Senator Buchanan Elementary School</t>
  </si>
  <si>
    <t>2198</t>
  </si>
  <si>
    <t>Senator Joyce Fairbairn Middle School</t>
  </si>
  <si>
    <t>1380</t>
  </si>
  <si>
    <t>Stafford Ridge School</t>
  </si>
  <si>
    <t>6449</t>
  </si>
  <si>
    <t>Victoria Park High School</t>
  </si>
  <si>
    <t>6452</t>
  </si>
  <si>
    <t>6455</t>
  </si>
  <si>
    <t>Wilson Middle School</t>
  </si>
  <si>
    <t>6466</t>
  </si>
  <si>
    <t>Winston Churchill High School</t>
  </si>
  <si>
    <t>0047</t>
  </si>
  <si>
    <t>The Living Waters Catholic Separate School Division</t>
  </si>
  <si>
    <t>2237</t>
  </si>
  <si>
    <t>Across the Waters Outreach</t>
  </si>
  <si>
    <t>2170</t>
  </si>
  <si>
    <t>École St. Joseph School</t>
  </si>
  <si>
    <t>2171</t>
  </si>
  <si>
    <t>École St. Mary School</t>
  </si>
  <si>
    <t>1132</t>
  </si>
  <si>
    <t>Holy Redeemer Catholic Junior/Senior High School</t>
  </si>
  <si>
    <t>1585</t>
  </si>
  <si>
    <t>St. Francis of Assisi Catholic Academy</t>
  </si>
  <si>
    <t>1675</t>
  </si>
  <si>
    <t>St. Mary of the Lake</t>
  </si>
  <si>
    <t>2024</t>
  </si>
  <si>
    <t>Vanier Community Catholic School</t>
  </si>
  <si>
    <t>1135</t>
  </si>
  <si>
    <t>The Livingstone Range School Division</t>
  </si>
  <si>
    <t>6317</t>
  </si>
  <si>
    <t>A B Daley Community School</t>
  </si>
  <si>
    <t>6123</t>
  </si>
  <si>
    <t>Canyon Elementary School</t>
  </si>
  <si>
    <t>6320</t>
  </si>
  <si>
    <t>Clear Lake Colony School</t>
  </si>
  <si>
    <t>6106</t>
  </si>
  <si>
    <t>Crowsnest Consolidated High School</t>
  </si>
  <si>
    <t>6314</t>
  </si>
  <si>
    <t>Daly Creek Colony School</t>
  </si>
  <si>
    <t>6313</t>
  </si>
  <si>
    <t>Ewelme Colony School</t>
  </si>
  <si>
    <t>6306</t>
  </si>
  <si>
    <t>F. P. Walshe School</t>
  </si>
  <si>
    <t>6305</t>
  </si>
  <si>
    <t>Granum Schools</t>
  </si>
  <si>
    <t>0430</t>
  </si>
  <si>
    <t>Greenwood Colony School</t>
  </si>
  <si>
    <t>6105</t>
  </si>
  <si>
    <t>Horace Allen School</t>
  </si>
  <si>
    <t>6102</t>
  </si>
  <si>
    <t>Isabelle Sellon School</t>
  </si>
  <si>
    <t>6310</t>
  </si>
  <si>
    <t>J. T. Foster School</t>
  </si>
  <si>
    <t>2137</t>
  </si>
  <si>
    <t>Jumbo Valley Hutterite Colony School</t>
  </si>
  <si>
    <t>6319</t>
  </si>
  <si>
    <t>Little Bow Colony School</t>
  </si>
  <si>
    <t>0534</t>
  </si>
  <si>
    <t>Livingstone Colony School</t>
  </si>
  <si>
    <t>1258</t>
  </si>
  <si>
    <t>Livingstone Range Outreach - North</t>
  </si>
  <si>
    <t>1996</t>
  </si>
  <si>
    <t>Livingstone Range School Division Virtual School</t>
  </si>
  <si>
    <t>1067</t>
  </si>
  <si>
    <t>Livingstone Range Summer School</t>
  </si>
  <si>
    <t>6121</t>
  </si>
  <si>
    <t>Livingstone School</t>
  </si>
  <si>
    <t>6122</t>
  </si>
  <si>
    <t>Matthew Halton High School</t>
  </si>
  <si>
    <t>1076</t>
  </si>
  <si>
    <t>MHHS Gateway School</t>
  </si>
  <si>
    <t>1730</t>
  </si>
  <si>
    <t>Outreach West</t>
  </si>
  <si>
    <t>6316</t>
  </si>
  <si>
    <t>Parkland Colony School</t>
  </si>
  <si>
    <t>6125</t>
  </si>
  <si>
    <t>Pincher Creek Sunset Colony</t>
  </si>
  <si>
    <t>6126</t>
  </si>
  <si>
    <t>Spring Point Colony School</t>
  </si>
  <si>
    <t>6311</t>
  </si>
  <si>
    <t>Stavely Elementary School</t>
  </si>
  <si>
    <t>6315</t>
  </si>
  <si>
    <t>Thompson Colony School</t>
  </si>
  <si>
    <t>6308</t>
  </si>
  <si>
    <t>W. A. Day Elementary School</t>
  </si>
  <si>
    <t>1445</t>
  </si>
  <si>
    <t>Walshe Crossroads Campus</t>
  </si>
  <si>
    <t>6124</t>
  </si>
  <si>
    <t>Waterton New Yarrow Colony School</t>
  </si>
  <si>
    <t>6321</t>
  </si>
  <si>
    <t>West Meadow Elementary School</t>
  </si>
  <si>
    <t>6322</t>
  </si>
  <si>
    <t>Willow Creek Colony School</t>
  </si>
  <si>
    <t>6302</t>
  </si>
  <si>
    <t>Willow Creek Composite High School</t>
  </si>
  <si>
    <t>4501</t>
  </si>
  <si>
    <t>The Medicine Hat Roman Catholic Separate School Division</t>
  </si>
  <si>
    <t>2197</t>
  </si>
  <si>
    <t>École St. John Paul II School</t>
  </si>
  <si>
    <t>6870</t>
  </si>
  <si>
    <t>Monsignor McCoy High School</t>
  </si>
  <si>
    <t>6877</t>
  </si>
  <si>
    <t>1229</t>
  </si>
  <si>
    <t>Notre Dame Academy</t>
  </si>
  <si>
    <t>6871</t>
  </si>
  <si>
    <t>St. Francis Xavier School</t>
  </si>
  <si>
    <t>2391</t>
  </si>
  <si>
    <t>St. Joseph’s Education Centre</t>
  </si>
  <si>
    <t>6872</t>
  </si>
  <si>
    <t>St. Louis School</t>
  </si>
  <si>
    <t>6873</t>
  </si>
  <si>
    <t>6874</t>
  </si>
  <si>
    <t>6875</t>
  </si>
  <si>
    <t>St. Patrick's School</t>
  </si>
  <si>
    <t>3050</t>
  </si>
  <si>
    <t>The Medicine Hat School Division</t>
  </si>
  <si>
    <t>6841</t>
  </si>
  <si>
    <t>Alexandra Middle School</t>
  </si>
  <si>
    <t>1732</t>
  </si>
  <si>
    <t>Central High School</t>
  </si>
  <si>
    <t>2242</t>
  </si>
  <si>
    <t>Community Early Learning Program</t>
  </si>
  <si>
    <t>6843</t>
  </si>
  <si>
    <t>6844</t>
  </si>
  <si>
    <t>6845</t>
  </si>
  <si>
    <t>2142</t>
  </si>
  <si>
    <t>Dr. Ken Sauer School</t>
  </si>
  <si>
    <t>1728</t>
  </si>
  <si>
    <t>Dr. Roy Wilson Learning Centre</t>
  </si>
  <si>
    <t>6848</t>
  </si>
  <si>
    <t>Elm Street School</t>
  </si>
  <si>
    <t>6854</t>
  </si>
  <si>
    <t>George Davison Elementary School</t>
  </si>
  <si>
    <t>6849</t>
  </si>
  <si>
    <t>Herald School</t>
  </si>
  <si>
    <t>6896</t>
  </si>
  <si>
    <t>Medicine Hat Christian School</t>
  </si>
  <si>
    <t>6850</t>
  </si>
  <si>
    <t>Medicine Hat High School</t>
  </si>
  <si>
    <t>1648</t>
  </si>
  <si>
    <t>Medicine Hat School District No.76 Summer School</t>
  </si>
  <si>
    <t>6864</t>
  </si>
  <si>
    <t>PAS</t>
  </si>
  <si>
    <t>1239</t>
  </si>
  <si>
    <t>6852</t>
  </si>
  <si>
    <t>River Heights Elementary</t>
  </si>
  <si>
    <t>6847</t>
  </si>
  <si>
    <t>Ross Glen School</t>
  </si>
  <si>
    <t>6858</t>
  </si>
  <si>
    <t>Southview Community School</t>
  </si>
  <si>
    <t>2389</t>
  </si>
  <si>
    <t>The Hub: Online Community School</t>
  </si>
  <si>
    <t>6856</t>
  </si>
  <si>
    <t>6857</t>
  </si>
  <si>
    <t>Webster Niblock School</t>
  </si>
  <si>
    <t>1237</t>
  </si>
  <si>
    <t>Young Moms' School</t>
  </si>
  <si>
    <t>The Northern Gateway School Division</t>
  </si>
  <si>
    <t>2103</t>
  </si>
  <si>
    <t>Darwell School</t>
  </si>
  <si>
    <t>2113</t>
  </si>
  <si>
    <t>Elmer Elson Elementary School</t>
  </si>
  <si>
    <t>1202</t>
  </si>
  <si>
    <t>Fox Creek School</t>
  </si>
  <si>
    <t>1389</t>
  </si>
  <si>
    <t>Gateway Academy Fox Creek</t>
  </si>
  <si>
    <t>1551</t>
  </si>
  <si>
    <t>Gateway Academy Onoway</t>
  </si>
  <si>
    <t>1157</t>
  </si>
  <si>
    <t>Gateway Academy Valleyview</t>
  </si>
  <si>
    <t>1552</t>
  </si>
  <si>
    <t>Gateway Academy Whitecourt</t>
  </si>
  <si>
    <t>2114</t>
  </si>
  <si>
    <t>Grasmere School</t>
  </si>
  <si>
    <t>1207</t>
  </si>
  <si>
    <t>Harry Gray Elementary School</t>
  </si>
  <si>
    <t>1206</t>
  </si>
  <si>
    <t>Hillside Junior Senior High School</t>
  </si>
  <si>
    <t>2108</t>
  </si>
  <si>
    <t>Hilltop High School</t>
  </si>
  <si>
    <t>1960</t>
  </si>
  <si>
    <t>Homeland Colony School</t>
  </si>
  <si>
    <t>2104</t>
  </si>
  <si>
    <t>Mayerthorpe Junior Senior High School</t>
  </si>
  <si>
    <t>2110</t>
  </si>
  <si>
    <t>Onoway Elementary School</t>
  </si>
  <si>
    <t>2105</t>
  </si>
  <si>
    <t>Onoway Junior Senior High School</t>
  </si>
  <si>
    <t>1208</t>
  </si>
  <si>
    <t>Oscar Adolphson Primary School</t>
  </si>
  <si>
    <t>2112</t>
  </si>
  <si>
    <t>Pat Hardy Primary School</t>
  </si>
  <si>
    <t>2115</t>
  </si>
  <si>
    <t>Percy Baxter Middle School</t>
  </si>
  <si>
    <t>2106</t>
  </si>
  <si>
    <t>Rich Valley School</t>
  </si>
  <si>
    <t>2135</t>
  </si>
  <si>
    <t>Rochfort Bridge Colony School</t>
  </si>
  <si>
    <t>2107</t>
  </si>
  <si>
    <t>Sangudo Community School</t>
  </si>
  <si>
    <t>1211</t>
  </si>
  <si>
    <t>Twilight Colony School</t>
  </si>
  <si>
    <t>1210</t>
  </si>
  <si>
    <t>Valleyview Ranches Colony School</t>
  </si>
  <si>
    <t>2109</t>
  </si>
  <si>
    <t>Whitecourt Central Elementary School</t>
  </si>
  <si>
    <t>1245</t>
  </si>
  <si>
    <t>The Northern Lights School Division</t>
  </si>
  <si>
    <t>2901</t>
  </si>
  <si>
    <t>Ardmore School</t>
  </si>
  <si>
    <t>1545</t>
  </si>
  <si>
    <t>Art Smith Aviation Academy</t>
  </si>
  <si>
    <t>1800</t>
  </si>
  <si>
    <t>Aurora Middle School</t>
  </si>
  <si>
    <t>2950</t>
  </si>
  <si>
    <t>Bonnyville Centralized High School</t>
  </si>
  <si>
    <t>2720</t>
  </si>
  <si>
    <t>Bonnyville Outreach</t>
  </si>
  <si>
    <t>2701</t>
  </si>
  <si>
    <t>Caslan School</t>
  </si>
  <si>
    <t>2902</t>
  </si>
  <si>
    <t>Cold Lake Elementary School</t>
  </si>
  <si>
    <t>2906</t>
  </si>
  <si>
    <t>Cold Lake High School</t>
  </si>
  <si>
    <t>2909</t>
  </si>
  <si>
    <t>Cold Lake Junior High School</t>
  </si>
  <si>
    <t>2726</t>
  </si>
  <si>
    <t>Cold Lake Outreach</t>
  </si>
  <si>
    <t>1242</t>
  </si>
  <si>
    <t>Crossroads Outreach School</t>
  </si>
  <si>
    <t>2903</t>
  </si>
  <si>
    <t>Duclos School</t>
  </si>
  <si>
    <t>2706</t>
  </si>
  <si>
    <t>Ecole Plamondon School</t>
  </si>
  <si>
    <t>1568</t>
  </si>
  <si>
    <t>Fishing Lake Outreach Program</t>
  </si>
  <si>
    <t>2905</t>
  </si>
  <si>
    <t>Glendon School</t>
  </si>
  <si>
    <t>2911</t>
  </si>
  <si>
    <t>H E Bourgoin Middle School</t>
  </si>
  <si>
    <t>2908</t>
  </si>
  <si>
    <t>Iron River School</t>
  </si>
  <si>
    <t>2702</t>
  </si>
  <si>
    <t>J A Williams High School</t>
  </si>
  <si>
    <t>1443</t>
  </si>
  <si>
    <t>Journeys Learning Academy</t>
  </si>
  <si>
    <t>2717</t>
  </si>
  <si>
    <t>Kikino Elementary School</t>
  </si>
  <si>
    <t>2719</t>
  </si>
  <si>
    <t>Lac La Biche Outreach</t>
  </si>
  <si>
    <t>2386</t>
  </si>
  <si>
    <t>Learning Together Anywhere School</t>
  </si>
  <si>
    <t>2912</t>
  </si>
  <si>
    <t>Nelson Heights Middle School</t>
  </si>
  <si>
    <t>2907</t>
  </si>
  <si>
    <t>North Star Elementary School</t>
  </si>
  <si>
    <t>1738</t>
  </si>
  <si>
    <t>Pine Meadow Hutterite School</t>
  </si>
  <si>
    <t>2704</t>
  </si>
  <si>
    <t>Vera M. Welsh Elementary School</t>
  </si>
  <si>
    <t>2708</t>
  </si>
  <si>
    <t>Wandering River School</t>
  </si>
  <si>
    <t>2716</t>
  </si>
  <si>
    <t>Youth Assessment Centre</t>
  </si>
  <si>
    <t>1280</t>
  </si>
  <si>
    <t>The Northland School Division</t>
  </si>
  <si>
    <t>1801</t>
  </si>
  <si>
    <t>Anzac School</t>
  </si>
  <si>
    <t>1544</t>
  </si>
  <si>
    <t>Bill Woodward School</t>
  </si>
  <si>
    <t>1833</t>
  </si>
  <si>
    <t>Bishop Routhier School</t>
  </si>
  <si>
    <t>1804</t>
  </si>
  <si>
    <t>Calling Lake School</t>
  </si>
  <si>
    <t>1805</t>
  </si>
  <si>
    <t>Chipewyan Lake School</t>
  </si>
  <si>
    <t>1806</t>
  </si>
  <si>
    <t>Conklin Community School</t>
  </si>
  <si>
    <t>1822</t>
  </si>
  <si>
    <t>Dr Mary Jackson School</t>
  </si>
  <si>
    <t>1808</t>
  </si>
  <si>
    <t>Elizabeth Community School</t>
  </si>
  <si>
    <t>1820</t>
  </si>
  <si>
    <t>Father R Perin School</t>
  </si>
  <si>
    <t>1812</t>
  </si>
  <si>
    <t>Fort McKay School</t>
  </si>
  <si>
    <t>1817</t>
  </si>
  <si>
    <t>Gift Lake School</t>
  </si>
  <si>
    <t>1818</t>
  </si>
  <si>
    <t>Grouard Northland School</t>
  </si>
  <si>
    <t>1379</t>
  </si>
  <si>
    <t>1809</t>
  </si>
  <si>
    <t>J F Dion School</t>
  </si>
  <si>
    <t>1543</t>
  </si>
  <si>
    <t>Mistassiniy Outreach Program</t>
  </si>
  <si>
    <t>1807</t>
  </si>
  <si>
    <t>Mistassiniy School</t>
  </si>
  <si>
    <t>2381</t>
  </si>
  <si>
    <t>Northland Online School</t>
  </si>
  <si>
    <t>1827</t>
  </si>
  <si>
    <t>Paddle Prairie School</t>
  </si>
  <si>
    <t>1834</t>
  </si>
  <si>
    <t>St. Theresa School</t>
  </si>
  <si>
    <t>1830</t>
  </si>
  <si>
    <t>Susa Creek School</t>
  </si>
  <si>
    <t>The Northwest Francophone Education Region</t>
  </si>
  <si>
    <t>0434</t>
  </si>
  <si>
    <t>1550</t>
  </si>
  <si>
    <t>École Héritage</t>
  </si>
  <si>
    <t>0367</t>
  </si>
  <si>
    <t>2255</t>
  </si>
  <si>
    <t>The Palliser School Division</t>
  </si>
  <si>
    <t>1472</t>
  </si>
  <si>
    <t>Albion Ridge Colony School</t>
  </si>
  <si>
    <t>6420</t>
  </si>
  <si>
    <t>Allenby Colony</t>
  </si>
  <si>
    <t>1419</t>
  </si>
  <si>
    <t>Arrowwood Colony School</t>
  </si>
  <si>
    <t>5401</t>
  </si>
  <si>
    <t>Arrowwood Community School</t>
  </si>
  <si>
    <t>1423</t>
  </si>
  <si>
    <t>Barons School</t>
  </si>
  <si>
    <t>5492</t>
  </si>
  <si>
    <t>Brant Christian School</t>
  </si>
  <si>
    <t>6390</t>
  </si>
  <si>
    <t>Brant Colony School</t>
  </si>
  <si>
    <t>9978</t>
  </si>
  <si>
    <t>Calgary Christian High School</t>
  </si>
  <si>
    <t>9903</t>
  </si>
  <si>
    <t>Calgary Christian School</t>
  </si>
  <si>
    <t>9969</t>
  </si>
  <si>
    <t>Calgary Islamic School, Akram Jomaa Campus</t>
  </si>
  <si>
    <t>1722</t>
  </si>
  <si>
    <t>Calgary Islamic School, Omar Bin Al-Khattab Campus</t>
  </si>
  <si>
    <t>1538</t>
  </si>
  <si>
    <t xml:space="preserve">Carmangay School </t>
  </si>
  <si>
    <t>5404</t>
  </si>
  <si>
    <t>Champion School</t>
  </si>
  <si>
    <t>6417</t>
  </si>
  <si>
    <t>Chin Lakes Colony School</t>
  </si>
  <si>
    <t>6406</t>
  </si>
  <si>
    <t>Coalhurst Elementary School</t>
  </si>
  <si>
    <t>6405</t>
  </si>
  <si>
    <t>Coalhurst High School</t>
  </si>
  <si>
    <t>5410</t>
  </si>
  <si>
    <t>County Central High School</t>
  </si>
  <si>
    <t>6412</t>
  </si>
  <si>
    <t>Dorothy Dalgliesh School</t>
  </si>
  <si>
    <t>6421</t>
  </si>
  <si>
    <t>Gold Ridge Colony School</t>
  </si>
  <si>
    <t>9906</t>
  </si>
  <si>
    <t>Heritage Christian Academy</t>
  </si>
  <si>
    <t>6418</t>
  </si>
  <si>
    <t>Hofmann Colony School</t>
  </si>
  <si>
    <t>2164</t>
  </si>
  <si>
    <t>Horizon Leadership Academy</t>
  </si>
  <si>
    <t>6409</t>
  </si>
  <si>
    <t>Huntsville School</t>
  </si>
  <si>
    <t>6404</t>
  </si>
  <si>
    <t>Jennie Emery Elementary School</t>
  </si>
  <si>
    <t>6403</t>
  </si>
  <si>
    <t>John Davidson School Program</t>
  </si>
  <si>
    <t>6401</t>
  </si>
  <si>
    <t>Kate Andrews High School</t>
  </si>
  <si>
    <t>5436</t>
  </si>
  <si>
    <t>Keho Lake Colony School</t>
  </si>
  <si>
    <t>0030</t>
  </si>
  <si>
    <t>Master's Academy</t>
  </si>
  <si>
    <t>1562</t>
  </si>
  <si>
    <t>Master's College</t>
  </si>
  <si>
    <t>9936</t>
  </si>
  <si>
    <t>Menno Simons Christian School</t>
  </si>
  <si>
    <t>5416</t>
  </si>
  <si>
    <t>Mialta Colony School</t>
  </si>
  <si>
    <t>5406</t>
  </si>
  <si>
    <t>Milo Community School</t>
  </si>
  <si>
    <t>2410</t>
  </si>
  <si>
    <t>National Sport School</t>
  </si>
  <si>
    <t>5412</t>
  </si>
  <si>
    <t>New Dale Colony School</t>
  </si>
  <si>
    <t>6410</t>
  </si>
  <si>
    <t>Noble Central School</t>
  </si>
  <si>
    <t>1772</t>
  </si>
  <si>
    <t>Palliser Beyond Borders</t>
  </si>
  <si>
    <t>2000</t>
  </si>
  <si>
    <t>Palliser Beyond Borders at Calgary</t>
  </si>
  <si>
    <t>0340</t>
  </si>
  <si>
    <t>Palliser Beyond Borders at Coaldale</t>
  </si>
  <si>
    <t>1448</t>
  </si>
  <si>
    <t>Palliser Beyond Borders at Picture Butte</t>
  </si>
  <si>
    <t>0585</t>
  </si>
  <si>
    <t>Palliser Beyond Borders at Vulcan</t>
  </si>
  <si>
    <t>6427</t>
  </si>
  <si>
    <t>Palliser Home Education School</t>
  </si>
  <si>
    <t>6411</t>
  </si>
  <si>
    <t>Picture Butte High School</t>
  </si>
  <si>
    <t>6402</t>
  </si>
  <si>
    <t>R. I. Baker Middle School</t>
  </si>
  <si>
    <t>5413</t>
  </si>
  <si>
    <t>Riverbend Colony School</t>
  </si>
  <si>
    <t>6419</t>
  </si>
  <si>
    <t>Rock Lake Colony School</t>
  </si>
  <si>
    <t>1541</t>
  </si>
  <si>
    <t>Shadow Ranch Colony School</t>
  </si>
  <si>
    <t>1720</t>
  </si>
  <si>
    <t>Skylight Colony School</t>
  </si>
  <si>
    <t>5490</t>
  </si>
  <si>
    <t>Springridge Colony School</t>
  </si>
  <si>
    <t>6407</t>
  </si>
  <si>
    <t>9973</t>
  </si>
  <si>
    <t>Trinity Christian School</t>
  </si>
  <si>
    <t>5411</t>
  </si>
  <si>
    <t>Vulcan Prairieview Elementary School</t>
  </si>
  <si>
    <t>6423</t>
  </si>
  <si>
    <t>White Lake Colony School</t>
  </si>
  <si>
    <t>5417</t>
  </si>
  <si>
    <t>Wild Rose Colony School</t>
  </si>
  <si>
    <t>2305</t>
  </si>
  <si>
    <t>The Parkland School Division</t>
  </si>
  <si>
    <t>1810</t>
  </si>
  <si>
    <t>Athabasca Delta Community School</t>
  </si>
  <si>
    <t>2227</t>
  </si>
  <si>
    <t>Blueberry School</t>
  </si>
  <si>
    <t>2219</t>
  </si>
  <si>
    <t>Brookwood School</t>
  </si>
  <si>
    <t>2235</t>
  </si>
  <si>
    <t>Connections for Learning</t>
  </si>
  <si>
    <t>2181</t>
  </si>
  <si>
    <t>Copperhaven School</t>
  </si>
  <si>
    <t>2204</t>
  </si>
  <si>
    <t>Duffield School</t>
  </si>
  <si>
    <t>2228</t>
  </si>
  <si>
    <t>Ecole Broxton Park School</t>
  </si>
  <si>
    <t>2220</t>
  </si>
  <si>
    <t>Ecole Meridian Heights School</t>
  </si>
  <si>
    <t>2205</t>
  </si>
  <si>
    <t>Entwistle School</t>
  </si>
  <si>
    <t>2225</t>
  </si>
  <si>
    <t>Forest Green School</t>
  </si>
  <si>
    <t>2229</t>
  </si>
  <si>
    <t>Graminia School</t>
  </si>
  <si>
    <t>1267</t>
  </si>
  <si>
    <t>Greystone Centennial Middle School</t>
  </si>
  <si>
    <t>2211</t>
  </si>
  <si>
    <t>High Park School</t>
  </si>
  <si>
    <t>2209</t>
  </si>
  <si>
    <t>Memorial Composite High School</t>
  </si>
  <si>
    <t>2234</t>
  </si>
  <si>
    <t>Memorial Composite High School Outreach</t>
  </si>
  <si>
    <t>2224</t>
  </si>
  <si>
    <t>Millgrove School</t>
  </si>
  <si>
    <t>2226</t>
  </si>
  <si>
    <t>Muir Lake School</t>
  </si>
  <si>
    <t>2217</t>
  </si>
  <si>
    <t>Parkland Village School</t>
  </si>
  <si>
    <t>1957</t>
  </si>
  <si>
    <t>Prescott Learning Centre</t>
  </si>
  <si>
    <t>2208</t>
  </si>
  <si>
    <t>Spruce Grove Composite High School</t>
  </si>
  <si>
    <t>2233</t>
  </si>
  <si>
    <t>Spruce Grove Composite High School Outreach</t>
  </si>
  <si>
    <t>2210</t>
  </si>
  <si>
    <t>2214</t>
  </si>
  <si>
    <t>Tomahawk School</t>
  </si>
  <si>
    <t>2212</t>
  </si>
  <si>
    <t>Wabamun School</t>
  </si>
  <si>
    <t>2221</t>
  </si>
  <si>
    <t>Woodhaven Middle School</t>
  </si>
  <si>
    <t>1070</t>
  </si>
  <si>
    <t>The Peace River School Division</t>
  </si>
  <si>
    <t>1985</t>
  </si>
  <si>
    <t>Bear Canyon Hutterite Colony</t>
  </si>
  <si>
    <t>1051</t>
  </si>
  <si>
    <t>Breaking Point Colony School</t>
  </si>
  <si>
    <t>Cleardale Colony School</t>
  </si>
  <si>
    <t>1504</t>
  </si>
  <si>
    <t>Dixonville School</t>
  </si>
  <si>
    <t>1404</t>
  </si>
  <si>
    <t>E E Oliver Elementary School</t>
  </si>
  <si>
    <t>1542</t>
  </si>
  <si>
    <t>Fairview and Area Learning Store</t>
  </si>
  <si>
    <t>1402</t>
  </si>
  <si>
    <t>Fairview High School</t>
  </si>
  <si>
    <t>1505</t>
  </si>
  <si>
    <t>Grimshaw Public School</t>
  </si>
  <si>
    <t>1405</t>
  </si>
  <si>
    <t>Hines Creek Composite School</t>
  </si>
  <si>
    <t>1501</t>
  </si>
  <si>
    <t>Lloyd Garrison School</t>
  </si>
  <si>
    <t>1508</t>
  </si>
  <si>
    <t>Manning Elementary School</t>
  </si>
  <si>
    <t>1825</t>
  </si>
  <si>
    <t>Menno-Simons Community School</t>
  </si>
  <si>
    <t>1510</t>
  </si>
  <si>
    <t>Nampa Public School</t>
  </si>
  <si>
    <t>1507</t>
  </si>
  <si>
    <t>Paul Rowe Junior Senior High School</t>
  </si>
  <si>
    <t>2337</t>
  </si>
  <si>
    <t xml:space="preserve">Peace Home Learning Connection </t>
  </si>
  <si>
    <t>1376</t>
  </si>
  <si>
    <t>Peace Regional Outreach Campus</t>
  </si>
  <si>
    <t>1511</t>
  </si>
  <si>
    <t>Peace River High School</t>
  </si>
  <si>
    <t>0339</t>
  </si>
  <si>
    <t>Red Earth Creek School</t>
  </si>
  <si>
    <t>1514</t>
  </si>
  <si>
    <t>Springfield Elementary School</t>
  </si>
  <si>
    <t>1512</t>
  </si>
  <si>
    <t>T A Norris Middle School</t>
  </si>
  <si>
    <t>1407</t>
  </si>
  <si>
    <t>Worsley Central School</t>
  </si>
  <si>
    <t>0177</t>
  </si>
  <si>
    <t>The Peace Wapiti School Division</t>
  </si>
  <si>
    <t>2256</t>
  </si>
  <si>
    <t>Bay Tree Colony School</t>
  </si>
  <si>
    <t>1102</t>
  </si>
  <si>
    <t>Beaverlodge Elementary School</t>
  </si>
  <si>
    <t>1101</t>
  </si>
  <si>
    <t>Beaverlodge Regional High School</t>
  </si>
  <si>
    <t>1103</t>
  </si>
  <si>
    <t>Bezanson School</t>
  </si>
  <si>
    <t>1311</t>
  </si>
  <si>
    <t>Birch Hills Hutterite School</t>
  </si>
  <si>
    <t>1468</t>
  </si>
  <si>
    <t>Birch Meadows Colony School</t>
  </si>
  <si>
    <t>1302</t>
  </si>
  <si>
    <t>Bonanza School</t>
  </si>
  <si>
    <t>1424</t>
  </si>
  <si>
    <t>Clairmont Community School</t>
  </si>
  <si>
    <t>0591</t>
  </si>
  <si>
    <t>Codesa Hutterite Colony School</t>
  </si>
  <si>
    <t>1209</t>
  </si>
  <si>
    <t>Crooked Creek Colony School</t>
  </si>
  <si>
    <t>1632</t>
  </si>
  <si>
    <t>Doe River Colony School</t>
  </si>
  <si>
    <t>1303</t>
  </si>
  <si>
    <t>Eaglesham School</t>
  </si>
  <si>
    <t>1104</t>
  </si>
  <si>
    <t>Elmworth School</t>
  </si>
  <si>
    <t>1116</t>
  </si>
  <si>
    <t>Grandview Colony School</t>
  </si>
  <si>
    <t>1105</t>
  </si>
  <si>
    <t>Harry Balfour School</t>
  </si>
  <si>
    <t>1111</t>
  </si>
  <si>
    <t>Helen E. Taylor School</t>
  </si>
  <si>
    <t>1055</t>
  </si>
  <si>
    <t>Horizon Group Care</t>
  </si>
  <si>
    <t>1115</t>
  </si>
  <si>
    <t>Hythe Regional School</t>
  </si>
  <si>
    <t>1107</t>
  </si>
  <si>
    <t>La Glace School</t>
  </si>
  <si>
    <t>0319</t>
  </si>
  <si>
    <t>Peace Academy of Virtual Education</t>
  </si>
  <si>
    <t>0590</t>
  </si>
  <si>
    <t>Peace Wapiti Academy</t>
  </si>
  <si>
    <t>2239</t>
  </si>
  <si>
    <t>Peace Wapiti Enterprise Centre</t>
  </si>
  <si>
    <t>1137</t>
  </si>
  <si>
    <t>Peace Wapiti Outreach Program</t>
  </si>
  <si>
    <t>Penson School</t>
  </si>
  <si>
    <t>1203</t>
  </si>
  <si>
    <t>Ridgevalley School</t>
  </si>
  <si>
    <t>1112</t>
  </si>
  <si>
    <t>Robert W. Zahara Public School</t>
  </si>
  <si>
    <t>1304</t>
  </si>
  <si>
    <t>Rycroft School</t>
  </si>
  <si>
    <t>1305</t>
  </si>
  <si>
    <t>Savanna School</t>
  </si>
  <si>
    <t>1108</t>
  </si>
  <si>
    <t>Sexsmith Secondary School</t>
  </si>
  <si>
    <t>Shady Lane Colony School</t>
  </si>
  <si>
    <t>2126</t>
  </si>
  <si>
    <t>Silver Valley Colony School</t>
  </si>
  <si>
    <t>1306</t>
  </si>
  <si>
    <t>Spirit River Regional Academy</t>
  </si>
  <si>
    <t>1109</t>
  </si>
  <si>
    <t>Teepee Creek School</t>
  </si>
  <si>
    <t>1113</t>
  </si>
  <si>
    <t>Wembley Elementary School</t>
  </si>
  <si>
    <t>2078</t>
  </si>
  <si>
    <t>Whispering Ridge Community School</t>
  </si>
  <si>
    <t>1175</t>
  </si>
  <si>
    <t>The Pembina Hills School Division</t>
  </si>
  <si>
    <t>0099</t>
  </si>
  <si>
    <t>Alberta Distance Learning Centre</t>
  </si>
  <si>
    <t>2301</t>
  </si>
  <si>
    <t>Barrhead Composite High School</t>
  </si>
  <si>
    <t>2303</t>
  </si>
  <si>
    <t>Barrhead Elementary School</t>
  </si>
  <si>
    <t>2316</t>
  </si>
  <si>
    <t>Barrhead Outreach</t>
  </si>
  <si>
    <t>2401</t>
  </si>
  <si>
    <t>Busby School</t>
  </si>
  <si>
    <t>Dunstable School</t>
  </si>
  <si>
    <t>2402</t>
  </si>
  <si>
    <t>Eleanor Hall School</t>
  </si>
  <si>
    <t>2306</t>
  </si>
  <si>
    <t>Fort Assiniboine School</t>
  </si>
  <si>
    <t>2311</t>
  </si>
  <si>
    <t>Neerlandia Public Christian School</t>
  </si>
  <si>
    <t>2403</t>
  </si>
  <si>
    <t>Pembina North Community School</t>
  </si>
  <si>
    <t>2415</t>
  </si>
  <si>
    <t>Pibroch Colony School</t>
  </si>
  <si>
    <t>2411</t>
  </si>
  <si>
    <t>Richard F Staples Secondary School</t>
  </si>
  <si>
    <t>2416</t>
  </si>
  <si>
    <t>Sunny Bend Colony School</t>
  </si>
  <si>
    <t>2335</t>
  </si>
  <si>
    <t>Swan Hills School</t>
  </si>
  <si>
    <t>2317</t>
  </si>
  <si>
    <t>Vista Virtual School</t>
  </si>
  <si>
    <t>1682</t>
  </si>
  <si>
    <t>Vista Virtual School North</t>
  </si>
  <si>
    <t>1558</t>
  </si>
  <si>
    <t>Vista Virtual School South</t>
  </si>
  <si>
    <t>2413</t>
  </si>
  <si>
    <t>Westlock Elementary School</t>
  </si>
  <si>
    <t>0019</t>
  </si>
  <si>
    <t>Westlock Outreach</t>
  </si>
  <si>
    <t>The Prairie Land School Division</t>
  </si>
  <si>
    <t>2374</t>
  </si>
  <si>
    <t>Al-Amal Academy</t>
  </si>
  <si>
    <t>4801</t>
  </si>
  <si>
    <t>Altario School</t>
  </si>
  <si>
    <t>5829</t>
  </si>
  <si>
    <t>Berry Creek Colony School</t>
  </si>
  <si>
    <t>5802</t>
  </si>
  <si>
    <t>Berry Creek Community School</t>
  </si>
  <si>
    <t>5712</t>
  </si>
  <si>
    <t>Blue Sky Colony School</t>
  </si>
  <si>
    <t>1421</t>
  </si>
  <si>
    <t>Cloverleaf Colony</t>
  </si>
  <si>
    <t>4802</t>
  </si>
  <si>
    <t>Consort School</t>
  </si>
  <si>
    <t>5711</t>
  </si>
  <si>
    <t>Craigmyle Colony School</t>
  </si>
  <si>
    <t>5702</t>
  </si>
  <si>
    <t>Delia School</t>
  </si>
  <si>
    <t>5828</t>
  </si>
  <si>
    <t>Handhills Colony School</t>
  </si>
  <si>
    <t>5491</t>
  </si>
  <si>
    <t>Hope Christian School</t>
  </si>
  <si>
    <t>5844</t>
  </si>
  <si>
    <t>J. C. Charyk Hanna School</t>
  </si>
  <si>
    <t>5705</t>
  </si>
  <si>
    <t>Morrin School</t>
  </si>
  <si>
    <t>0580</t>
  </si>
  <si>
    <t>Neu Muehl Colony School</t>
  </si>
  <si>
    <t>2373</t>
  </si>
  <si>
    <t>Prairie Land Online Academy</t>
  </si>
  <si>
    <t>0486</t>
  </si>
  <si>
    <t>Prairie Land Outreach School</t>
  </si>
  <si>
    <t>5709</t>
  </si>
  <si>
    <t>Starland Colony School</t>
  </si>
  <si>
    <t>5710</t>
  </si>
  <si>
    <t>Verdant Valley Colony</t>
  </si>
  <si>
    <t>4804</t>
  </si>
  <si>
    <t>Veteran Colony School</t>
  </si>
  <si>
    <t>4803</t>
  </si>
  <si>
    <t>Veteran School</t>
  </si>
  <si>
    <t>5827</t>
  </si>
  <si>
    <t>0195</t>
  </si>
  <si>
    <t>The Prairie Rose School Division</t>
  </si>
  <si>
    <t>5913</t>
  </si>
  <si>
    <t>Acadia Colony School</t>
  </si>
  <si>
    <t>2264</t>
  </si>
  <si>
    <t>Baker Colony School</t>
  </si>
  <si>
    <t>1021</t>
  </si>
  <si>
    <t>6903</t>
  </si>
  <si>
    <t>Bow Island Elementary School</t>
  </si>
  <si>
    <t>6904</t>
  </si>
  <si>
    <t>Burdett School</t>
  </si>
  <si>
    <t>5905</t>
  </si>
  <si>
    <t>Eagle Butte High School</t>
  </si>
  <si>
    <t>6907</t>
  </si>
  <si>
    <t>Foremost School</t>
  </si>
  <si>
    <t>6809</t>
  </si>
  <si>
    <t>Hutterian Brethren Church School of Elkwater</t>
  </si>
  <si>
    <t>2131</t>
  </si>
  <si>
    <t>Hutterian Brethren Church School of Murray Lake</t>
  </si>
  <si>
    <t>6803</t>
  </si>
  <si>
    <t>Irvine School</t>
  </si>
  <si>
    <t>6836</t>
  </si>
  <si>
    <t>Isabel F Cox School</t>
  </si>
  <si>
    <t>6810</t>
  </si>
  <si>
    <t>Jenner Colony School</t>
  </si>
  <si>
    <t>6804</t>
  </si>
  <si>
    <t>Jenner School</t>
  </si>
  <si>
    <t>6913</t>
  </si>
  <si>
    <t>Kingslake Colony School</t>
  </si>
  <si>
    <t>6837</t>
  </si>
  <si>
    <t>Margaret Wooding School</t>
  </si>
  <si>
    <t>6916</t>
  </si>
  <si>
    <t>Mayfield Hutterite Colony School</t>
  </si>
  <si>
    <t>2183</t>
  </si>
  <si>
    <t>Meridian Colony School</t>
  </si>
  <si>
    <t>5907</t>
  </si>
  <si>
    <t>New Brigden School</t>
  </si>
  <si>
    <t>5911</t>
  </si>
  <si>
    <t>Oyen Public School</t>
  </si>
  <si>
    <t>6835</t>
  </si>
  <si>
    <t>Parkside School</t>
  </si>
  <si>
    <t>6912</t>
  </si>
  <si>
    <t>Plainview Colony School</t>
  </si>
  <si>
    <t>6911</t>
  </si>
  <si>
    <t>Ponderosa Colony School</t>
  </si>
  <si>
    <t>2263</t>
  </si>
  <si>
    <t>Prairie Mennonite Alternative School</t>
  </si>
  <si>
    <t>6919</t>
  </si>
  <si>
    <t>Prairie Rose Regional Division Home Education</t>
  </si>
  <si>
    <t>5914</t>
  </si>
  <si>
    <t>Prairie View Colony School</t>
  </si>
  <si>
    <t>6891</t>
  </si>
  <si>
    <t>Ralston School</t>
  </si>
  <si>
    <t>1785</t>
  </si>
  <si>
    <t>Redcliff Mennonite Alternative Program</t>
  </si>
  <si>
    <t>6909</t>
  </si>
  <si>
    <t>Rosedale Colony School</t>
  </si>
  <si>
    <t>6812</t>
  </si>
  <si>
    <t>Roseglen Hutterian Church School</t>
  </si>
  <si>
    <t>2200</t>
  </si>
  <si>
    <t>6807</t>
  </si>
  <si>
    <t>Schuler School</t>
  </si>
  <si>
    <t>6902</t>
  </si>
  <si>
    <t>Senator Gershaw School</t>
  </si>
  <si>
    <t>6808</t>
  </si>
  <si>
    <t>Seven Persons School</t>
  </si>
  <si>
    <t>5902</t>
  </si>
  <si>
    <t>Shamrock Colony School</t>
  </si>
  <si>
    <t>0393</t>
  </si>
  <si>
    <t>Silver Sage Colony School</t>
  </si>
  <si>
    <t>5910</t>
  </si>
  <si>
    <t>South Central High School</t>
  </si>
  <si>
    <t>6918</t>
  </si>
  <si>
    <t>Starbrite Hutterite Colony School</t>
  </si>
  <si>
    <t>6915</t>
  </si>
  <si>
    <t>Sunrise Colony School</t>
  </si>
  <si>
    <t>5901</t>
  </si>
  <si>
    <t>Warren Peers School</t>
  </si>
  <si>
    <t>6910</t>
  </si>
  <si>
    <t>Winnifred Hutterite Colony</t>
  </si>
  <si>
    <t>The Red Deer Catholic Separate School Division</t>
  </si>
  <si>
    <t>4473</t>
  </si>
  <si>
    <t>Ecole Camille J Lerouge School</t>
  </si>
  <si>
    <t>4471</t>
  </si>
  <si>
    <t>Ecole Secondaire Notre Dame High School</t>
  </si>
  <si>
    <t>1782</t>
  </si>
  <si>
    <t>Ecole Secondaire Notre Dame Summer School</t>
  </si>
  <si>
    <t>1697</t>
  </si>
  <si>
    <t>Father Henri Voisin</t>
  </si>
  <si>
    <t>1497</t>
  </si>
  <si>
    <t>4472</t>
  </si>
  <si>
    <t>Maryview School</t>
  </si>
  <si>
    <t>0489</t>
  </si>
  <si>
    <t>Mother Teresa</t>
  </si>
  <si>
    <t>1369</t>
  </si>
  <si>
    <t>1781</t>
  </si>
  <si>
    <t>Red Deer Catholic Online Summer School</t>
  </si>
  <si>
    <t>1272</t>
  </si>
  <si>
    <t>St. Dominic High School</t>
  </si>
  <si>
    <t>4477</t>
  </si>
  <si>
    <t>St. Elizabeth Seton School</t>
  </si>
  <si>
    <t>1123</t>
  </si>
  <si>
    <t>2079</t>
  </si>
  <si>
    <t>St. Gregory The Great Catholic School</t>
  </si>
  <si>
    <t>1253</t>
  </si>
  <si>
    <t>St. John Paul II Catholic Outreach School</t>
  </si>
  <si>
    <t>1923</t>
  </si>
  <si>
    <t>St. Joseph High School</t>
  </si>
  <si>
    <t>2476</t>
  </si>
  <si>
    <t>St. Lorenzo Ruiz Middle School</t>
  </si>
  <si>
    <t>1124</t>
  </si>
  <si>
    <t>St. Marguerite Bourgeoys</t>
  </si>
  <si>
    <t>4475</t>
  </si>
  <si>
    <t>St. Martin De Porres School</t>
  </si>
  <si>
    <t>4170</t>
  </si>
  <si>
    <t>St. Matthews Catholic School</t>
  </si>
  <si>
    <t>4478</t>
  </si>
  <si>
    <t>St. Patricks Community School</t>
  </si>
  <si>
    <t>4480</t>
  </si>
  <si>
    <t>St. Teresa of Avila School</t>
  </si>
  <si>
    <t>4476</t>
  </si>
  <si>
    <t>3070</t>
  </si>
  <si>
    <t xml:space="preserve">The Red Deer School Division </t>
  </si>
  <si>
    <t>4436</t>
  </si>
  <si>
    <t>Annie L Gaetz School</t>
  </si>
  <si>
    <t>4447</t>
  </si>
  <si>
    <t>Aspen Heights Elementary School</t>
  </si>
  <si>
    <t>4464</t>
  </si>
  <si>
    <t>Aurora Treatment Centre</t>
  </si>
  <si>
    <t>4437</t>
  </si>
  <si>
    <t>Central Middle School</t>
  </si>
  <si>
    <t>2143</t>
  </si>
  <si>
    <t>Don Campbell Elementary School</t>
  </si>
  <si>
    <t>4439</t>
  </si>
  <si>
    <t>Eastview Middle School</t>
  </si>
  <si>
    <t>1783</t>
  </si>
  <si>
    <t>Ecole Barrie Wilson Elementary School</t>
  </si>
  <si>
    <t>1952</t>
  </si>
  <si>
    <t>Escuela Vista Grande</t>
  </si>
  <si>
    <t>4440</t>
  </si>
  <si>
    <t>4455</t>
  </si>
  <si>
    <t>G H Dawe Community School</t>
  </si>
  <si>
    <t>4491</t>
  </si>
  <si>
    <t>Gateway Christian School</t>
  </si>
  <si>
    <t>4442</t>
  </si>
  <si>
    <t>George Wilbert Smith School</t>
  </si>
  <si>
    <t>4463</t>
  </si>
  <si>
    <t>Glendale Sciences and Technology School</t>
  </si>
  <si>
    <t>4433</t>
  </si>
  <si>
    <t>Hunting Hills High School</t>
  </si>
  <si>
    <t>4443</t>
  </si>
  <si>
    <t>Joseph Welsh School</t>
  </si>
  <si>
    <t>4444</t>
  </si>
  <si>
    <t>Lindsay Thurber Comprehensive High School</t>
  </si>
  <si>
    <t>1063</t>
  </si>
  <si>
    <t>Mattie McCullough Elementary School</t>
  </si>
  <si>
    <t>4445</t>
  </si>
  <si>
    <t>Mountview School</t>
  </si>
  <si>
    <t>4458</t>
  </si>
  <si>
    <t>Normandeau School</t>
  </si>
  <si>
    <t>4465</t>
  </si>
  <si>
    <t>North Cottage High School</t>
  </si>
  <si>
    <t>4448</t>
  </si>
  <si>
    <t>Oriole Park School</t>
  </si>
  <si>
    <t>4469</t>
  </si>
  <si>
    <t>Oskayak Treatment Centre</t>
  </si>
  <si>
    <t>4435</t>
  </si>
  <si>
    <t>Outreach School Centre</t>
  </si>
  <si>
    <t>0024</t>
  </si>
  <si>
    <t>Quest High School</t>
  </si>
  <si>
    <t>4461</t>
  </si>
  <si>
    <t>Quest, Assessment</t>
  </si>
  <si>
    <t>4457</t>
  </si>
  <si>
    <t>Quest, Stabilization and Secure</t>
  </si>
  <si>
    <t>0574</t>
  </si>
  <si>
    <t>Red Deer Regional Hospital Education Program</t>
  </si>
  <si>
    <t>4432</t>
  </si>
  <si>
    <t>Red Deer School District Home Education</t>
  </si>
  <si>
    <t>1787</t>
  </si>
  <si>
    <t>School Within a College</t>
  </si>
  <si>
    <t>4452</t>
  </si>
  <si>
    <t>West Park Elementary School</t>
  </si>
  <si>
    <t>4454</t>
  </si>
  <si>
    <t>Westpark Middle School</t>
  </si>
  <si>
    <t>1190</t>
  </si>
  <si>
    <t>The Rocky View School Division</t>
  </si>
  <si>
    <t>5230</t>
  </si>
  <si>
    <t>A. E. Bowers Elementary School</t>
  </si>
  <si>
    <t>0404</t>
  </si>
  <si>
    <t>Airdrie Learning Connection</t>
  </si>
  <si>
    <t>5232</t>
  </si>
  <si>
    <t>Banded Peak School</t>
  </si>
  <si>
    <t>1030</t>
  </si>
  <si>
    <t>Bearspaw School</t>
  </si>
  <si>
    <t>5218</t>
  </si>
  <si>
    <t>Beiseker Colony School</t>
  </si>
  <si>
    <t>5205</t>
  </si>
  <si>
    <t>Beiseker Community School</t>
  </si>
  <si>
    <t>5228</t>
  </si>
  <si>
    <t>Bert Church High School</t>
  </si>
  <si>
    <t>0444</t>
  </si>
  <si>
    <t>Bow Valley High School</t>
  </si>
  <si>
    <t>1763</t>
  </si>
  <si>
    <t>C.W. Perry School</t>
  </si>
  <si>
    <t>5208</t>
  </si>
  <si>
    <t>Chestermere High School</t>
  </si>
  <si>
    <t>5204</t>
  </si>
  <si>
    <t>Chestermere Lake Middle School</t>
  </si>
  <si>
    <t>1284</t>
  </si>
  <si>
    <t>Chestermere Learning Connection</t>
  </si>
  <si>
    <t>1584</t>
  </si>
  <si>
    <t>Cochrane Christian Academy</t>
  </si>
  <si>
    <t>5209</t>
  </si>
  <si>
    <t>Cochrane High School</t>
  </si>
  <si>
    <t>5250</t>
  </si>
  <si>
    <t>Cochrane Learning Connection</t>
  </si>
  <si>
    <t>1977</t>
  </si>
  <si>
    <t>Coopers Crossing School</t>
  </si>
  <si>
    <t>5212</t>
  </si>
  <si>
    <t>Crossfield Elementary School</t>
  </si>
  <si>
    <t>2419</t>
  </si>
  <si>
    <t>Discovery Trails Online School</t>
  </si>
  <si>
    <t>1762</t>
  </si>
  <si>
    <t>East Lake School</t>
  </si>
  <si>
    <t>5202</t>
  </si>
  <si>
    <t>Ecole Airdrie Middle School</t>
  </si>
  <si>
    <t>5203</t>
  </si>
  <si>
    <t>Ecole Edwards Elementary School</t>
  </si>
  <si>
    <t>5216</t>
  </si>
  <si>
    <t>Elbow Valley Elementary School</t>
  </si>
  <si>
    <t>5224</t>
  </si>
  <si>
    <t>Elizabeth Barrett Elementary School</t>
  </si>
  <si>
    <t>5219</t>
  </si>
  <si>
    <t>Fairview Colony School</t>
  </si>
  <si>
    <t>2152</t>
  </si>
  <si>
    <t>Fireside School</t>
  </si>
  <si>
    <t>5201</t>
  </si>
  <si>
    <t>George McDougall High School</t>
  </si>
  <si>
    <t>5226</t>
  </si>
  <si>
    <t>Glenbow Elementary School</t>
  </si>
  <si>
    <t>1978</t>
  </si>
  <si>
    <t>H. Lorimer School</t>
  </si>
  <si>
    <t>1681</t>
  </si>
  <si>
    <t>Herons Crossing School</t>
  </si>
  <si>
    <t>5213</t>
  </si>
  <si>
    <t>Indus School</t>
  </si>
  <si>
    <t>5214</t>
  </si>
  <si>
    <t>Kathyrn School</t>
  </si>
  <si>
    <t>1117</t>
  </si>
  <si>
    <t>Langdon School</t>
  </si>
  <si>
    <t>5221</t>
  </si>
  <si>
    <t>Manachaban Middle School</t>
  </si>
  <si>
    <t>5229</t>
  </si>
  <si>
    <t>Meadowbrook School</t>
  </si>
  <si>
    <t>5231</t>
  </si>
  <si>
    <t>Mitford School</t>
  </si>
  <si>
    <t>5206</t>
  </si>
  <si>
    <t>Muriel Clayton Middle School</t>
  </si>
  <si>
    <t>2251</t>
  </si>
  <si>
    <t>Northcott Prairie School</t>
  </si>
  <si>
    <t>1342</t>
  </si>
  <si>
    <t>Nose Creek Elementary School</t>
  </si>
  <si>
    <t>1042</t>
  </si>
  <si>
    <t>Prairie Waters Elementary School</t>
  </si>
  <si>
    <t>5207</t>
  </si>
  <si>
    <t>R. J. Hawkey Elementary School</t>
  </si>
  <si>
    <t>1413</t>
  </si>
  <si>
    <t>Rainbow Creek Elementary School</t>
  </si>
  <si>
    <t>0336</t>
  </si>
  <si>
    <t>Ralph McCall School</t>
  </si>
  <si>
    <t>1998</t>
  </si>
  <si>
    <t>RancheView School</t>
  </si>
  <si>
    <t>1673</t>
  </si>
  <si>
    <t>Sarah Thompson School</t>
  </si>
  <si>
    <t>5223</t>
  </si>
  <si>
    <t>Springbank Community High School</t>
  </si>
  <si>
    <t>5215</t>
  </si>
  <si>
    <t>Springbank Middle School</t>
  </si>
  <si>
    <t>1735</t>
  </si>
  <si>
    <t>Summit Trails Online High School</t>
  </si>
  <si>
    <t>5220</t>
  </si>
  <si>
    <t>Tschetter Colony School</t>
  </si>
  <si>
    <t>5225</t>
  </si>
  <si>
    <t>W. G. Murdoch School</t>
  </si>
  <si>
    <t>1764</t>
  </si>
  <si>
    <t>W.H. Croxford High School</t>
  </si>
  <si>
    <t>5217</t>
  </si>
  <si>
    <t>2151</t>
  </si>
  <si>
    <t>Windsong Heights School</t>
  </si>
  <si>
    <t>0284</t>
  </si>
  <si>
    <t>The Southern Francophone Education Region</t>
  </si>
  <si>
    <t>1269</t>
  </si>
  <si>
    <t>1297</t>
  </si>
  <si>
    <t>9228</t>
  </si>
  <si>
    <t>1014</t>
  </si>
  <si>
    <t>2387</t>
  </si>
  <si>
    <t>École des Grands-Vents</t>
  </si>
  <si>
    <t>2149</t>
  </si>
  <si>
    <t>École du Nouveau-Monde</t>
  </si>
  <si>
    <t>1365</t>
  </si>
  <si>
    <t>École La Mosaïque</t>
  </si>
  <si>
    <t>2539</t>
  </si>
  <si>
    <t>1247</t>
  </si>
  <si>
    <t>0520</t>
  </si>
  <si>
    <t>1060</t>
  </si>
  <si>
    <t>1189</t>
  </si>
  <si>
    <t>1364</t>
  </si>
  <si>
    <t>1378</t>
  </si>
  <si>
    <t>8707</t>
  </si>
  <si>
    <t>7020</t>
  </si>
  <si>
    <t>The St. Albert School Division</t>
  </si>
  <si>
    <t>2556</t>
  </si>
  <si>
    <t>Bellerose Composite High School</t>
  </si>
  <si>
    <t>2560</t>
  </si>
  <si>
    <t>Bellerose Continuing Education</t>
  </si>
  <si>
    <t>2552</t>
  </si>
  <si>
    <t>Elmer S Gish School</t>
  </si>
  <si>
    <t>2543</t>
  </si>
  <si>
    <t>Hillgrove Campus</t>
  </si>
  <si>
    <t>2188</t>
  </si>
  <si>
    <t>Joseph M. Demko School</t>
  </si>
  <si>
    <t>2554</t>
  </si>
  <si>
    <t>Kinosayo Elementary School</t>
  </si>
  <si>
    <t>2540</t>
  </si>
  <si>
    <t>Leo Nickerson Elementary</t>
  </si>
  <si>
    <t>1966</t>
  </si>
  <si>
    <t>Lois E. Hole Elementary School</t>
  </si>
  <si>
    <t>2545</t>
  </si>
  <si>
    <t>Lorne Akins Junior High School</t>
  </si>
  <si>
    <t>2557</t>
  </si>
  <si>
    <t>Muriel Martin Elementary School</t>
  </si>
  <si>
    <t>2555</t>
  </si>
  <si>
    <t>Paul Kane Continuing Education</t>
  </si>
  <si>
    <t>2541</t>
  </si>
  <si>
    <t>Paul Kane High School</t>
  </si>
  <si>
    <t>2546</t>
  </si>
  <si>
    <t>Ronald Harvey Elementary</t>
  </si>
  <si>
    <t>2542</t>
  </si>
  <si>
    <t>Sir Alexander Mackenzie School</t>
  </si>
  <si>
    <t>2559</t>
  </si>
  <si>
    <t>St. Albert Public Home Education</t>
  </si>
  <si>
    <t>2558</t>
  </si>
  <si>
    <t>St. Albert Public Outreach</t>
  </si>
  <si>
    <t>1974</t>
  </si>
  <si>
    <t>St. Albert Public Schools Preschool</t>
  </si>
  <si>
    <t>2442</t>
  </si>
  <si>
    <t>St. Albert Public Schools’ Summer School</t>
  </si>
  <si>
    <t>2551</t>
  </si>
  <si>
    <t>Wild Rose Elementary School</t>
  </si>
  <si>
    <t>2550</t>
  </si>
  <si>
    <t>William D Cuts School</t>
  </si>
  <si>
    <t>The St. Paul School Division</t>
  </si>
  <si>
    <t>2800</t>
  </si>
  <si>
    <t>2872</t>
  </si>
  <si>
    <t>Ecole Elementaire St. Paul Elementary School</t>
  </si>
  <si>
    <t>2806</t>
  </si>
  <si>
    <t>Ecole Mallaig Community School</t>
  </si>
  <si>
    <t>2820</t>
  </si>
  <si>
    <t>Ecole Regionale St. Paul Regional High School</t>
  </si>
  <si>
    <t>2803</t>
  </si>
  <si>
    <t>Elk Point Elementary School</t>
  </si>
  <si>
    <t>1381</t>
  </si>
  <si>
    <t>Elk Point Outreach</t>
  </si>
  <si>
    <t>2802</t>
  </si>
  <si>
    <t>F.G. Miller Junior Senior High School</t>
  </si>
  <si>
    <t>2835</t>
  </si>
  <si>
    <t>Glen Avon Protestant School</t>
  </si>
  <si>
    <t>2809</t>
  </si>
  <si>
    <t>Hairy Hill Colony School</t>
  </si>
  <si>
    <t>2804</t>
  </si>
  <si>
    <t>Heinsburg Community School</t>
  </si>
  <si>
    <t>2238</t>
  </si>
  <si>
    <t>Myrnam Outreach Program</t>
  </si>
  <si>
    <t>3703</t>
  </si>
  <si>
    <t>New Myrnam School</t>
  </si>
  <si>
    <t>3711</t>
  </si>
  <si>
    <t>Plain Lake Colony School</t>
  </si>
  <si>
    <t>2871</t>
  </si>
  <si>
    <t>Racette Junior High School</t>
  </si>
  <si>
    <t>2808</t>
  </si>
  <si>
    <t>St. Paul Alternate Education Centre</t>
  </si>
  <si>
    <t>2393</t>
  </si>
  <si>
    <t>Stony Creek Hutterite Colony School</t>
  </si>
  <si>
    <t>0532</t>
  </si>
  <si>
    <t>Two Hills Mennonite School</t>
  </si>
  <si>
    <t>3707</t>
  </si>
  <si>
    <t>Two Hills School</t>
  </si>
  <si>
    <t xml:space="preserve">The St. Thomas Aquinas Roman Catholic Separate School Division </t>
  </si>
  <si>
    <t>1496</t>
  </si>
  <si>
    <t>Academie Saint-Andre Academy</t>
  </si>
  <si>
    <t>3272</t>
  </si>
  <si>
    <t>Christ the King School</t>
  </si>
  <si>
    <t>2060</t>
  </si>
  <si>
    <t>École Mother d'Youville School</t>
  </si>
  <si>
    <t>3270</t>
  </si>
  <si>
    <t>École Notre Dame School</t>
  </si>
  <si>
    <t>1312</t>
  </si>
  <si>
    <t>Father Lacombe Catholic School</t>
  </si>
  <si>
    <t>2059</t>
  </si>
  <si>
    <t>Father Leduc Catholic School</t>
  </si>
  <si>
    <t>1328</t>
  </si>
  <si>
    <t>3170</t>
  </si>
  <si>
    <t>Sacred Heart School</t>
  </si>
  <si>
    <t>2270</t>
  </si>
  <si>
    <t>St. Anthony School</t>
  </si>
  <si>
    <t>4270</t>
  </si>
  <si>
    <t>St. Augustine School</t>
  </si>
  <si>
    <t>3271</t>
  </si>
  <si>
    <t>1075</t>
  </si>
  <si>
    <t>STAR Catholic Outreach School</t>
  </si>
  <si>
    <t>1110</t>
  </si>
  <si>
    <t>2501</t>
  </si>
  <si>
    <t>Bon Accord Community School</t>
  </si>
  <si>
    <t>2502</t>
  </si>
  <si>
    <t>Camilla School</t>
  </si>
  <si>
    <t>2248</t>
  </si>
  <si>
    <t>Four Winds Public School</t>
  </si>
  <si>
    <t>2504</t>
  </si>
  <si>
    <t>Gibbons School</t>
  </si>
  <si>
    <t>3392</t>
  </si>
  <si>
    <t>Guthrie School</t>
  </si>
  <si>
    <t>2512</t>
  </si>
  <si>
    <t>Landing Trail School</t>
  </si>
  <si>
    <t>2451</t>
  </si>
  <si>
    <t>Legal Public School</t>
  </si>
  <si>
    <t>2514</t>
  </si>
  <si>
    <t>Lilian Schick School</t>
  </si>
  <si>
    <t>2508</t>
  </si>
  <si>
    <t>Morinville Colony School</t>
  </si>
  <si>
    <t>0314</t>
  </si>
  <si>
    <t>Morinville Learning Centre</t>
  </si>
  <si>
    <t>1582</t>
  </si>
  <si>
    <t>Morinville Public School</t>
  </si>
  <si>
    <t>2507</t>
  </si>
  <si>
    <t>Namao School</t>
  </si>
  <si>
    <t>2509</t>
  </si>
  <si>
    <t>Oak Hill School</t>
  </si>
  <si>
    <t>2513</t>
  </si>
  <si>
    <t>Ochre Park School</t>
  </si>
  <si>
    <t>2623</t>
  </si>
  <si>
    <t>Redwater School</t>
  </si>
  <si>
    <t>2510</t>
  </si>
  <si>
    <t>Sturgeon Composite High School</t>
  </si>
  <si>
    <t>2506</t>
  </si>
  <si>
    <t>Sturgeon Heights School</t>
  </si>
  <si>
    <t>2516</t>
  </si>
  <si>
    <t>Sturgeon Learning Centre</t>
  </si>
  <si>
    <t>2354</t>
  </si>
  <si>
    <t>Sturgeon Public Summer School</t>
  </si>
  <si>
    <t>2353</t>
  </si>
  <si>
    <t>Sturgeon Public Virtual Academy</t>
  </si>
  <si>
    <t>0056</t>
  </si>
  <si>
    <t>The Westwind School Division</t>
  </si>
  <si>
    <t>6213</t>
  </si>
  <si>
    <t>Big Bend Colony School</t>
  </si>
  <si>
    <t>0994</t>
  </si>
  <si>
    <t>Blue Ridge Colony School</t>
  </si>
  <si>
    <t>6204</t>
  </si>
  <si>
    <t>Cardston Elementary School</t>
  </si>
  <si>
    <t>6201</t>
  </si>
  <si>
    <t>Cardston High School</t>
  </si>
  <si>
    <t>6203</t>
  </si>
  <si>
    <t>Cardston Junior High School</t>
  </si>
  <si>
    <t>6214</t>
  </si>
  <si>
    <t>Crystal Spring Colony School</t>
  </si>
  <si>
    <t>6225</t>
  </si>
  <si>
    <t>Deerfield Colony School</t>
  </si>
  <si>
    <t>6215</t>
  </si>
  <si>
    <t>East Cardston Colony School</t>
  </si>
  <si>
    <t>6536</t>
  </si>
  <si>
    <t>East Raymond School</t>
  </si>
  <si>
    <t>6216</t>
  </si>
  <si>
    <t>Hutterville Colony School</t>
  </si>
  <si>
    <t>6211</t>
  </si>
  <si>
    <t>Magrath Elementary School</t>
  </si>
  <si>
    <t>6210</t>
  </si>
  <si>
    <t>Magrath Junior Senior High School</t>
  </si>
  <si>
    <t>6514</t>
  </si>
  <si>
    <t>Miami Colony School</t>
  </si>
  <si>
    <t>6515</t>
  </si>
  <si>
    <t>Milford Colony School</t>
  </si>
  <si>
    <t>6212</t>
  </si>
  <si>
    <t>Mountain View School</t>
  </si>
  <si>
    <t>6217</t>
  </si>
  <si>
    <t>New Elm Colony School</t>
  </si>
  <si>
    <t>6516</t>
  </si>
  <si>
    <t>New Rockport Colony School</t>
  </si>
  <si>
    <t>6517</t>
  </si>
  <si>
    <t>O K Colony School</t>
  </si>
  <si>
    <t>6218</t>
  </si>
  <si>
    <t>Old Elm Colony School</t>
  </si>
  <si>
    <t>2257</t>
  </si>
  <si>
    <t>Raymond Alternate School</t>
  </si>
  <si>
    <t>6508</t>
  </si>
  <si>
    <t>Raymond Elementary School</t>
  </si>
  <si>
    <t>6506</t>
  </si>
  <si>
    <t>Raymond High School</t>
  </si>
  <si>
    <t>6507</t>
  </si>
  <si>
    <t>Raymond Junior High School</t>
  </si>
  <si>
    <t>6219</t>
  </si>
  <si>
    <t>Riverside Colony School</t>
  </si>
  <si>
    <t>6220</t>
  </si>
  <si>
    <t>Rockport Colony School</t>
  </si>
  <si>
    <t>6207</t>
  </si>
  <si>
    <t>Spring Glen Elementary School</t>
  </si>
  <si>
    <t>6223</t>
  </si>
  <si>
    <t>Spring Glen Junior High School</t>
  </si>
  <si>
    <t>0011</t>
  </si>
  <si>
    <t>Spring Valley Colony School</t>
  </si>
  <si>
    <t>6221</t>
  </si>
  <si>
    <t>Standoff Colony School</t>
  </si>
  <si>
    <t>6535</t>
  </si>
  <si>
    <t>Stirling School</t>
  </si>
  <si>
    <t>6222</t>
  </si>
  <si>
    <t>West Raley Colony School</t>
  </si>
  <si>
    <t>0576</t>
  </si>
  <si>
    <t>Westwind Alternate School</t>
  </si>
  <si>
    <t>6519</t>
  </si>
  <si>
    <t>Wolf Creek Colony School</t>
  </si>
  <si>
    <t>The Wetaskiwin School Division</t>
  </si>
  <si>
    <t>3101</t>
  </si>
  <si>
    <t>Alder Flats Elementary School</t>
  </si>
  <si>
    <t>3102</t>
  </si>
  <si>
    <t>Buck Mountain Central School</t>
  </si>
  <si>
    <t>1526</t>
  </si>
  <si>
    <t>Buck Mountain Outreach Program</t>
  </si>
  <si>
    <t>3145</t>
  </si>
  <si>
    <t>3103</t>
  </si>
  <si>
    <t>Clear Vista School</t>
  </si>
  <si>
    <t>3105</t>
  </si>
  <si>
    <t>Falun School</t>
  </si>
  <si>
    <t>3112</t>
  </si>
  <si>
    <t>Griffiths-Scott School</t>
  </si>
  <si>
    <t>3107</t>
  </si>
  <si>
    <t>Lakedell School</t>
  </si>
  <si>
    <t>1300</t>
  </si>
  <si>
    <t>Lynn Lauren School</t>
  </si>
  <si>
    <t>3146</t>
  </si>
  <si>
    <t>3142</t>
  </si>
  <si>
    <t>Parkdale School</t>
  </si>
  <si>
    <t>3114</t>
  </si>
  <si>
    <t>Pigeon Lake Outreach</t>
  </si>
  <si>
    <t>3104</t>
  </si>
  <si>
    <t>Pigeon Lake Regional</t>
  </si>
  <si>
    <t>0312</t>
  </si>
  <si>
    <t>Pine Haven School</t>
  </si>
  <si>
    <t>3109</t>
  </si>
  <si>
    <t>Pipestone School</t>
  </si>
  <si>
    <t>3143</t>
  </si>
  <si>
    <t>1447</t>
  </si>
  <si>
    <t>Silver Creek School</t>
  </si>
  <si>
    <t>3144</t>
  </si>
  <si>
    <t>Wetaskiwin Composite High School</t>
  </si>
  <si>
    <t>3113</t>
  </si>
  <si>
    <t>Wetaskiwin Home Education School</t>
  </si>
  <si>
    <t>3148</t>
  </si>
  <si>
    <t>Wetaskiwin Outreach</t>
  </si>
  <si>
    <t>3111</t>
  </si>
  <si>
    <t>Winfield Elementary School</t>
  </si>
  <si>
    <t>1325</t>
  </si>
  <si>
    <t xml:space="preserve">The Wild Rose School Division </t>
  </si>
  <si>
    <t>2231</t>
  </si>
  <si>
    <t>Aurora Elementary School</t>
  </si>
  <si>
    <t>3203</t>
  </si>
  <si>
    <t>Breton Elementary School</t>
  </si>
  <si>
    <t>3202</t>
  </si>
  <si>
    <t>Breton High School</t>
  </si>
  <si>
    <t>4101</t>
  </si>
  <si>
    <t>Caroline School</t>
  </si>
  <si>
    <t>4103</t>
  </si>
  <si>
    <t>Charlotte Small Elementary School</t>
  </si>
  <si>
    <t>4102</t>
  </si>
  <si>
    <t>2289</t>
  </si>
  <si>
    <t>Drayton Christian School</t>
  </si>
  <si>
    <t>1017</t>
  </si>
  <si>
    <t>Drayton Valley Community Outreach School</t>
  </si>
  <si>
    <t>4106</t>
  </si>
  <si>
    <t>Ecole Rocky Elementary School</t>
  </si>
  <si>
    <t>2203</t>
  </si>
  <si>
    <t>Evergreen Elementary School</t>
  </si>
  <si>
    <t>2201</t>
  </si>
  <si>
    <t>Frank Maddock High School</t>
  </si>
  <si>
    <t>2202</t>
  </si>
  <si>
    <t>H W Pickup Junior High School</t>
  </si>
  <si>
    <t>4111</t>
  </si>
  <si>
    <t>Kootenay School</t>
  </si>
  <si>
    <t>4107</t>
  </si>
  <si>
    <t>Lochearn Elementary School</t>
  </si>
  <si>
    <t>4109</t>
  </si>
  <si>
    <t>Pioneer School</t>
  </si>
  <si>
    <t>4192</t>
  </si>
  <si>
    <t>Rocky Christian School</t>
  </si>
  <si>
    <t>0531</t>
  </si>
  <si>
    <t>Visions West School</t>
  </si>
  <si>
    <t>West Central High School</t>
  </si>
  <si>
    <t>0054</t>
  </si>
  <si>
    <t>The Wolf Creek School Division</t>
  </si>
  <si>
    <t>4301</t>
  </si>
  <si>
    <t>Alix (Mirror and Alix Central)</t>
  </si>
  <si>
    <t>4320</t>
  </si>
  <si>
    <t>Alix Colony School</t>
  </si>
  <si>
    <t>0586</t>
  </si>
  <si>
    <t>Bentley Colony School</t>
  </si>
  <si>
    <t>4302</t>
  </si>
  <si>
    <t>Bentley School</t>
  </si>
  <si>
    <t>4201</t>
  </si>
  <si>
    <t>Bluffton School</t>
  </si>
  <si>
    <t>4305</t>
  </si>
  <si>
    <t>Clive School</t>
  </si>
  <si>
    <t>4202</t>
  </si>
  <si>
    <t>Crestomere School</t>
  </si>
  <si>
    <t>4315</t>
  </si>
  <si>
    <t>Eckville Elementary School</t>
  </si>
  <si>
    <t>4306</t>
  </si>
  <si>
    <t>Eckville Junior Senior High School</t>
  </si>
  <si>
    <t>4309</t>
  </si>
  <si>
    <t>Ecole James S. McCormick School</t>
  </si>
  <si>
    <t>4308</t>
  </si>
  <si>
    <t>Ecole Lacombe Junior High School</t>
  </si>
  <si>
    <t>4319</t>
  </si>
  <si>
    <t>Ecole Lacombe Upper Elementary School</t>
  </si>
  <si>
    <t>4307</t>
  </si>
  <si>
    <t>Ecole Secondaire Lacombe Composite High School</t>
  </si>
  <si>
    <t>4213</t>
  </si>
  <si>
    <t>Ferrybank Colony School</t>
  </si>
  <si>
    <t>1464</t>
  </si>
  <si>
    <t>Iron Ridge Elementary Campus</t>
  </si>
  <si>
    <t>2061</t>
  </si>
  <si>
    <t>Iron Ridge Intermediate Campus</t>
  </si>
  <si>
    <t>4304</t>
  </si>
  <si>
    <t>Iron Ridge Junior Campus</t>
  </si>
  <si>
    <t>4322</t>
  </si>
  <si>
    <t>Lacombe Outreach School</t>
  </si>
  <si>
    <t>4317</t>
  </si>
  <si>
    <t>Leedale Hutterite Colony</t>
  </si>
  <si>
    <t>4204</t>
  </si>
  <si>
    <t>Mecca Glen School</t>
  </si>
  <si>
    <t>4316</t>
  </si>
  <si>
    <t>Pleasant Valley Colony School</t>
  </si>
  <si>
    <t>4207</t>
  </si>
  <si>
    <t>Ponoka Elementary School</t>
  </si>
  <si>
    <t>4205</t>
  </si>
  <si>
    <t>Ponoka Secondary Campus</t>
  </si>
  <si>
    <t>4210</t>
  </si>
  <si>
    <t>Rimbey Elementary School</t>
  </si>
  <si>
    <t>4209</t>
  </si>
  <si>
    <t>Rimbey Junior Senior High School</t>
  </si>
  <si>
    <t>4310</t>
  </si>
  <si>
    <t>Terrace Ridge School</t>
  </si>
  <si>
    <t>4203</t>
  </si>
  <si>
    <t>The Brick Learning Centre</t>
  </si>
  <si>
    <t>0488</t>
  </si>
  <si>
    <t>West Country Outreach School</t>
  </si>
  <si>
    <t>4299</t>
  </si>
  <si>
    <t>Wolf Creek Education Centre</t>
  </si>
  <si>
    <t>2159</t>
  </si>
  <si>
    <t>Wolf Creek Summer School</t>
  </si>
  <si>
    <t>Day Counts</t>
  </si>
  <si>
    <t>Type</t>
  </si>
  <si>
    <t>Count</t>
  </si>
  <si>
    <t>Timetable Lookups</t>
  </si>
  <si>
    <t>Operational</t>
  </si>
  <si>
    <t>Day</t>
  </si>
  <si>
    <t>Instruction</t>
  </si>
  <si>
    <t>Non-Instruction</t>
  </si>
  <si>
    <t>Description</t>
  </si>
  <si>
    <t>TimetableCode</t>
  </si>
  <si>
    <t>Valid</t>
  </si>
  <si>
    <t>Activity 2</t>
  </si>
  <si>
    <t>RotationDay</t>
  </si>
  <si>
    <t>Weekday</t>
  </si>
  <si>
    <t>Month Number</t>
  </si>
  <si>
    <t>NonInstruction</t>
  </si>
  <si>
    <t>Exception Totals</t>
  </si>
  <si>
    <t>Type of Day</t>
  </si>
  <si>
    <t>Use</t>
  </si>
  <si>
    <t>Type of Activity</t>
  </si>
  <si>
    <t>Classification</t>
  </si>
  <si>
    <t>Rotation Types</t>
  </si>
  <si>
    <t>Code</t>
  </si>
  <si>
    <t>Break - Unassigned</t>
  </si>
  <si>
    <t>Meeting</t>
  </si>
  <si>
    <t>Three day rotation</t>
  </si>
  <si>
    <t>Morning Prayer</t>
  </si>
  <si>
    <t>Four day rotation</t>
  </si>
  <si>
    <t>Prep - Unassigned</t>
  </si>
  <si>
    <t>Five day rotation</t>
  </si>
  <si>
    <t>Prep - Assigned</t>
  </si>
  <si>
    <t>Six day rotation</t>
  </si>
  <si>
    <t>Transition</t>
  </si>
  <si>
    <t>Supervision</t>
  </si>
  <si>
    <t>Term</t>
  </si>
  <si>
    <t>Term Numbers</t>
  </si>
  <si>
    <t>School Board (drop-down)</t>
  </si>
  <si>
    <t>School  (drop-down)</t>
  </si>
  <si>
    <t>How many terms are in your school's calendar?  (drop-down)</t>
  </si>
  <si>
    <t>Does your calendar have early dismissals?  (drop-down)</t>
  </si>
  <si>
    <t>How many timetable variants for early dismissal?  (drop-down)</t>
  </si>
  <si>
    <t>If so, how many variants?  (drop-down)</t>
  </si>
  <si>
    <t>Assigned Time (Non-Instructional)</t>
  </si>
  <si>
    <t>Assignable Time</t>
  </si>
  <si>
    <t>Cumulative Totals</t>
  </si>
  <si>
    <t>Remaining Available</t>
  </si>
  <si>
    <t>Not Scheduled</t>
  </si>
  <si>
    <t>Are you employed part-time and only work certain days each week?</t>
  </si>
  <si>
    <t>Total Instruction Hours</t>
  </si>
  <si>
    <t>Total Non-Instruction Hours</t>
  </si>
  <si>
    <t>Total Assigned Time</t>
  </si>
  <si>
    <t>You indicate that you are part time and only work on certain days. You will need to block off the days that you are not working as "Not Scheduled" using the drop-down menu for day selection.</t>
  </si>
  <si>
    <t>The items highlighted in red are mandatory - the calculator won't work if they are left blank.</t>
  </si>
  <si>
    <t xml:space="preserve">Also see the joint interpretation bulletin dealing with assignable time. (click here) </t>
  </si>
  <si>
    <t>Number of teachers on staff (headcount, not FTE)</t>
  </si>
  <si>
    <t>NumTeachers</t>
  </si>
  <si>
    <t>First operational day (YYYY-MM-DD)</t>
  </si>
  <si>
    <t>First instructional day in Term 1 (YYYY-MM-DD)</t>
  </si>
  <si>
    <t>First instructional day in Term 2 (YYYY-MM-DD)</t>
  </si>
  <si>
    <t>First instructional day in Term 3 (YYYY-MM-DD)</t>
  </si>
  <si>
    <t>First instructional day in Term 4 (YYYY-MM-DD)</t>
  </si>
  <si>
    <t>Last operational day (YYYY-MM-DD)</t>
  </si>
  <si>
    <t>Schedule type  (drop-down)</t>
  </si>
  <si>
    <t>Does your calendar use "Extra Days" or "Special Days"?  (drop-down)</t>
  </si>
  <si>
    <t>Checking dates</t>
  </si>
  <si>
    <t>Checking Contents</t>
  </si>
  <si>
    <t>Day 7</t>
  </si>
  <si>
    <t>Day 8</t>
  </si>
  <si>
    <t>Day 9</t>
  </si>
  <si>
    <t>Ten day rotation</t>
  </si>
  <si>
    <t>Proceed to Calendar Setup</t>
  </si>
  <si>
    <t>Maximums</t>
  </si>
  <si>
    <t>Difference</t>
  </si>
  <si>
    <t>Percent of Maximum</t>
  </si>
  <si>
    <t>Typical Full-Time Hours (default is 1200 if empty)</t>
  </si>
  <si>
    <t>Early Dismissal 4</t>
  </si>
  <si>
    <t>Early Dismissal 5</t>
  </si>
  <si>
    <t>Early Dismissal 6</t>
  </si>
  <si>
    <t>Planning Day</t>
  </si>
  <si>
    <t>How many minutes in a typical planning day (360 default)</t>
  </si>
  <si>
    <t>How many minutes in a typical PD/In-Service day? (360 default)</t>
  </si>
  <si>
    <t>PD/In-Service Day</t>
  </si>
  <si>
    <t>Exception Assignor</t>
  </si>
  <si>
    <t>Principal</t>
  </si>
  <si>
    <t>VP/AP</t>
  </si>
  <si>
    <t>Department Head</t>
  </si>
  <si>
    <t>Central Office</t>
  </si>
  <si>
    <t>Assigned By</t>
  </si>
  <si>
    <t>Operational Non-Instr</t>
  </si>
  <si>
    <t>Notes</t>
  </si>
  <si>
    <t>2564</t>
  </si>
  <si>
    <t>Ohpaho Secondary School</t>
  </si>
  <si>
    <t>2489</t>
  </si>
  <si>
    <t>St. Gemma Outreach High School</t>
  </si>
  <si>
    <t>2531</t>
  </si>
  <si>
    <t xml:space="preserve">CLS Forest Lawn Writing Centre </t>
  </si>
  <si>
    <t>North Trail High School</t>
  </si>
  <si>
    <t>2495</t>
  </si>
  <si>
    <t>Centre For Learning@Home Summer School</t>
  </si>
  <si>
    <t>École Good Shepherd School</t>
  </si>
  <si>
    <t xml:space="preserve">École Beauséjour </t>
  </si>
  <si>
    <t xml:space="preserve">École des Beaux-Lacs </t>
  </si>
  <si>
    <t xml:space="preserve">École du Sommet </t>
  </si>
  <si>
    <t xml:space="preserve">École Voyageur </t>
  </si>
  <si>
    <t>2597</t>
  </si>
  <si>
    <t>St. Josephine Bakhita Catholic Elementary/Junior High School</t>
  </si>
  <si>
    <t>2598</t>
  </si>
  <si>
    <t>Blessed Carlo Acutis Catholic High School</t>
  </si>
  <si>
    <t>Blessed John Paul I Catholic Elementary School</t>
  </si>
  <si>
    <t>2566</t>
  </si>
  <si>
    <t>Elder Dr. Francis Whiskeyjack School</t>
  </si>
  <si>
    <t>Wîhkwêntôwin School</t>
  </si>
  <si>
    <t>Ardrossan Elementary School</t>
  </si>
  <si>
    <t xml:space="preserve">Foothills Digital School </t>
  </si>
  <si>
    <t>2633</t>
  </si>
  <si>
    <t>De Oabeit Collegiate School</t>
  </si>
  <si>
    <t>2634</t>
  </si>
  <si>
    <t>Gramson Centre Collegiate School</t>
  </si>
  <si>
    <t>2635</t>
  </si>
  <si>
    <t>Sipiwan Centre 15 Collegiate School</t>
  </si>
  <si>
    <t>1179</t>
  </si>
  <si>
    <t>École Publique Gabrielle-Roy</t>
  </si>
  <si>
    <t>École Saint-Christophe</t>
  </si>
  <si>
    <t>École Desrochers</t>
  </si>
  <si>
    <t>Centre francophone d'éducation à distance</t>
  </si>
  <si>
    <t xml:space="preserve">École À la Découverte </t>
  </si>
  <si>
    <t>École La Trinité</t>
  </si>
  <si>
    <t>École Citadelle</t>
  </si>
  <si>
    <t>École La Mission</t>
  </si>
  <si>
    <t>École La Prairie</t>
  </si>
  <si>
    <t>2599</t>
  </si>
  <si>
    <t>École Jean-Claude-Mahé</t>
  </si>
  <si>
    <t xml:space="preserve">École Père-Lacombe </t>
  </si>
  <si>
    <t>École Notre-Dame</t>
  </si>
  <si>
    <t>École Ste-Jeanne-d'Arc</t>
  </si>
  <si>
    <t xml:space="preserve">École Maurice-Lavallée </t>
  </si>
  <si>
    <t>École Sacré-Coeur</t>
  </si>
  <si>
    <t>2652</t>
  </si>
  <si>
    <t>St. Thomas More</t>
  </si>
  <si>
    <t>2637</t>
  </si>
  <si>
    <t>West Coulee Station Elementary School</t>
  </si>
  <si>
    <t>2481</t>
  </si>
  <si>
    <t>École St. Anne School</t>
  </si>
  <si>
    <t>2626</t>
  </si>
  <si>
    <t>St. Nicholas Early Learning School</t>
  </si>
  <si>
    <t>École Nouvelle Frontière</t>
  </si>
  <si>
    <t>École des Quatre-Vents</t>
  </si>
  <si>
    <t>2596</t>
  </si>
  <si>
    <t>Coaldale Prairie Winds Secondary</t>
  </si>
  <si>
    <t>2630</t>
  </si>
  <si>
    <t>Southern Alberta Collegiate Institute</t>
  </si>
  <si>
    <t>2632</t>
  </si>
  <si>
    <t>Imaginal+</t>
  </si>
  <si>
    <t>2561</t>
  </si>
  <si>
    <t xml:space="preserve">Al-Amal Online Academy </t>
  </si>
  <si>
    <t>2627</t>
  </si>
  <si>
    <t>Wind River Colony School</t>
  </si>
  <si>
    <t>2628</t>
  </si>
  <si>
    <t>East River Colony School</t>
  </si>
  <si>
    <t>2636</t>
  </si>
  <si>
    <t>Green Dome Islamic School</t>
  </si>
  <si>
    <t>Coulee Collegiate</t>
  </si>
  <si>
    <t>South Alberta High School</t>
  </si>
  <si>
    <t>2641</t>
  </si>
  <si>
    <t>South Alberta Collegiate (South Alberta Flight Academy)</t>
  </si>
  <si>
    <t>2590</t>
  </si>
  <si>
    <t>Horseshoe Crossing High School</t>
  </si>
  <si>
    <t xml:space="preserve">École Les Cyprès </t>
  </si>
  <si>
    <t xml:space="preserve">École de la Source </t>
  </si>
  <si>
    <t xml:space="preserve">École Notre-Dame des Monts </t>
  </si>
  <si>
    <t xml:space="preserve">École Notre-Dame des Vallées </t>
  </si>
  <si>
    <t xml:space="preserve">École Le Ruisseau </t>
  </si>
  <si>
    <t>École des Hautes-Plaines</t>
  </si>
  <si>
    <t xml:space="preserve">École Beausoleil </t>
  </si>
  <si>
    <t xml:space="preserve">École Terre des Jeunes </t>
  </si>
  <si>
    <t xml:space="preserve">École Notre-Dame-de-la-Paix </t>
  </si>
  <si>
    <t xml:space="preserve">École La Vérendrye </t>
  </si>
  <si>
    <t>2616</t>
  </si>
  <si>
    <t>École francophone de Cardston</t>
  </si>
  <si>
    <t xml:space="preserve">École Sainte-Marguerite-Bourgeoys </t>
  </si>
  <si>
    <t xml:space="preserve">École de la Rose sauvage </t>
  </si>
  <si>
    <t>2586</t>
  </si>
  <si>
    <t>St. Albert Public Schools' Continuing Education</t>
  </si>
  <si>
    <t>Ashmont School</t>
  </si>
  <si>
    <t>The Sturgeon School Division</t>
  </si>
  <si>
    <t>2563</t>
  </si>
  <si>
    <t>Iron Ridge Secondary Campus</t>
  </si>
  <si>
    <t>École Ste Marguerite d’Youville</t>
  </si>
  <si>
    <t>St. Isidore Writing Centre</t>
  </si>
  <si>
    <t>École secondaire francophone de Silverado</t>
  </si>
  <si>
    <t xml:space="preserve">École élémentaire francophone de Silverado </t>
  </si>
  <si>
    <t>Kneehill Colony School</t>
  </si>
  <si>
    <t>Forest Grove School</t>
  </si>
  <si>
    <t>École francophone de Chestermere</t>
  </si>
  <si>
    <t>Living Spirit School</t>
  </si>
  <si>
    <t>École Horizon Heights School</t>
  </si>
  <si>
    <t>Our Lady Queen of Peace School</t>
  </si>
  <si>
    <t>Milk River Ridge School</t>
  </si>
  <si>
    <t>awâsis waciston School</t>
  </si>
  <si>
    <t>St. Paul School</t>
  </si>
  <si>
    <t>2659</t>
  </si>
  <si>
    <t>2660</t>
  </si>
  <si>
    <t>2662</t>
  </si>
  <si>
    <t>2663</t>
  </si>
  <si>
    <t>2664</t>
  </si>
  <si>
    <t>2668</t>
  </si>
  <si>
    <t>2675</t>
  </si>
  <si>
    <t>2734</t>
  </si>
  <si>
    <t>8523</t>
  </si>
  <si>
    <t>9332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</si>
</sst>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
    <numFmt numFmtId="165" formatCode="0.0000"/>
    <numFmt numFmtId="166" formatCode="h:mm;@"/>
    <numFmt numFmtId="167" formatCode="[$-F400]h:mm:ss\ AM/PM"/>
    <numFmt numFmtId="168" formatCode="yyyy\-mm\-dd;@"/>
  </numFmts>
  <fonts count="40" x14ac:knownFonts="1">
    <font>
      <sz val="11"/>
      <name val="Trebuchet MS"/>
      <family val="2"/>
      <scheme val="minor"/>
    </font>
    <font>
      <sz val="11"/>
      <color theme="1"/>
      <name val="Trebuchet MS"/>
      <family val="2"/>
      <scheme val="minor"/>
    </font>
    <font>
      <sz val="11"/>
      <color theme="1"/>
      <name val="Trebuchet MS"/>
      <family val="2"/>
      <scheme val="minor"/>
    </font>
    <font>
      <sz val="8"/>
      <name val="Arial"/>
      <family val="2"/>
    </font>
    <font>
      <b/>
      <sz val="11"/>
      <color theme="0"/>
      <name val="Trebuchet MS"/>
      <family val="2"/>
      <scheme val="minor"/>
    </font>
    <font>
      <b/>
      <sz val="14"/>
      <color theme="0"/>
      <name val="Trebuchet MS"/>
      <family val="2"/>
      <scheme val="minor"/>
    </font>
    <font>
      <b/>
      <sz val="28"/>
      <color theme="0"/>
      <name val="Franklin Gothic Medium Cond"/>
      <family val="2"/>
      <scheme val="major"/>
    </font>
    <font>
      <sz val="36"/>
      <color theme="4" tint="-0.24994659260841701"/>
      <name val="Trebuchet MS"/>
      <family val="2"/>
      <scheme val="minor"/>
    </font>
    <font>
      <b/>
      <sz val="11"/>
      <color theme="3"/>
      <name val="Franklin Gothic Medium Cond"/>
      <family val="2"/>
      <scheme val="major"/>
    </font>
    <font>
      <sz val="16"/>
      <color theme="1"/>
      <name val="Trebuchet MS"/>
      <family val="2"/>
      <scheme val="minor"/>
    </font>
    <font>
      <b/>
      <sz val="11"/>
      <color theme="0"/>
      <name val="Franklin Gothic Medium Cond"/>
      <family val="2"/>
      <scheme val="major"/>
    </font>
    <font>
      <sz val="11"/>
      <name val="Trebuchet MS"/>
      <family val="2"/>
      <scheme val="minor"/>
    </font>
    <font>
      <sz val="11"/>
      <color theme="1"/>
      <name val="Franklin Gothic Medium Cond"/>
      <family val="2"/>
      <scheme val="major"/>
    </font>
    <font>
      <sz val="11"/>
      <color indexed="63"/>
      <name val="Trebuchet MS"/>
      <family val="2"/>
      <scheme val="minor"/>
    </font>
    <font>
      <b/>
      <sz val="11"/>
      <color theme="1"/>
      <name val="Trebuchet MS"/>
      <family val="2"/>
      <scheme val="minor"/>
    </font>
    <font>
      <i/>
      <sz val="11"/>
      <color theme="3" tint="-0.24994659260841701"/>
      <name val="Trebuchet MS"/>
      <family val="2"/>
      <scheme val="minor"/>
    </font>
    <font>
      <sz val="11"/>
      <color theme="1" tint="0.14999847407452621"/>
      <name val="Trebuchet MS"/>
      <family val="2"/>
    </font>
    <font>
      <sz val="16"/>
      <color theme="1" tint="0.14999847407452621"/>
      <name val="Trebuchet MS"/>
      <family val="2"/>
      <scheme val="minor"/>
    </font>
    <font>
      <sz val="10"/>
      <color theme="1" tint="0.14999847407452621"/>
      <name val="Trebuchet MS"/>
      <family val="2"/>
      <scheme val="minor"/>
    </font>
    <font>
      <sz val="11"/>
      <color theme="1" tint="0.14999847407452621"/>
      <name val="Trebuchet MS"/>
      <family val="2"/>
      <scheme val="minor"/>
    </font>
    <font>
      <sz val="12"/>
      <color theme="1" tint="0.14999847407452621"/>
      <name val="Trebuchet MS"/>
      <family val="2"/>
      <scheme val="minor"/>
    </font>
    <font>
      <sz val="14"/>
      <color theme="1" tint="0.14999847407452621"/>
      <name val="Trebuchet MS"/>
      <family val="2"/>
      <scheme val="minor"/>
    </font>
    <font>
      <sz val="36"/>
      <color theme="1" tint="0.14999847407452621"/>
      <name val="Trebuchet MS"/>
      <family val="2"/>
      <scheme val="minor"/>
    </font>
    <font>
      <sz val="8"/>
      <name val="Trebuchet MS"/>
      <family val="2"/>
      <scheme val="minor"/>
    </font>
    <font>
      <b/>
      <sz val="11"/>
      <name val="Trebuchet MS"/>
      <family val="2"/>
      <scheme val="minor"/>
    </font>
    <font>
      <b/>
      <sz val="24"/>
      <name val="Trebuchet MS"/>
      <family val="2"/>
      <scheme val="minor"/>
    </font>
    <font>
      <sz val="42"/>
      <color rgb="FFEACD4D"/>
      <name val="Franklin Gothic Medium Cond"/>
      <family val="2"/>
      <scheme val="major"/>
    </font>
    <font>
      <b/>
      <sz val="12"/>
      <color rgb="FFEACD4D"/>
      <name val="Trebuchet MS"/>
      <family val="2"/>
      <scheme val="minor"/>
    </font>
    <font>
      <sz val="11"/>
      <color rgb="FFEACD4D"/>
      <name val="Trebuchet MS"/>
      <family val="2"/>
      <scheme val="minor"/>
    </font>
    <font>
      <sz val="11"/>
      <color theme="0"/>
      <name val="Trebuchet MS"/>
      <family val="2"/>
      <scheme val="minor"/>
    </font>
    <font>
      <b/>
      <sz val="11"/>
      <color rgb="FF000000"/>
      <name val="Trebuchet MS"/>
      <family val="2"/>
      <scheme val="minor"/>
    </font>
    <font>
      <sz val="24"/>
      <name val="Trebuchet MS"/>
      <family val="2"/>
      <scheme val="minor"/>
    </font>
    <font>
      <sz val="18"/>
      <name val="Trebuchet MS"/>
      <family val="2"/>
      <scheme val="minor"/>
    </font>
    <font>
      <sz val="10"/>
      <color theme="0"/>
      <name val="Trebuchet MS"/>
      <family val="2"/>
      <scheme val="minor"/>
    </font>
    <font>
      <u/>
      <sz val="11"/>
      <color theme="10"/>
      <name val="Trebuchet MS"/>
      <family val="2"/>
      <scheme val="minor"/>
    </font>
    <font>
      <sz val="22"/>
      <name val="Trebuchet MS"/>
      <family val="2"/>
      <scheme val="minor"/>
    </font>
    <font>
      <sz val="20"/>
      <name val="Trebuchet MS"/>
      <family val="2"/>
      <scheme val="minor"/>
    </font>
    <font>
      <sz val="14"/>
      <color theme="0"/>
      <name val="Trebuchet MS"/>
      <family val="2"/>
      <scheme val="minor"/>
    </font>
    <font>
      <u/>
      <sz val="11"/>
      <color theme="0"/>
      <name val="Trebuchet MS"/>
      <family val="2"/>
      <scheme val="minor"/>
    </font>
    <font>
      <sz val="10"/>
      <color theme="1"/>
      <name val="Trebuchet MS"/>
      <family val="2"/>
      <scheme val="minor"/>
    </font>
  </fonts>
  <fills count="14">
    <fill>
      <patternFill patternType="none"/>
    </fill>
    <fill>
      <patternFill patternType="gray125"/>
    </fill>
    <fill>
      <patternFill patternType="solid">
        <fgColor indexed="9"/>
        <bgColor indexed="64"/>
      </patternFill>
    </fill>
    <fill>
      <patternFill patternType="solid">
        <fgColor theme="4" tint="0.59999389629810485"/>
        <bgColor indexed="65"/>
      </patternFill>
    </fill>
    <fill>
      <patternFill patternType="solid">
        <fgColor theme="4"/>
      </patternFill>
    </fill>
    <fill>
      <patternFill patternType="solid">
        <fgColor theme="8"/>
      </patternFill>
    </fill>
    <fill>
      <patternFill patternType="solid">
        <fgColor theme="4" tint="-0.24994659260841701"/>
        <bgColor indexed="64"/>
      </patternFill>
    </fill>
    <fill>
      <patternFill patternType="solid">
        <fgColor theme="7" tint="-0.499984740745262"/>
        <bgColor indexed="64"/>
      </patternFill>
    </fill>
    <fill>
      <patternFill patternType="solid">
        <fgColor rgb="FFFFFFCC"/>
      </patternFill>
    </fill>
    <fill>
      <patternFill patternType="solid">
        <fgColor theme="0" tint="-4.9989318521683403E-2"/>
        <bgColor indexed="64"/>
      </patternFill>
    </fill>
    <fill>
      <patternFill patternType="solid">
        <fgColor theme="0"/>
        <bgColor indexed="64"/>
      </patternFill>
    </fill>
    <fill>
      <patternFill patternType="solid">
        <fgColor rgb="FF003FA2"/>
        <bgColor indexed="64"/>
      </patternFill>
    </fill>
    <fill>
      <patternFill patternType="solid">
        <fgColor rgb="FF0058E6"/>
        <bgColor indexed="64"/>
      </patternFill>
    </fill>
    <fill>
      <patternFill patternType="solid">
        <fgColor theme="1"/>
        <bgColor indexed="64"/>
      </patternFill>
    </fill>
  </fills>
  <borders count="77">
    <border>
      <left/>
      <right/>
      <top/>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thick">
        <color theme="1" tint="0.499984740745262"/>
      </left>
      <right style="thick">
        <color theme="1" tint="0.499984740745262"/>
      </right>
      <top style="thick">
        <color theme="1" tint="0.499984740745262"/>
      </top>
      <bottom style="thick">
        <color theme="1" tint="0.499984740745262"/>
      </bottom>
      <diagonal/>
    </border>
    <border>
      <left/>
      <right style="thick">
        <color theme="0"/>
      </right>
      <top/>
      <bottom/>
      <diagonal/>
    </border>
    <border>
      <left style="thin">
        <color theme="0" tint="-0.14996795556505021"/>
      </left>
      <right/>
      <top style="thin">
        <color theme="0" tint="-0.14996795556505021"/>
      </top>
      <bottom/>
      <diagonal/>
    </border>
    <border>
      <left style="thin">
        <color theme="0" tint="-0.14996795556505021"/>
      </left>
      <right/>
      <top/>
      <bottom/>
      <diagonal/>
    </border>
    <border>
      <left/>
      <right style="thin">
        <color theme="0" tint="-0.14996795556505021"/>
      </right>
      <top/>
      <bottom/>
      <diagonal/>
    </border>
    <border>
      <left style="thin">
        <color theme="0" tint="-0.14996795556505021"/>
      </left>
      <right/>
      <top/>
      <bottom style="thin">
        <color theme="0" tint="-0.14993743705557422"/>
      </bottom>
      <diagonal/>
    </border>
    <border>
      <left style="thin">
        <color theme="0" tint="-0.14996795556505021"/>
      </left>
      <right/>
      <top style="thin">
        <color theme="0" tint="-0.14993743705557422"/>
      </top>
      <bottom/>
      <diagonal/>
    </border>
    <border>
      <left/>
      <right style="thin">
        <color theme="0" tint="-0.14993743705557422"/>
      </right>
      <top style="thin">
        <color theme="0" tint="-0.14996795556505021"/>
      </top>
      <bottom/>
      <diagonal/>
    </border>
    <border>
      <left style="thin">
        <color theme="3" tint="0.39994506668294322"/>
      </left>
      <right style="thin">
        <color theme="3" tint="0.39994506668294322"/>
      </right>
      <top style="thin">
        <color theme="3" tint="0.39994506668294322"/>
      </top>
      <bottom style="thin">
        <color theme="3" tint="0.39994506668294322"/>
      </bottom>
      <diagonal/>
    </border>
    <border>
      <left/>
      <right/>
      <top style="thin">
        <color theme="4" tint="-0.24994659260841701"/>
      </top>
      <bottom style="double">
        <color theme="4" tint="-0.24994659260841701"/>
      </bottom>
      <diagonal/>
    </border>
    <border>
      <left/>
      <right style="thin">
        <color theme="0" tint="-0.14993743705557422"/>
      </right>
      <top/>
      <bottom/>
      <diagonal/>
    </border>
    <border>
      <left/>
      <right/>
      <top/>
      <bottom style="thin">
        <color theme="8" tint="0.79998168889431442"/>
      </bottom>
      <diagonal/>
    </border>
    <border>
      <left/>
      <right/>
      <top style="thin">
        <color theme="8" tint="0.79998168889431442"/>
      </top>
      <bottom/>
      <diagonal/>
    </border>
    <border>
      <left/>
      <right/>
      <top/>
      <bottom style="thin">
        <color theme="8" tint="0.79995117038483843"/>
      </bottom>
      <diagonal/>
    </border>
    <border>
      <left/>
      <right/>
      <top style="thin">
        <color theme="8" tint="0.79995117038483843"/>
      </top>
      <bottom/>
      <diagonal/>
    </border>
    <border>
      <left/>
      <right/>
      <top/>
      <bottom style="thin">
        <color theme="8" tint="0.79992065187536243"/>
      </bottom>
      <diagonal/>
    </border>
    <border>
      <left/>
      <right/>
      <top style="thin">
        <color theme="8" tint="0.79992065187536243"/>
      </top>
      <bottom/>
      <diagonal/>
    </border>
    <border>
      <left/>
      <right/>
      <top/>
      <bottom style="thin">
        <color theme="8" tint="0.79989013336588644"/>
      </bottom>
      <diagonal/>
    </border>
    <border>
      <left/>
      <right/>
      <top style="thin">
        <color theme="8" tint="0.79989013336588644"/>
      </top>
      <bottom/>
      <diagonal/>
    </border>
    <border>
      <left/>
      <right/>
      <top/>
      <bottom style="thin">
        <color theme="8" tint="0.79985961485641044"/>
      </bottom>
      <diagonal/>
    </border>
    <border>
      <left/>
      <right style="thin">
        <color theme="8" tint="0.79998168889431442"/>
      </right>
      <top/>
      <bottom/>
      <diagonal/>
    </border>
    <border>
      <left/>
      <right style="thin">
        <color theme="8" tint="0.79998168889431442"/>
      </right>
      <top style="thin">
        <color theme="8" tint="0.79998168889431442"/>
      </top>
      <bottom/>
      <diagonal/>
    </border>
    <border>
      <left/>
      <right style="thin">
        <color theme="8" tint="0.79998168889431442"/>
      </right>
      <top/>
      <bottom style="thin">
        <color theme="8" tint="0.79995117038483843"/>
      </bottom>
      <diagonal/>
    </border>
    <border>
      <left/>
      <right style="thin">
        <color theme="8" tint="0.79998168889431442"/>
      </right>
      <top style="thin">
        <color theme="8" tint="0.79995117038483843"/>
      </top>
      <bottom/>
      <diagonal/>
    </border>
    <border>
      <left/>
      <right style="thin">
        <color theme="8" tint="0.79998168889431442"/>
      </right>
      <top/>
      <bottom style="thin">
        <color theme="8" tint="0.79992065187536243"/>
      </bottom>
      <diagonal/>
    </border>
    <border>
      <left/>
      <right style="thin">
        <color theme="8" tint="0.79998168889431442"/>
      </right>
      <top style="thin">
        <color theme="8" tint="0.79992065187536243"/>
      </top>
      <bottom/>
      <diagonal/>
    </border>
    <border>
      <left/>
      <right style="thin">
        <color theme="8" tint="0.79998168889431442"/>
      </right>
      <top/>
      <bottom style="thin">
        <color theme="8" tint="0.79989013336588644"/>
      </bottom>
      <diagonal/>
    </border>
    <border>
      <left/>
      <right style="thin">
        <color theme="8" tint="0.79998168889431442"/>
      </right>
      <top style="thin">
        <color theme="8" tint="0.79989013336588644"/>
      </top>
      <bottom/>
      <diagonal/>
    </border>
    <border>
      <left/>
      <right style="thin">
        <color theme="8" tint="0.79998168889431442"/>
      </right>
      <top/>
      <bottom style="thin">
        <color theme="8" tint="0.79985961485641044"/>
      </bottom>
      <diagonal/>
    </border>
    <border>
      <left style="thin">
        <color theme="8" tint="0.79998168889431442"/>
      </left>
      <right style="thin">
        <color theme="8" tint="0.79995117038483843"/>
      </right>
      <top/>
      <bottom/>
      <diagonal/>
    </border>
    <border>
      <left style="thin">
        <color theme="8" tint="0.79998168889431442"/>
      </left>
      <right style="thin">
        <color theme="8" tint="0.79995117038483843"/>
      </right>
      <top style="thin">
        <color theme="8" tint="0.79998168889431442"/>
      </top>
      <bottom/>
      <diagonal/>
    </border>
    <border>
      <left style="thin">
        <color theme="8" tint="0.79998168889431442"/>
      </left>
      <right style="thin">
        <color theme="8" tint="0.79995117038483843"/>
      </right>
      <top style="thin">
        <color theme="8" tint="0.79995117038483843"/>
      </top>
      <bottom/>
      <diagonal/>
    </border>
    <border>
      <left style="thin">
        <color theme="8" tint="0.79998168889431442"/>
      </left>
      <right style="thin">
        <color theme="8" tint="0.79995117038483843"/>
      </right>
      <top style="thin">
        <color theme="8" tint="0.79992065187536243"/>
      </top>
      <bottom/>
      <diagonal/>
    </border>
    <border>
      <left style="thin">
        <color theme="8" tint="0.79998168889431442"/>
      </left>
      <right style="thin">
        <color theme="8" tint="0.79995117038483843"/>
      </right>
      <top style="thin">
        <color theme="8" tint="0.79989013336588644"/>
      </top>
      <bottom/>
      <diagonal/>
    </border>
    <border>
      <left style="thin">
        <color theme="8" tint="0.79995117038483843"/>
      </left>
      <right style="thin">
        <color theme="8" tint="0.79992065187536243"/>
      </right>
      <top/>
      <bottom/>
      <diagonal/>
    </border>
    <border>
      <left style="thin">
        <color theme="8" tint="0.79995117038483843"/>
      </left>
      <right style="thin">
        <color theme="8" tint="0.79992065187536243"/>
      </right>
      <top style="thin">
        <color theme="8" tint="0.79998168889431442"/>
      </top>
      <bottom/>
      <diagonal/>
    </border>
    <border>
      <left style="thin">
        <color theme="8" tint="0.79995117038483843"/>
      </left>
      <right style="thin">
        <color theme="8" tint="0.79992065187536243"/>
      </right>
      <top style="thin">
        <color theme="8" tint="0.79995117038483843"/>
      </top>
      <bottom/>
      <diagonal/>
    </border>
    <border>
      <left style="thin">
        <color theme="8" tint="0.79995117038483843"/>
      </left>
      <right style="thin">
        <color theme="8" tint="0.79992065187536243"/>
      </right>
      <top style="thin">
        <color theme="8" tint="0.79992065187536243"/>
      </top>
      <bottom/>
      <diagonal/>
    </border>
    <border>
      <left style="thin">
        <color theme="8" tint="0.79995117038483843"/>
      </left>
      <right style="thin">
        <color theme="8" tint="0.79992065187536243"/>
      </right>
      <top style="thin">
        <color theme="8" tint="0.79989013336588644"/>
      </top>
      <bottom/>
      <diagonal/>
    </border>
    <border>
      <left style="thin">
        <color theme="8" tint="0.79992065187536243"/>
      </left>
      <right style="thin">
        <color theme="8" tint="0.79989013336588644"/>
      </right>
      <top/>
      <bottom style="thin">
        <color theme="8" tint="0.79985961485641044"/>
      </bottom>
      <diagonal/>
    </border>
    <border>
      <left style="thin">
        <color theme="8" tint="0.79992065187536243"/>
      </left>
      <right style="thin">
        <color theme="8" tint="0.79989013336588644"/>
      </right>
      <top/>
      <bottom/>
      <diagonal/>
    </border>
    <border>
      <left style="thin">
        <color theme="8" tint="0.79992065187536243"/>
      </left>
      <right style="thin">
        <color theme="8" tint="0.79989013336588644"/>
      </right>
      <top style="thin">
        <color theme="8" tint="0.79998168889431442"/>
      </top>
      <bottom/>
      <diagonal/>
    </border>
    <border>
      <left style="thin">
        <color theme="8" tint="0.79992065187536243"/>
      </left>
      <right style="thin">
        <color theme="8" tint="0.79989013336588644"/>
      </right>
      <top style="thin">
        <color theme="8" tint="0.79995117038483843"/>
      </top>
      <bottom/>
      <diagonal/>
    </border>
    <border>
      <left style="thin">
        <color theme="8" tint="0.79992065187536243"/>
      </left>
      <right style="thin">
        <color theme="8" tint="0.79989013336588644"/>
      </right>
      <top style="thin">
        <color theme="8" tint="0.79992065187536243"/>
      </top>
      <bottom/>
      <diagonal/>
    </border>
    <border>
      <left style="thin">
        <color theme="8" tint="0.79992065187536243"/>
      </left>
      <right style="thin">
        <color theme="8" tint="0.79989013336588644"/>
      </right>
      <top style="thin">
        <color theme="8" tint="0.79989013336588644"/>
      </top>
      <bottom/>
      <diagonal/>
    </border>
    <border>
      <left style="thin">
        <color theme="8" tint="0.79989013336588644"/>
      </left>
      <right style="thin">
        <color theme="8" tint="0.79985961485641044"/>
      </right>
      <top/>
      <bottom/>
      <diagonal/>
    </border>
    <border>
      <left style="thin">
        <color theme="8" tint="0.79989013336588644"/>
      </left>
      <right style="thin">
        <color theme="8" tint="0.79985961485641044"/>
      </right>
      <top style="thin">
        <color theme="8" tint="0.79998168889431442"/>
      </top>
      <bottom/>
      <diagonal/>
    </border>
    <border>
      <left style="thin">
        <color theme="8" tint="0.79989013336588644"/>
      </left>
      <right style="thin">
        <color theme="8" tint="0.79985961485641044"/>
      </right>
      <top style="thin">
        <color theme="8" tint="0.79995117038483843"/>
      </top>
      <bottom/>
      <diagonal/>
    </border>
    <border>
      <left style="thin">
        <color theme="8" tint="0.79989013336588644"/>
      </left>
      <right style="thin">
        <color theme="8" tint="0.79985961485641044"/>
      </right>
      <top style="thin">
        <color theme="8" tint="0.79992065187536243"/>
      </top>
      <bottom/>
      <diagonal/>
    </border>
    <border>
      <left style="thin">
        <color theme="8" tint="0.79989013336588644"/>
      </left>
      <right style="thin">
        <color theme="8" tint="0.79985961485641044"/>
      </right>
      <top style="thin">
        <color theme="8" tint="0.79989013336588644"/>
      </top>
      <bottom/>
      <diagonal/>
    </border>
    <border>
      <left style="thin">
        <color theme="8" tint="0.79985961485641044"/>
      </left>
      <right style="thin">
        <color theme="8" tint="0.79982909634693444"/>
      </right>
      <top/>
      <bottom style="thin">
        <color theme="8" tint="0.79985961485641044"/>
      </bottom>
      <diagonal/>
    </border>
    <border>
      <left style="thin">
        <color theme="8" tint="0.79985961485641044"/>
      </left>
      <right style="thin">
        <color theme="8" tint="0.79982909634693444"/>
      </right>
      <top/>
      <bottom/>
      <diagonal/>
    </border>
    <border>
      <left style="thin">
        <color theme="8" tint="0.79985961485641044"/>
      </left>
      <right style="thin">
        <color theme="8" tint="0.79982909634693444"/>
      </right>
      <top style="thin">
        <color theme="8" tint="0.79998168889431442"/>
      </top>
      <bottom/>
      <diagonal/>
    </border>
    <border>
      <left style="thin">
        <color theme="8" tint="0.79985961485641044"/>
      </left>
      <right style="thin">
        <color theme="8" tint="0.79982909634693444"/>
      </right>
      <top style="thin">
        <color theme="8" tint="0.79995117038483843"/>
      </top>
      <bottom/>
      <diagonal/>
    </border>
    <border>
      <left style="thin">
        <color theme="8" tint="0.79985961485641044"/>
      </left>
      <right style="thin">
        <color theme="8" tint="0.79982909634693444"/>
      </right>
      <top style="thin">
        <color theme="8" tint="0.79992065187536243"/>
      </top>
      <bottom/>
      <diagonal/>
    </border>
    <border>
      <left style="thin">
        <color theme="8" tint="0.79985961485641044"/>
      </left>
      <right style="thin">
        <color theme="8" tint="0.79982909634693444"/>
      </right>
      <top style="thin">
        <color theme="8" tint="0.79989013336588644"/>
      </top>
      <bottom/>
      <diagonal/>
    </border>
    <border>
      <left style="thin">
        <color theme="8" tint="0.79998168889431442"/>
      </left>
      <right style="thin">
        <color theme="8" tint="0.79998168889431442"/>
      </right>
      <top/>
      <bottom/>
      <diagonal/>
    </border>
    <border>
      <left style="thin">
        <color theme="8" tint="0.79998168889431442"/>
      </left>
      <right style="thin">
        <color theme="8" tint="0.79998168889431442"/>
      </right>
      <top style="thin">
        <color theme="8" tint="0.79998168889431442"/>
      </top>
      <bottom/>
      <diagonal/>
    </border>
    <border>
      <left style="thin">
        <color theme="8" tint="0.79998168889431442"/>
      </left>
      <right style="thin">
        <color theme="8" tint="0.79998168889431442"/>
      </right>
      <top/>
      <bottom style="thin">
        <color theme="8" tint="0.79998168889431442"/>
      </bottom>
      <diagonal/>
    </border>
    <border>
      <left style="thin">
        <color rgb="FFB4C6E7"/>
      </left>
      <right/>
      <top style="thin">
        <color rgb="FFB4C6E7"/>
      </top>
      <bottom style="thin">
        <color rgb="FFB4C6E7"/>
      </bottom>
      <diagonal/>
    </border>
    <border>
      <left/>
      <right/>
      <top style="thin">
        <color rgb="FFB4C6E7"/>
      </top>
      <bottom style="thin">
        <color rgb="FFB4C6E7"/>
      </bottom>
      <diagonal/>
    </border>
    <border>
      <left/>
      <right style="thin">
        <color rgb="FFB4C6E7"/>
      </right>
      <top style="thin">
        <color rgb="FFB4C6E7"/>
      </top>
      <bottom style="thin">
        <color rgb="FFB4C6E7"/>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18">
    <xf numFmtId="0" fontId="0" fillId="0" borderId="0" applyFill="0" applyBorder="0" applyProtection="0"/>
    <xf numFmtId="0" fontId="13" fillId="3" borderId="0" applyNumberFormat="0" applyBorder="0" applyAlignment="0" applyProtection="0"/>
    <xf numFmtId="0" fontId="7" fillId="0" borderId="0" applyNumberFormat="0" applyFill="0" applyProtection="0">
      <alignment horizontal="left" indent="3"/>
    </xf>
    <xf numFmtId="0" fontId="4" fillId="4" borderId="1" applyNumberFormat="0" applyAlignment="0" applyProtection="0"/>
    <xf numFmtId="0" fontId="5" fillId="5" borderId="2" applyNumberFormat="0" applyProtection="0">
      <alignment vertical="center"/>
    </xf>
    <xf numFmtId="164" fontId="9" fillId="0" borderId="9" applyFill="0" applyProtection="0">
      <alignment horizontal="left" vertical="center" wrapText="1" indent="1"/>
    </xf>
    <xf numFmtId="164" fontId="12" fillId="0" borderId="6" applyFill="0" applyProtection="0">
      <alignment horizontal="left" vertical="top" wrapText="1" indent="1"/>
    </xf>
    <xf numFmtId="164" fontId="2" fillId="0" borderId="0" applyNumberFormat="0" applyFill="0" applyProtection="0">
      <alignment horizontal="left" vertical="top" wrapText="1" indent="1"/>
    </xf>
    <xf numFmtId="164" fontId="11" fillId="0" borderId="8" applyNumberFormat="0" applyFill="0" applyProtection="0">
      <alignment horizontal="left" vertical="center" wrapText="1" indent="1"/>
    </xf>
    <xf numFmtId="0" fontId="6" fillId="6" borderId="0" applyNumberFormat="0" applyBorder="0" applyProtection="0">
      <alignment horizontal="center"/>
    </xf>
    <xf numFmtId="0" fontId="10" fillId="7" borderId="3" applyNumberFormat="0" applyProtection="0">
      <alignment horizontal="left" vertical="center" indent="1"/>
    </xf>
    <xf numFmtId="0" fontId="10" fillId="6" borderId="3" applyNumberFormat="0" applyProtection="0">
      <alignment horizontal="left" indent="1"/>
    </xf>
    <xf numFmtId="0" fontId="8" fillId="0" borderId="0" applyNumberFormat="0" applyFill="0" applyBorder="0" applyAlignment="0" applyProtection="0"/>
    <xf numFmtId="0" fontId="11" fillId="8" borderId="10" applyNumberFormat="0" applyFont="0" applyAlignment="0" applyProtection="0"/>
    <xf numFmtId="0" fontId="15" fillId="0" borderId="0" applyNumberFormat="0" applyFill="0" applyBorder="0" applyAlignment="0" applyProtection="0"/>
    <xf numFmtId="0" fontId="14" fillId="0" borderId="11" applyNumberFormat="0" applyFill="0" applyAlignment="0" applyProtection="0"/>
    <xf numFmtId="0" fontId="34" fillId="0" borderId="0" applyNumberFormat="0" applyFill="0" applyBorder="0" applyAlignment="0" applyProtection="0"/>
    <xf numFmtId="9" fontId="11" fillId="0" borderId="0" applyFont="0" applyFill="0" applyBorder="0" applyAlignment="0" applyProtection="0"/>
  </cellStyleXfs>
  <cellXfs count="169">
    <xf numFmtId="0" fontId="0" fillId="0" borderId="0" xfId="0"/>
    <xf numFmtId="0" fontId="16" fillId="0" borderId="0" xfId="6" applyNumberFormat="1" applyFont="1" applyFill="1" applyBorder="1">
      <alignment horizontal="left" vertical="top" wrapText="1" indent="1"/>
    </xf>
    <xf numFmtId="0" fontId="16" fillId="0" borderId="0" xfId="7" applyNumberFormat="1" applyFont="1">
      <alignment horizontal="left" vertical="top" wrapText="1" indent="1"/>
    </xf>
    <xf numFmtId="164" fontId="17" fillId="0" borderId="0" xfId="5" applyFont="1" applyFill="1" applyBorder="1" applyAlignment="1">
      <alignment horizontal="left" wrapText="1" indent="1"/>
    </xf>
    <xf numFmtId="0" fontId="19" fillId="0" borderId="0" xfId="0" applyFont="1"/>
    <xf numFmtId="0" fontId="19" fillId="2" borderId="0" xfId="0" applyFont="1" applyFill="1"/>
    <xf numFmtId="0" fontId="20" fillId="0" borderId="0" xfId="0" applyFont="1"/>
    <xf numFmtId="0" fontId="19" fillId="0" borderId="0" xfId="0" applyFont="1" applyAlignment="1">
      <alignment horizontal="left" indent="1"/>
    </xf>
    <xf numFmtId="0" fontId="18" fillId="0" borderId="0" xfId="0" applyFont="1"/>
    <xf numFmtId="0" fontId="17" fillId="0" borderId="0" xfId="0" applyFont="1" applyAlignment="1">
      <alignment horizontal="left" indent="1"/>
    </xf>
    <xf numFmtId="0" fontId="19" fillId="0" borderId="0" xfId="0" applyFont="1" applyBorder="1"/>
    <xf numFmtId="164" fontId="17" fillId="0" borderId="9" xfId="5" applyFont="1" applyFill="1" applyAlignment="1">
      <alignment horizontal="left" wrapText="1" indent="1"/>
    </xf>
    <xf numFmtId="164" fontId="17" fillId="0" borderId="12" xfId="5" applyFont="1" applyFill="1" applyBorder="1" applyAlignment="1">
      <alignment horizontal="left" wrapText="1" indent="1"/>
    </xf>
    <xf numFmtId="164" fontId="17" fillId="0" borderId="14" xfId="5" applyFont="1" applyFill="1" applyBorder="1" applyAlignment="1">
      <alignment horizontal="left" wrapText="1" indent="1"/>
    </xf>
    <xf numFmtId="164" fontId="17" fillId="0" borderId="31" xfId="5" applyFont="1" applyFill="1" applyBorder="1" applyAlignment="1">
      <alignment horizontal="left" wrapText="1" indent="1"/>
    </xf>
    <xf numFmtId="164" fontId="17" fillId="0" borderId="32" xfId="5" applyFont="1" applyFill="1" applyBorder="1" applyAlignment="1">
      <alignment horizontal="left" wrapText="1" indent="1"/>
    </xf>
    <xf numFmtId="164" fontId="17" fillId="0" borderId="33" xfId="5" applyFont="1" applyFill="1" applyBorder="1" applyAlignment="1">
      <alignment horizontal="left" wrapText="1" indent="1"/>
    </xf>
    <xf numFmtId="164" fontId="17" fillId="0" borderId="36" xfId="5" applyFont="1" applyFill="1" applyBorder="1" applyAlignment="1">
      <alignment horizontal="left" wrapText="1" indent="1"/>
    </xf>
    <xf numFmtId="164" fontId="17" fillId="0" borderId="37" xfId="5" applyFont="1" applyFill="1" applyBorder="1" applyAlignment="1">
      <alignment horizontal="left" wrapText="1" indent="1"/>
    </xf>
    <xf numFmtId="164" fontId="17" fillId="0" borderId="38" xfId="5" applyFont="1" applyFill="1" applyBorder="1" applyAlignment="1">
      <alignment horizontal="left" wrapText="1" indent="1"/>
    </xf>
    <xf numFmtId="164" fontId="17" fillId="0" borderId="42" xfId="5" applyFont="1" applyFill="1" applyBorder="1" applyAlignment="1">
      <alignment horizontal="left" wrapText="1" indent="1"/>
    </xf>
    <xf numFmtId="164" fontId="17" fillId="0" borderId="43" xfId="5" applyFont="1" applyFill="1" applyBorder="1" applyAlignment="1">
      <alignment horizontal="left" wrapText="1" indent="1"/>
    </xf>
    <xf numFmtId="164" fontId="17" fillId="0" borderId="44" xfId="5" applyFont="1" applyFill="1" applyBorder="1" applyAlignment="1">
      <alignment horizontal="left" wrapText="1" indent="1"/>
    </xf>
    <xf numFmtId="164" fontId="17" fillId="0" borderId="47" xfId="5" applyFont="1" applyFill="1" applyBorder="1" applyAlignment="1">
      <alignment horizontal="left" wrapText="1" indent="1"/>
    </xf>
    <xf numFmtId="164" fontId="17" fillId="0" borderId="48" xfId="5" applyFont="1" applyFill="1" applyBorder="1" applyAlignment="1">
      <alignment horizontal="left" wrapText="1" indent="1"/>
    </xf>
    <xf numFmtId="164" fontId="17" fillId="0" borderId="49" xfId="5" applyFont="1" applyFill="1" applyBorder="1" applyAlignment="1">
      <alignment horizontal="left" wrapText="1" indent="1"/>
    </xf>
    <xf numFmtId="164" fontId="17" fillId="0" borderId="53" xfId="5" applyFont="1" applyFill="1" applyBorder="1" applyAlignment="1">
      <alignment horizontal="left" wrapText="1" indent="1"/>
    </xf>
    <xf numFmtId="164" fontId="17" fillId="0" borderId="54" xfId="5" applyFont="1" applyFill="1" applyBorder="1" applyAlignment="1">
      <alignment horizontal="left" wrapText="1" indent="1"/>
    </xf>
    <xf numFmtId="164" fontId="17" fillId="0" borderId="55" xfId="5" applyFont="1" applyFill="1" applyBorder="1" applyAlignment="1">
      <alignment horizontal="left" wrapText="1" indent="1"/>
    </xf>
    <xf numFmtId="164" fontId="17" fillId="0" borderId="58" xfId="5" applyFont="1" applyFill="1" applyBorder="1" applyAlignment="1">
      <alignment horizontal="left" wrapText="1" indent="1"/>
    </xf>
    <xf numFmtId="164" fontId="17" fillId="0" borderId="59" xfId="5" applyFont="1" applyFill="1" applyBorder="1" applyAlignment="1">
      <alignment horizontal="left" wrapText="1" indent="1"/>
    </xf>
    <xf numFmtId="164" fontId="17" fillId="9" borderId="0" xfId="5" applyFont="1" applyFill="1" applyBorder="1" applyAlignment="1">
      <alignment horizontal="left" wrapText="1" indent="1"/>
    </xf>
    <xf numFmtId="164" fontId="17" fillId="9" borderId="14" xfId="5" applyFont="1" applyFill="1" applyBorder="1" applyAlignment="1">
      <alignment horizontal="left" wrapText="1" indent="1"/>
    </xf>
    <xf numFmtId="164" fontId="17" fillId="9" borderId="12" xfId="5" applyFont="1" applyFill="1" applyBorder="1" applyAlignment="1">
      <alignment horizontal="left" wrapText="1" indent="1"/>
    </xf>
    <xf numFmtId="164" fontId="17" fillId="9" borderId="9" xfId="5" applyFont="1" applyFill="1" applyAlignment="1">
      <alignment horizontal="left" wrapText="1" indent="1"/>
    </xf>
    <xf numFmtId="164" fontId="17" fillId="9" borderId="5" xfId="5" applyFont="1" applyFill="1" applyBorder="1" applyAlignment="1">
      <alignment horizontal="left" wrapText="1" indent="1"/>
    </xf>
    <xf numFmtId="164" fontId="17" fillId="9" borderId="4" xfId="5" applyFont="1" applyFill="1" applyBorder="1" applyAlignment="1">
      <alignment horizontal="left" wrapText="1" indent="1"/>
    </xf>
    <xf numFmtId="14" fontId="0" fillId="0" borderId="0" xfId="0" applyNumberFormat="1"/>
    <xf numFmtId="0" fontId="24" fillId="0" borderId="64" xfId="0" applyFont="1" applyBorder="1"/>
    <xf numFmtId="0" fontId="24" fillId="0" borderId="66" xfId="0" applyFont="1" applyBorder="1"/>
    <xf numFmtId="0" fontId="24" fillId="0" borderId="65" xfId="0" applyFont="1" applyBorder="1"/>
    <xf numFmtId="14" fontId="17" fillId="0" borderId="0" xfId="0" applyNumberFormat="1" applyFont="1" applyAlignment="1">
      <alignment horizontal="left" indent="1"/>
    </xf>
    <xf numFmtId="2" fontId="0" fillId="0" borderId="0" xfId="0" applyNumberFormat="1"/>
    <xf numFmtId="164" fontId="17" fillId="10" borderId="59" xfId="5" applyFont="1" applyFill="1" applyBorder="1" applyAlignment="1">
      <alignment horizontal="left" wrapText="1" indent="1"/>
    </xf>
    <xf numFmtId="0" fontId="22" fillId="11" borderId="62" xfId="2" applyFont="1" applyFill="1" applyBorder="1" applyAlignment="1"/>
    <xf numFmtId="0" fontId="19" fillId="11" borderId="62" xfId="0" applyFont="1" applyFill="1" applyBorder="1"/>
    <xf numFmtId="0" fontId="19" fillId="11" borderId="63" xfId="0" applyFont="1" applyFill="1" applyBorder="1"/>
    <xf numFmtId="0" fontId="26" fillId="11" borderId="61" xfId="9" applyFont="1" applyFill="1" applyBorder="1">
      <alignment horizontal="center"/>
    </xf>
    <xf numFmtId="0" fontId="26" fillId="11" borderId="62" xfId="2" applyFont="1" applyFill="1" applyBorder="1" applyAlignment="1">
      <alignment horizontal="left"/>
    </xf>
    <xf numFmtId="0" fontId="27" fillId="11" borderId="61" xfId="9" applyFont="1" applyFill="1" applyBorder="1" applyAlignment="1">
      <alignment horizontal="center" vertical="center"/>
    </xf>
    <xf numFmtId="0" fontId="27" fillId="12" borderId="61" xfId="9" applyFont="1" applyFill="1" applyBorder="1" applyAlignment="1">
      <alignment horizontal="center" vertical="center"/>
    </xf>
    <xf numFmtId="164" fontId="17" fillId="9" borderId="16" xfId="5" applyFont="1" applyFill="1" applyBorder="1" applyAlignment="1">
      <alignment horizontal="left" wrapText="1" indent="1"/>
    </xf>
    <xf numFmtId="164" fontId="17" fillId="9" borderId="22" xfId="5" applyFont="1" applyFill="1" applyBorder="1" applyAlignment="1">
      <alignment horizontal="left" wrapText="1" indent="1"/>
    </xf>
    <xf numFmtId="164" fontId="17" fillId="9" borderId="23" xfId="5" applyFont="1" applyFill="1" applyBorder="1" applyAlignment="1">
      <alignment horizontal="left" wrapText="1" indent="1"/>
    </xf>
    <xf numFmtId="164" fontId="17" fillId="9" borderId="25" xfId="5" applyFont="1" applyFill="1" applyBorder="1" applyAlignment="1">
      <alignment horizontal="left" wrapText="1" indent="1"/>
    </xf>
    <xf numFmtId="0" fontId="18" fillId="9" borderId="13" xfId="6" applyNumberFormat="1" applyFont="1" applyFill="1" applyBorder="1" applyAlignment="1">
      <alignment horizontal="left" vertical="center" wrapText="1" indent="1"/>
    </xf>
    <xf numFmtId="0" fontId="18" fillId="9" borderId="24" xfId="6" applyNumberFormat="1" applyFont="1" applyFill="1" applyBorder="1" applyAlignment="1">
      <alignment horizontal="left" vertical="center" wrapText="1" indent="1"/>
    </xf>
    <xf numFmtId="0" fontId="18" fillId="9" borderId="15" xfId="6" applyNumberFormat="1" applyFont="1" applyFill="1" applyBorder="1" applyAlignment="1">
      <alignment horizontal="left" vertical="center" wrapText="1" indent="1"/>
    </xf>
    <xf numFmtId="0" fontId="18" fillId="9" borderId="26" xfId="6" applyNumberFormat="1" applyFont="1" applyFill="1" applyBorder="1" applyAlignment="1">
      <alignment horizontal="left" vertical="center" wrapText="1" indent="1"/>
    </xf>
    <xf numFmtId="0" fontId="18" fillId="9" borderId="17" xfId="6" applyNumberFormat="1" applyFont="1" applyFill="1" applyBorder="1" applyAlignment="1">
      <alignment horizontal="left" vertical="center" wrapText="1" indent="1"/>
    </xf>
    <xf numFmtId="164" fontId="17" fillId="9" borderId="27" xfId="5" applyFont="1" applyFill="1" applyBorder="1">
      <alignment horizontal="left" vertical="center" wrapText="1" indent="1"/>
    </xf>
    <xf numFmtId="164" fontId="17" fillId="0" borderId="34" xfId="5" applyFont="1" applyFill="1" applyBorder="1">
      <alignment horizontal="left" vertical="center" wrapText="1" indent="1"/>
    </xf>
    <xf numFmtId="164" fontId="17" fillId="0" borderId="39" xfId="5" applyFont="1" applyFill="1" applyBorder="1">
      <alignment horizontal="left" vertical="center" wrapText="1" indent="1"/>
    </xf>
    <xf numFmtId="164" fontId="17" fillId="0" borderId="45" xfId="5" applyFont="1" applyFill="1" applyBorder="1">
      <alignment horizontal="left" vertical="center" wrapText="1" indent="1"/>
    </xf>
    <xf numFmtId="164" fontId="17" fillId="0" borderId="50" xfId="5" applyFont="1" applyFill="1" applyBorder="1">
      <alignment horizontal="left" vertical="center" wrapText="1" indent="1"/>
    </xf>
    <xf numFmtId="164" fontId="17" fillId="0" borderId="56" xfId="5" applyFont="1" applyFill="1" applyBorder="1">
      <alignment horizontal="left" vertical="center" wrapText="1" indent="1"/>
    </xf>
    <xf numFmtId="164" fontId="17" fillId="9" borderId="18" xfId="5" applyFont="1" applyFill="1" applyBorder="1">
      <alignment horizontal="left" vertical="center" wrapText="1" indent="1"/>
    </xf>
    <xf numFmtId="0" fontId="18" fillId="9" borderId="28" xfId="6" applyNumberFormat="1" applyFont="1" applyFill="1" applyBorder="1" applyAlignment="1">
      <alignment horizontal="left" vertical="center" wrapText="1" indent="1"/>
    </xf>
    <xf numFmtId="0" fontId="18" fillId="9" borderId="19" xfId="6" applyNumberFormat="1" applyFont="1" applyFill="1" applyBorder="1" applyAlignment="1">
      <alignment horizontal="left" vertical="center" wrapText="1" indent="1"/>
    </xf>
    <xf numFmtId="164" fontId="17" fillId="9" borderId="29" xfId="5" applyFont="1" applyFill="1" applyBorder="1">
      <alignment horizontal="left" vertical="center" wrapText="1" indent="1"/>
    </xf>
    <xf numFmtId="164" fontId="17" fillId="0" borderId="35" xfId="5" applyFont="1" applyFill="1" applyBorder="1">
      <alignment horizontal="left" vertical="center" wrapText="1" indent="1"/>
    </xf>
    <xf numFmtId="164" fontId="17" fillId="0" borderId="40" xfId="5" applyFont="1" applyFill="1" applyBorder="1">
      <alignment horizontal="left" vertical="center" wrapText="1" indent="1"/>
    </xf>
    <xf numFmtId="164" fontId="17" fillId="0" borderId="46" xfId="5" applyFont="1" applyFill="1" applyBorder="1">
      <alignment horizontal="left" vertical="center" wrapText="1" indent="1"/>
    </xf>
    <xf numFmtId="164" fontId="17" fillId="0" borderId="51" xfId="5" applyFont="1" applyFill="1" applyBorder="1">
      <alignment horizontal="left" vertical="center" wrapText="1" indent="1"/>
    </xf>
    <xf numFmtId="164" fontId="17" fillId="0" borderId="57" xfId="5" applyFont="1" applyFill="1" applyBorder="1">
      <alignment horizontal="left" vertical="center" wrapText="1" indent="1"/>
    </xf>
    <xf numFmtId="164" fontId="17" fillId="9" borderId="20" xfId="5" applyFont="1" applyFill="1" applyBorder="1">
      <alignment horizontal="left" vertical="center" wrapText="1" indent="1"/>
    </xf>
    <xf numFmtId="0" fontId="18" fillId="9" borderId="30" xfId="6" applyNumberFormat="1" applyFont="1" applyFill="1" applyBorder="1" applyAlignment="1">
      <alignment horizontal="left" vertical="center" wrapText="1" indent="1"/>
    </xf>
    <xf numFmtId="0" fontId="18" fillId="9" borderId="21" xfId="6" applyNumberFormat="1" applyFont="1" applyFill="1" applyBorder="1" applyAlignment="1">
      <alignment horizontal="left" vertical="center" wrapText="1" indent="1"/>
    </xf>
    <xf numFmtId="164" fontId="17" fillId="9" borderId="22" xfId="5" applyFont="1" applyFill="1" applyBorder="1">
      <alignment horizontal="left" vertical="center" wrapText="1" indent="1"/>
    </xf>
    <xf numFmtId="164" fontId="17" fillId="0" borderId="31" xfId="5" applyFont="1" applyFill="1" applyBorder="1">
      <alignment horizontal="left" vertical="center" wrapText="1" indent="1"/>
    </xf>
    <xf numFmtId="0" fontId="18" fillId="9" borderId="22" xfId="6" applyNumberFormat="1" applyFont="1" applyFill="1" applyBorder="1" applyAlignment="1">
      <alignment horizontal="left" vertical="center" wrapText="1" indent="1"/>
    </xf>
    <xf numFmtId="0" fontId="18" fillId="9" borderId="0" xfId="6" applyNumberFormat="1" applyFont="1" applyFill="1" applyBorder="1" applyAlignment="1">
      <alignment horizontal="left" vertical="center" wrapText="1" indent="1"/>
    </xf>
    <xf numFmtId="0" fontId="18" fillId="0" borderId="0" xfId="6" applyNumberFormat="1" applyFont="1" applyFill="1" applyBorder="1" applyAlignment="1">
      <alignment horizontal="left" vertical="center" wrapText="1" indent="1"/>
    </xf>
    <xf numFmtId="0" fontId="18" fillId="9" borderId="6" xfId="6" applyNumberFormat="1" applyFont="1" applyFill="1" applyAlignment="1">
      <alignment horizontal="left" vertical="center" wrapText="1" indent="1"/>
    </xf>
    <xf numFmtId="0" fontId="18" fillId="9" borderId="5" xfId="6" applyNumberFormat="1" applyFont="1" applyFill="1" applyBorder="1" applyAlignment="1">
      <alignment horizontal="left" vertical="center" wrapText="1" indent="1"/>
    </xf>
    <xf numFmtId="0" fontId="18" fillId="9" borderId="7" xfId="6" applyNumberFormat="1" applyFont="1" applyFill="1" applyBorder="1" applyAlignment="1">
      <alignment horizontal="left" vertical="center" wrapText="1" indent="1"/>
    </xf>
    <xf numFmtId="0" fontId="18" fillId="0" borderId="13" xfId="6" applyNumberFormat="1" applyFont="1" applyFill="1" applyBorder="1" applyAlignment="1">
      <alignment horizontal="left" vertical="center" wrapText="1" indent="1"/>
    </xf>
    <xf numFmtId="0" fontId="19" fillId="0" borderId="67" xfId="0" applyFont="1" applyBorder="1"/>
    <xf numFmtId="0" fontId="19" fillId="0" borderId="69" xfId="0" applyFont="1" applyBorder="1"/>
    <xf numFmtId="0" fontId="24" fillId="0" borderId="0" xfId="0" applyFont="1" applyFill="1" applyBorder="1"/>
    <xf numFmtId="165" fontId="0" fillId="0" borderId="64" xfId="0" applyNumberFormat="1" applyBorder="1" applyAlignment="1">
      <alignment vertical="top" wrapText="1"/>
    </xf>
    <xf numFmtId="165" fontId="0" fillId="0" borderId="65" xfId="0" applyNumberFormat="1" applyBorder="1"/>
    <xf numFmtId="165" fontId="0" fillId="0" borderId="66" xfId="0" applyNumberFormat="1" applyBorder="1"/>
    <xf numFmtId="0" fontId="24" fillId="0" borderId="0" xfId="0" applyFont="1"/>
    <xf numFmtId="0" fontId="24" fillId="0" borderId="64" xfId="0" applyFont="1" applyBorder="1" applyAlignment="1">
      <alignment horizontal="right" vertical="top" wrapText="1"/>
    </xf>
    <xf numFmtId="2" fontId="19" fillId="0" borderId="68" xfId="0" applyNumberFormat="1" applyFont="1" applyBorder="1" applyProtection="1">
      <protection locked="0"/>
    </xf>
    <xf numFmtId="2" fontId="19" fillId="0" borderId="70" xfId="0" applyNumberFormat="1" applyFont="1" applyBorder="1" applyProtection="1">
      <protection locked="0"/>
    </xf>
    <xf numFmtId="0" fontId="18" fillId="0" borderId="41" xfId="6" applyNumberFormat="1" applyFont="1" applyFill="1" applyBorder="1" applyAlignment="1" applyProtection="1">
      <alignment horizontal="left" vertical="center" wrapText="1" indent="1"/>
      <protection locked="0"/>
    </xf>
    <xf numFmtId="0" fontId="18" fillId="0" borderId="52" xfId="6" applyNumberFormat="1" applyFont="1" applyFill="1" applyBorder="1" applyAlignment="1" applyProtection="1">
      <alignment horizontal="left" vertical="center" wrapText="1" indent="1"/>
      <protection locked="0"/>
    </xf>
    <xf numFmtId="0" fontId="18" fillId="0" borderId="31" xfId="6" applyNumberFormat="1" applyFont="1" applyFill="1" applyBorder="1" applyAlignment="1" applyProtection="1">
      <alignment horizontal="left" vertical="center" wrapText="1" indent="1"/>
      <protection locked="0"/>
    </xf>
    <xf numFmtId="0" fontId="18" fillId="0" borderId="58" xfId="6" applyNumberFormat="1" applyFont="1" applyFill="1" applyBorder="1" applyAlignment="1" applyProtection="1">
      <alignment horizontal="left" vertical="center" wrapText="1" indent="1"/>
      <protection locked="0"/>
    </xf>
    <xf numFmtId="0" fontId="18" fillId="0" borderId="60" xfId="6" applyNumberFormat="1" applyFont="1" applyFill="1" applyBorder="1" applyAlignment="1" applyProtection="1">
      <alignment horizontal="left" vertical="center" wrapText="1" indent="1"/>
      <protection locked="0"/>
    </xf>
    <xf numFmtId="0" fontId="18" fillId="9" borderId="0" xfId="6" applyNumberFormat="1" applyFont="1" applyFill="1" applyBorder="1" applyAlignment="1" applyProtection="1">
      <alignment horizontal="left" vertical="center" wrapText="1" indent="1"/>
      <protection locked="0"/>
    </xf>
    <xf numFmtId="0" fontId="0" fillId="0" borderId="0" xfId="0" applyProtection="1">
      <protection locked="0"/>
    </xf>
    <xf numFmtId="0" fontId="0" fillId="0" borderId="0" xfId="0" applyProtection="1"/>
    <xf numFmtId="0" fontId="25" fillId="0" borderId="0" xfId="0" applyFont="1" applyProtection="1"/>
    <xf numFmtId="2" fontId="0" fillId="0" borderId="0" xfId="0" applyNumberFormat="1" applyProtection="1"/>
    <xf numFmtId="166" fontId="0" fillId="0" borderId="0" xfId="0" applyNumberFormat="1" applyProtection="1"/>
    <xf numFmtId="0" fontId="0" fillId="0" borderId="69" xfId="0" applyBorder="1"/>
    <xf numFmtId="0" fontId="0" fillId="0" borderId="0" xfId="0" applyBorder="1"/>
    <xf numFmtId="0" fontId="0" fillId="0" borderId="70" xfId="0" applyBorder="1"/>
    <xf numFmtId="0" fontId="0" fillId="0" borderId="71" xfId="0" applyBorder="1"/>
    <xf numFmtId="0" fontId="0" fillId="0" borderId="73" xfId="0" applyBorder="1"/>
    <xf numFmtId="0" fontId="0" fillId="0" borderId="72" xfId="0" applyBorder="1"/>
    <xf numFmtId="0" fontId="0" fillId="0" borderId="67" xfId="0" applyBorder="1"/>
    <xf numFmtId="0" fontId="0" fillId="0" borderId="74" xfId="0" applyBorder="1"/>
    <xf numFmtId="0" fontId="0" fillId="0" borderId="68" xfId="0" applyBorder="1"/>
    <xf numFmtId="0" fontId="0" fillId="0" borderId="0" xfId="0" applyAlignment="1">
      <alignment wrapText="1"/>
    </xf>
    <xf numFmtId="0" fontId="30" fillId="0" borderId="0" xfId="0" applyFont="1"/>
    <xf numFmtId="0" fontId="19" fillId="0" borderId="71" xfId="0" applyFont="1" applyBorder="1"/>
    <xf numFmtId="0" fontId="28" fillId="11" borderId="0" xfId="0" applyFont="1" applyFill="1" applyAlignment="1" applyProtection="1">
      <alignment vertical="top"/>
    </xf>
    <xf numFmtId="0" fontId="28" fillId="11" borderId="0" xfId="0" applyFont="1" applyFill="1" applyAlignment="1" applyProtection="1">
      <alignment vertical="top" wrapText="1"/>
    </xf>
    <xf numFmtId="0" fontId="31" fillId="0" borderId="0" xfId="0" applyFont="1"/>
    <xf numFmtId="0" fontId="24" fillId="0" borderId="64" xfId="0" applyFont="1" applyBorder="1" applyAlignment="1">
      <alignment horizontal="centerContinuous"/>
    </xf>
    <xf numFmtId="165" fontId="0" fillId="0" borderId="75" xfId="0" applyNumberFormat="1" applyBorder="1" applyAlignment="1">
      <alignment vertical="top" wrapText="1"/>
    </xf>
    <xf numFmtId="0" fontId="24" fillId="0" borderId="76" xfId="0" applyFont="1" applyBorder="1" applyAlignment="1">
      <alignment horizontal="right" vertical="top" wrapText="1"/>
    </xf>
    <xf numFmtId="165" fontId="0" fillId="0" borderId="64" xfId="0" applyNumberFormat="1" applyBorder="1"/>
    <xf numFmtId="2" fontId="19" fillId="0" borderId="70" xfId="0" applyNumberFormat="1" applyFont="1" applyBorder="1" applyAlignment="1" applyProtection="1">
      <alignment wrapText="1"/>
      <protection locked="0"/>
    </xf>
    <xf numFmtId="0" fontId="19" fillId="0" borderId="69" xfId="0" applyFont="1" applyBorder="1" applyAlignment="1">
      <alignment vertical="top"/>
    </xf>
    <xf numFmtId="0" fontId="19" fillId="10" borderId="69" xfId="0" applyFont="1" applyFill="1" applyBorder="1"/>
    <xf numFmtId="0" fontId="19" fillId="10" borderId="68" xfId="0" applyFont="1" applyFill="1" applyBorder="1" applyProtection="1">
      <protection locked="0"/>
    </xf>
    <xf numFmtId="0" fontId="0" fillId="10" borderId="70" xfId="0" applyFill="1" applyBorder="1" applyAlignment="1" applyProtection="1">
      <alignment horizontal="right"/>
      <protection locked="0"/>
    </xf>
    <xf numFmtId="0" fontId="19" fillId="10" borderId="70" xfId="0" applyFont="1" applyFill="1" applyBorder="1" applyAlignment="1" applyProtection="1">
      <alignment horizontal="right"/>
      <protection locked="0"/>
    </xf>
    <xf numFmtId="0" fontId="29" fillId="10" borderId="69" xfId="0" applyFont="1" applyFill="1" applyBorder="1"/>
    <xf numFmtId="165" fontId="0" fillId="0" borderId="0" xfId="0" applyNumberFormat="1" applyBorder="1"/>
    <xf numFmtId="165" fontId="0" fillId="0" borderId="0" xfId="0" applyNumberFormat="1"/>
    <xf numFmtId="167" fontId="0" fillId="0" borderId="0" xfId="0" applyNumberFormat="1" applyProtection="1">
      <protection locked="0"/>
    </xf>
    <xf numFmtId="0" fontId="19" fillId="0" borderId="70" xfId="0" applyFont="1" applyBorder="1" applyProtection="1">
      <protection locked="0"/>
    </xf>
    <xf numFmtId="0" fontId="1" fillId="0" borderId="0" xfId="0" applyFont="1"/>
    <xf numFmtId="168" fontId="19" fillId="10" borderId="70" xfId="0" applyNumberFormat="1" applyFont="1" applyFill="1" applyBorder="1" applyProtection="1">
      <protection locked="0"/>
    </xf>
    <xf numFmtId="168" fontId="0" fillId="10" borderId="70" xfId="0" applyNumberFormat="1" applyFill="1" applyBorder="1" applyProtection="1">
      <protection locked="0"/>
    </xf>
    <xf numFmtId="0" fontId="29" fillId="0" borderId="0" xfId="0" applyFont="1" applyFill="1"/>
    <xf numFmtId="0" fontId="29" fillId="0" borderId="0" xfId="0" applyFont="1"/>
    <xf numFmtId="165" fontId="29" fillId="0" borderId="0" xfId="0" applyNumberFormat="1" applyFont="1" applyFill="1"/>
    <xf numFmtId="0" fontId="35" fillId="0" borderId="0" xfId="0" applyFont="1" applyProtection="1"/>
    <xf numFmtId="0" fontId="0" fillId="0" borderId="0" xfId="0" applyAlignment="1">
      <alignment horizontal="right"/>
    </xf>
    <xf numFmtId="168" fontId="0" fillId="0" borderId="0" xfId="0" applyNumberFormat="1" applyProtection="1">
      <protection locked="0"/>
    </xf>
    <xf numFmtId="0" fontId="38" fillId="0" borderId="0" xfId="16" applyFont="1"/>
    <xf numFmtId="0" fontId="24" fillId="0" borderId="0" xfId="0" applyFont="1" applyAlignment="1">
      <alignment horizontal="right"/>
    </xf>
    <xf numFmtId="10" fontId="0" fillId="0" borderId="0" xfId="17" applyNumberFormat="1" applyFont="1"/>
    <xf numFmtId="0" fontId="19" fillId="10" borderId="67" xfId="0" applyFont="1" applyFill="1" applyBorder="1"/>
    <xf numFmtId="0" fontId="0" fillId="0" borderId="72" xfId="0" applyBorder="1" applyProtection="1">
      <protection locked="0"/>
    </xf>
    <xf numFmtId="0" fontId="39" fillId="13" borderId="0" xfId="0" applyFont="1" applyFill="1"/>
    <xf numFmtId="0" fontId="18" fillId="13" borderId="0" xfId="0" applyFont="1" applyFill="1"/>
    <xf numFmtId="0" fontId="32" fillId="0" borderId="0" xfId="0" applyFont="1" applyAlignment="1">
      <alignment horizontal="center" vertical="top"/>
    </xf>
    <xf numFmtId="0" fontId="37" fillId="0" borderId="0" xfId="0" applyFont="1" applyAlignment="1">
      <alignment vertical="center" wrapText="1"/>
    </xf>
    <xf numFmtId="0" fontId="34" fillId="0" borderId="0" xfId="16"/>
    <xf numFmtId="0" fontId="26" fillId="11" borderId="62" xfId="2" applyFont="1" applyFill="1" applyBorder="1" applyAlignment="1">
      <alignment horizontal="left"/>
    </xf>
    <xf numFmtId="164" fontId="21" fillId="0" borderId="0" xfId="8" applyFont="1" applyBorder="1" applyAlignment="1">
      <alignment horizontal="left" wrapText="1" indent="1"/>
    </xf>
    <xf numFmtId="164" fontId="21" fillId="0" borderId="5" xfId="8" applyFont="1" applyBorder="1" applyAlignment="1">
      <alignment horizontal="left" wrapText="1" indent="1"/>
    </xf>
    <xf numFmtId="0" fontId="18" fillId="0" borderId="0" xfId="7" applyNumberFormat="1" applyFont="1" applyProtection="1">
      <alignment horizontal="left" vertical="top" wrapText="1" indent="1"/>
      <protection locked="0"/>
    </xf>
    <xf numFmtId="164" fontId="17" fillId="0" borderId="0" xfId="8" applyFont="1" applyBorder="1" applyAlignment="1">
      <alignment horizontal="left" wrapText="1" indent="1"/>
    </xf>
    <xf numFmtId="164" fontId="17" fillId="0" borderId="5" xfId="8" applyFont="1" applyBorder="1" applyAlignment="1">
      <alignment horizontal="left" wrapText="1" indent="1"/>
    </xf>
    <xf numFmtId="0" fontId="19" fillId="0" borderId="0" xfId="0" applyFont="1" applyAlignment="1">
      <alignment horizontal="left" wrapText="1"/>
    </xf>
    <xf numFmtId="0" fontId="33" fillId="0" borderId="0" xfId="0" applyFont="1" applyAlignment="1">
      <alignment wrapText="1"/>
    </xf>
    <xf numFmtId="164" fontId="21" fillId="0" borderId="8" xfId="8" applyFont="1" applyAlignment="1">
      <alignment horizontal="left" wrapText="1" indent="1"/>
    </xf>
    <xf numFmtId="0" fontId="21" fillId="0" borderId="0" xfId="8" applyNumberFormat="1" applyFont="1" applyBorder="1" applyAlignment="1">
      <alignment horizontal="left" wrapText="1" indent="1"/>
    </xf>
    <xf numFmtId="0" fontId="21" fillId="0" borderId="5" xfId="8" applyNumberFormat="1" applyFont="1" applyBorder="1" applyAlignment="1">
      <alignment horizontal="left" wrapText="1" indent="1"/>
    </xf>
    <xf numFmtId="0" fontId="36" fillId="0" borderId="0" xfId="0" applyFont="1" applyProtection="1"/>
  </cellXfs>
  <cellStyles count="18">
    <cellStyle name="40% - Accent1" xfId="1" builtinId="31" customBuiltin="1"/>
    <cellStyle name="Accent1" xfId="3" builtinId="29" customBuiltin="1"/>
    <cellStyle name="Accent5" xfId="4" builtinId="45" customBuiltin="1"/>
    <cellStyle name="Day" xfId="5" xr:uid="{00000000-0005-0000-0000-000003000000}"/>
    <cellStyle name="Day Detail" xfId="6" xr:uid="{00000000-0005-0000-0000-000004000000}"/>
    <cellStyle name="Explanatory Text" xfId="14" builtinId="53" customBuiltin="1"/>
    <cellStyle name="Heading 1" xfId="2" builtinId="16" customBuiltin="1"/>
    <cellStyle name="Heading 2" xfId="10" builtinId="17" customBuiltin="1"/>
    <cellStyle name="Heading 3" xfId="11" builtinId="18" customBuiltin="1"/>
    <cellStyle name="Heading 4" xfId="12" builtinId="19" customBuiltin="1"/>
    <cellStyle name="Hyperlink" xfId="16" builtinId="8"/>
    <cellStyle name="Normal" xfId="0" builtinId="0" customBuiltin="1"/>
    <cellStyle name="Note" xfId="13" builtinId="10" customBuiltin="1"/>
    <cellStyle name="Notes" xfId="7" xr:uid="{00000000-0005-0000-0000-00000C000000}"/>
    <cellStyle name="Notes Header" xfId="8" xr:uid="{00000000-0005-0000-0000-00000D000000}"/>
    <cellStyle name="Percent" xfId="17" builtinId="5"/>
    <cellStyle name="Title" xfId="9" builtinId="15" customBuiltin="1"/>
    <cellStyle name="Total" xfId="15" builtinId="25" customBuiltin="1"/>
  </cellStyles>
  <dxfs count="757">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rgb="FFFF0000"/>
      </font>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0" tint="-0.34998626667073579"/>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patternFill>
      </fill>
    </dxf>
    <dxf>
      <font>
        <color rgb="FF747474"/>
      </font>
    </dxf>
    <dxf>
      <font>
        <color rgb="FF747474"/>
      </font>
    </dxf>
    <dxf>
      <font>
        <color rgb="FF747474"/>
      </font>
    </dxf>
    <dxf>
      <font>
        <color rgb="FF747474"/>
      </font>
    </dxf>
    <dxf>
      <font>
        <color rgb="FF747474"/>
      </font>
    </dxf>
    <dxf>
      <fill>
        <patternFill>
          <bgColor theme="2" tint="-0.24994659260841701"/>
        </patternFill>
      </fill>
    </dxf>
    <dxf>
      <font>
        <color rgb="FF747474"/>
      </font>
    </dxf>
    <dxf>
      <font>
        <color rgb="FF747474"/>
      </font>
    </dxf>
    <dxf>
      <font>
        <color rgb="FF747474"/>
      </font>
    </dxf>
    <dxf>
      <font>
        <color rgb="FF747474"/>
      </font>
    </dxf>
    <dxf>
      <font>
        <color rgb="FF747474"/>
      </font>
    </dxf>
    <dxf>
      <font>
        <color rgb="FF747474"/>
      </font>
    </dxf>
    <dxf>
      <fill>
        <patternFill>
          <bgColor theme="7" tint="-0.24994659260841701"/>
        </patternFill>
      </fill>
    </dxf>
    <dxf>
      <fill>
        <patternFill>
          <bgColor theme="5" tint="-0.24994659260841701"/>
        </patternFill>
      </fill>
    </dxf>
    <dxf>
      <fill>
        <patternFill>
          <bgColor rgb="FFFF9999"/>
        </patternFill>
      </fill>
    </dxf>
    <dxf>
      <fill>
        <patternFill>
          <bgColor theme="9" tint="0.59996337778862885"/>
        </patternFill>
      </fill>
    </dxf>
    <dxf>
      <font>
        <color theme="2" tint="-0.499984740745262"/>
      </font>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patternFill>
      </fill>
    </dxf>
    <dxf>
      <fill>
        <patternFill>
          <bgColor theme="1" tint="4.9989318521683403E-2"/>
        </patternFill>
      </fill>
    </dxf>
    <dxf>
      <fill>
        <patternFill>
          <bgColor theme="1" tint="4.9989318521683403E-2"/>
        </patternFill>
      </fill>
    </dxf>
    <dxf>
      <fill>
        <patternFill>
          <bgColor rgb="FFFF0000"/>
        </patternFill>
      </fill>
    </dxf>
    <dxf>
      <font>
        <color theme="0"/>
      </font>
      <fill>
        <patternFill>
          <bgColor theme="9" tint="-0.24994659260841701"/>
        </patternFill>
      </fill>
    </dxf>
    <dxf>
      <font>
        <color theme="0"/>
      </font>
      <fill>
        <patternFill>
          <bgColor rgb="FFFF0000"/>
        </patternFill>
      </fill>
    </dxf>
    <dxf>
      <numFmt numFmtId="169" formatCode=";;;"/>
    </dxf>
    <dxf>
      <fill>
        <patternFill>
          <bgColor rgb="FFFF0000"/>
        </patternFill>
      </fill>
    </dxf>
    <dxf>
      <fill>
        <patternFill>
          <bgColor rgb="FFFF0000"/>
        </patternFill>
      </fill>
    </dxf>
    <dxf>
      <numFmt numFmtId="169" formatCode=";;;"/>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dxf>
    <dxf>
      <fill>
        <patternFill>
          <bgColor theme="9" tint="-0.24994659260841701"/>
        </patternFill>
      </fill>
    </dxf>
    <dxf>
      <numFmt numFmtId="169" formatCode=";;;"/>
    </dxf>
    <dxf>
      <numFmt numFmtId="169" formatCode=";;;"/>
    </dxf>
    <dxf>
      <font>
        <color theme="1"/>
      </font>
    </dxf>
    <dxf>
      <font>
        <color theme="1"/>
      </font>
    </dxf>
    <dxf>
      <font>
        <b/>
        <i val="0"/>
        <strike val="0"/>
        <condense val="0"/>
        <extend val="0"/>
        <outline val="0"/>
        <shadow val="0"/>
        <u val="none"/>
        <vertAlign val="baseline"/>
        <sz val="11"/>
        <color auto="1"/>
        <name val="Trebuchet MS"/>
        <family val="2"/>
        <scheme val="minor"/>
      </font>
    </dxf>
    <dxf>
      <font>
        <b/>
        <i val="0"/>
        <strike val="0"/>
        <condense val="0"/>
        <extend val="0"/>
        <outline val="0"/>
        <shadow val="0"/>
        <u val="none"/>
        <vertAlign val="baseline"/>
        <sz val="11"/>
        <color auto="1"/>
        <name val="Trebuchet MS"/>
        <family val="2"/>
        <scheme val="minor"/>
      </font>
    </dxf>
    <dxf>
      <numFmt numFmtId="19" formatCode="yyyy/mm/dd"/>
    </dxf>
    <dxf>
      <numFmt numFmtId="19" formatCode="yyyy/mm/dd"/>
    </dxf>
    <dxf>
      <numFmt numFmtId="0" formatCode="General"/>
    </dxf>
    <dxf>
      <numFmt numFmtId="2" formatCode="0.00"/>
    </dxf>
    <dxf>
      <numFmt numFmtId="0" formatCode="General"/>
    </dxf>
    <dxf>
      <numFmt numFmtId="0" formatCode="General"/>
    </dxf>
    <dxf>
      <numFmt numFmtId="0" formatCode="General"/>
    </dxf>
    <dxf>
      <numFmt numFmtId="2" formatCode="0.00"/>
      <protection locked="1" hidden="0"/>
    </dxf>
    <dxf>
      <numFmt numFmtId="2" formatCode="0.00"/>
      <protection locked="1" hidden="0"/>
    </dxf>
    <dxf>
      <numFmt numFmtId="2" formatCode="0.00"/>
      <protection locked="1" hidden="0"/>
    </dxf>
    <dxf>
      <numFmt numFmtId="25" formatCode="hh:mm"/>
      <protection locked="0" hidden="0"/>
    </dxf>
    <dxf>
      <numFmt numFmtId="167" formatCode="[$-F400]h:mm:ss\ AM/PM"/>
      <protection locked="0" hidden="0"/>
    </dxf>
    <dxf>
      <numFmt numFmtId="167" formatCode="[$-F400]h:mm:ss\ AM/PM"/>
      <protection locked="0" hidden="0"/>
    </dxf>
    <dxf>
      <protection locked="1" hidden="0"/>
    </dxf>
    <dxf>
      <font>
        <b val="0"/>
        <i val="0"/>
        <strike val="0"/>
        <condense val="0"/>
        <extend val="0"/>
        <outline val="0"/>
        <shadow val="0"/>
        <u val="none"/>
        <vertAlign val="baseline"/>
        <sz val="11"/>
        <color rgb="FFEACD4D"/>
        <name val="Trebuchet MS"/>
        <family val="2"/>
        <scheme val="minor"/>
      </font>
      <fill>
        <patternFill patternType="solid">
          <fgColor indexed="64"/>
          <bgColor rgb="FF003FA2"/>
        </patternFill>
      </fill>
      <alignment horizontal="general" vertical="top" textRotation="0" wrapText="0" indent="0" justifyLastLine="0" shrinkToFit="0" readingOrder="0"/>
      <protection locked="1" hidden="0"/>
    </dxf>
    <dxf>
      <numFmt numFmtId="2" formatCode="0.00"/>
      <protection locked="1" hidden="0"/>
    </dxf>
    <dxf>
      <numFmt numFmtId="2" formatCode="0.00"/>
      <protection locked="1" hidden="0"/>
    </dxf>
    <dxf>
      <numFmt numFmtId="2" formatCode="0.00"/>
      <protection locked="1" hidden="0"/>
    </dxf>
    <dxf>
      <numFmt numFmtId="25" formatCode="hh:mm"/>
      <protection locked="0" hidden="0"/>
    </dxf>
    <dxf>
      <numFmt numFmtId="167" formatCode="[$-F400]h:mm:ss\ AM/PM"/>
      <protection locked="0" hidden="0"/>
    </dxf>
    <dxf>
      <numFmt numFmtId="167" formatCode="[$-F400]h:mm:ss\ AM/PM"/>
      <protection locked="0" hidden="0"/>
    </dxf>
    <dxf>
      <protection locked="1" hidden="0"/>
    </dxf>
    <dxf>
      <font>
        <b val="0"/>
        <i val="0"/>
        <strike val="0"/>
        <condense val="0"/>
        <extend val="0"/>
        <outline val="0"/>
        <shadow val="0"/>
        <u val="none"/>
        <vertAlign val="baseline"/>
        <sz val="11"/>
        <color rgb="FFEACD4D"/>
        <name val="Trebuchet MS"/>
        <family val="2"/>
        <scheme val="minor"/>
      </font>
      <fill>
        <patternFill patternType="solid">
          <fgColor indexed="64"/>
          <bgColor rgb="FF003FA2"/>
        </patternFill>
      </fill>
      <alignment horizontal="general" vertical="top" textRotation="0" wrapText="0" indent="0" justifyLastLine="0" shrinkToFit="0" readingOrder="0"/>
      <protection locked="1" hidden="0"/>
    </dxf>
    <dxf>
      <numFmt numFmtId="2" formatCode="0.00"/>
      <protection locked="1" hidden="0"/>
    </dxf>
    <dxf>
      <numFmt numFmtId="2" formatCode="0.00"/>
      <protection locked="1" hidden="0"/>
    </dxf>
    <dxf>
      <numFmt numFmtId="2" formatCode="0.00"/>
      <protection locked="1" hidden="0"/>
    </dxf>
    <dxf>
      <numFmt numFmtId="25" formatCode="hh:mm"/>
      <protection locked="0" hidden="0"/>
    </dxf>
    <dxf>
      <numFmt numFmtId="167" formatCode="[$-F400]h:mm:ss\ AM/PM"/>
      <protection locked="0" hidden="0"/>
    </dxf>
    <dxf>
      <numFmt numFmtId="167" formatCode="[$-F400]h:mm:ss\ AM/PM"/>
      <protection locked="0" hidden="0"/>
    </dxf>
    <dxf>
      <protection locked="1" hidden="0"/>
    </dxf>
    <dxf>
      <font>
        <b val="0"/>
        <i val="0"/>
        <strike val="0"/>
        <condense val="0"/>
        <extend val="0"/>
        <outline val="0"/>
        <shadow val="0"/>
        <u val="none"/>
        <vertAlign val="baseline"/>
        <sz val="11"/>
        <color rgb="FFEACD4D"/>
        <name val="Trebuchet MS"/>
        <family val="2"/>
        <scheme val="minor"/>
      </font>
      <fill>
        <patternFill patternType="solid">
          <fgColor indexed="64"/>
          <bgColor rgb="FF003FA2"/>
        </patternFill>
      </fill>
      <alignment horizontal="general" vertical="top" textRotation="0" wrapText="0" indent="0" justifyLastLine="0" shrinkToFit="0" readingOrder="0"/>
      <protection locked="1" hidden="0"/>
    </dxf>
    <dxf>
      <numFmt numFmtId="2" formatCode="0.00"/>
      <protection locked="1" hidden="0"/>
    </dxf>
    <dxf>
      <numFmt numFmtId="2" formatCode="0.00"/>
      <protection locked="1" hidden="0"/>
    </dxf>
    <dxf>
      <numFmt numFmtId="2" formatCode="0.00"/>
      <protection locked="1" hidden="0"/>
    </dxf>
    <dxf>
      <numFmt numFmtId="25" formatCode="hh:mm"/>
      <protection locked="0" hidden="0"/>
    </dxf>
    <dxf>
      <numFmt numFmtId="167" formatCode="[$-F400]h:mm:ss\ AM/PM"/>
      <protection locked="0" hidden="0"/>
    </dxf>
    <dxf>
      <numFmt numFmtId="167" formatCode="[$-F400]h:mm:ss\ AM/PM"/>
      <protection locked="0" hidden="0"/>
    </dxf>
    <dxf>
      <protection locked="1" hidden="0"/>
    </dxf>
    <dxf>
      <font>
        <b val="0"/>
        <i val="0"/>
        <strike val="0"/>
        <condense val="0"/>
        <extend val="0"/>
        <outline val="0"/>
        <shadow val="0"/>
        <u val="none"/>
        <vertAlign val="baseline"/>
        <sz val="11"/>
        <color rgb="FFEACD4D"/>
        <name val="Trebuchet MS"/>
        <family val="2"/>
        <scheme val="minor"/>
      </font>
      <fill>
        <patternFill patternType="solid">
          <fgColor indexed="64"/>
          <bgColor rgb="FF003FA2"/>
        </patternFill>
      </fill>
      <alignment horizontal="general" vertical="top" textRotation="0" wrapText="0" indent="0" justifyLastLine="0" shrinkToFit="0" readingOrder="0"/>
      <protection locked="1" hidden="0"/>
    </dxf>
    <dxf>
      <numFmt numFmtId="2" formatCode="0.00"/>
      <protection locked="1" hidden="0"/>
    </dxf>
    <dxf>
      <numFmt numFmtId="2" formatCode="0.00"/>
      <protection locked="1" hidden="0"/>
    </dxf>
    <dxf>
      <numFmt numFmtId="2" formatCode="0.00"/>
      <protection locked="1" hidden="0"/>
    </dxf>
    <dxf>
      <numFmt numFmtId="25" formatCode="hh:mm"/>
      <protection locked="0" hidden="0"/>
    </dxf>
    <dxf>
      <numFmt numFmtId="167" formatCode="[$-F400]h:mm:ss\ AM/PM"/>
      <protection locked="0" hidden="0"/>
    </dxf>
    <dxf>
      <numFmt numFmtId="167" formatCode="[$-F400]h:mm:ss\ AM/PM"/>
      <protection locked="0" hidden="0"/>
    </dxf>
    <dxf>
      <protection locked="1" hidden="0"/>
    </dxf>
    <dxf>
      <font>
        <b val="0"/>
        <i val="0"/>
        <strike val="0"/>
        <condense val="0"/>
        <extend val="0"/>
        <outline val="0"/>
        <shadow val="0"/>
        <u val="none"/>
        <vertAlign val="baseline"/>
        <sz val="11"/>
        <color rgb="FFEACD4D"/>
        <name val="Trebuchet MS"/>
        <family val="2"/>
        <scheme val="minor"/>
      </font>
      <fill>
        <patternFill patternType="solid">
          <fgColor indexed="64"/>
          <bgColor rgb="FF003FA2"/>
        </patternFill>
      </fill>
      <alignment horizontal="general" vertical="top" textRotation="0" wrapText="0" indent="0" justifyLastLine="0" shrinkToFit="0" readingOrder="0"/>
      <protection locked="1" hidden="0"/>
    </dxf>
    <dxf>
      <numFmt numFmtId="2" formatCode="0.00"/>
      <protection locked="1" hidden="0"/>
    </dxf>
    <dxf>
      <numFmt numFmtId="2" formatCode="0.00"/>
      <protection locked="1" hidden="0"/>
    </dxf>
    <dxf>
      <numFmt numFmtId="2" formatCode="0.00"/>
      <protection locked="1" hidden="0"/>
    </dxf>
    <dxf>
      <numFmt numFmtId="25" formatCode="hh:mm"/>
      <protection locked="0" hidden="0"/>
    </dxf>
    <dxf>
      <numFmt numFmtId="167" formatCode="[$-F400]h:mm:ss\ AM/PM"/>
      <protection locked="0" hidden="0"/>
    </dxf>
    <dxf>
      <numFmt numFmtId="167" formatCode="[$-F400]h:mm:ss\ AM/PM"/>
      <protection locked="0" hidden="0"/>
    </dxf>
    <dxf>
      <protection locked="1" hidden="0"/>
    </dxf>
    <dxf>
      <font>
        <b val="0"/>
        <i val="0"/>
        <strike val="0"/>
        <condense val="0"/>
        <extend val="0"/>
        <outline val="0"/>
        <shadow val="0"/>
        <u val="none"/>
        <vertAlign val="baseline"/>
        <sz val="11"/>
        <color rgb="FFEACD4D"/>
        <name val="Trebuchet MS"/>
        <family val="2"/>
        <scheme val="minor"/>
      </font>
      <fill>
        <patternFill patternType="solid">
          <fgColor indexed="64"/>
          <bgColor rgb="FF003FA2"/>
        </patternFill>
      </fill>
      <alignment horizontal="general" vertical="top" textRotation="0" wrapText="0" indent="0" justifyLastLine="0" shrinkToFit="0" readingOrder="0"/>
      <protection locked="1" hidden="0"/>
    </dxf>
    <dxf>
      <numFmt numFmtId="2" formatCode="0.00"/>
      <protection locked="1" hidden="0"/>
    </dxf>
    <dxf>
      <numFmt numFmtId="2" formatCode="0.00"/>
      <protection locked="1" hidden="0"/>
    </dxf>
    <dxf>
      <numFmt numFmtId="2" formatCode="0.00"/>
      <protection locked="1" hidden="0"/>
    </dxf>
    <dxf>
      <numFmt numFmtId="25" formatCode="hh:mm"/>
      <protection locked="0" hidden="0"/>
    </dxf>
    <dxf>
      <numFmt numFmtId="167" formatCode="[$-F400]h:mm:ss\ AM/PM"/>
      <protection locked="0" hidden="0"/>
    </dxf>
    <dxf>
      <numFmt numFmtId="167" formatCode="[$-F400]h:mm:ss\ AM/PM"/>
      <protection locked="0" hidden="0"/>
    </dxf>
    <dxf>
      <protection locked="1" hidden="0"/>
    </dxf>
    <dxf>
      <font>
        <b val="0"/>
        <i val="0"/>
        <strike val="0"/>
        <condense val="0"/>
        <extend val="0"/>
        <outline val="0"/>
        <shadow val="0"/>
        <u val="none"/>
        <vertAlign val="baseline"/>
        <sz val="11"/>
        <color rgb="FFEACD4D"/>
        <name val="Trebuchet MS"/>
        <family val="2"/>
        <scheme val="minor"/>
      </font>
      <fill>
        <patternFill patternType="solid">
          <fgColor indexed="64"/>
          <bgColor rgb="FF003FA2"/>
        </patternFill>
      </fill>
      <alignment horizontal="general" vertical="top" textRotation="0" wrapText="0" indent="0" justifyLastLine="0" shrinkToFit="0" readingOrder="0"/>
      <protection locked="1" hidden="0"/>
    </dxf>
    <dxf>
      <numFmt numFmtId="2" formatCode="0.00"/>
      <protection locked="1" hidden="0"/>
    </dxf>
    <dxf>
      <numFmt numFmtId="2" formatCode="0.00"/>
      <protection locked="1" hidden="0"/>
    </dxf>
    <dxf>
      <numFmt numFmtId="2" formatCode="0.00"/>
      <protection locked="1" hidden="0"/>
    </dxf>
    <dxf>
      <numFmt numFmtId="25" formatCode="hh:mm"/>
      <protection locked="0" hidden="0"/>
    </dxf>
    <dxf>
      <numFmt numFmtId="167" formatCode="[$-F400]h:mm:ss\ AM/PM"/>
      <protection locked="0" hidden="0"/>
    </dxf>
    <dxf>
      <numFmt numFmtId="167" formatCode="[$-F400]h:mm:ss\ AM/PM"/>
      <protection locked="0" hidden="0"/>
    </dxf>
    <dxf>
      <protection locked="1" hidden="0"/>
    </dxf>
    <dxf>
      <font>
        <b val="0"/>
        <i val="0"/>
        <strike val="0"/>
        <condense val="0"/>
        <extend val="0"/>
        <outline val="0"/>
        <shadow val="0"/>
        <u val="none"/>
        <vertAlign val="baseline"/>
        <sz val="11"/>
        <color rgb="FFEACD4D"/>
        <name val="Trebuchet MS"/>
        <family val="2"/>
        <scheme val="minor"/>
      </font>
      <fill>
        <patternFill patternType="solid">
          <fgColor indexed="64"/>
          <bgColor rgb="FF003FA2"/>
        </patternFill>
      </fill>
      <alignment horizontal="general" vertical="top" textRotation="0" wrapText="0" indent="0" justifyLastLine="0" shrinkToFit="0" readingOrder="0"/>
      <protection locked="1" hidden="0"/>
    </dxf>
    <dxf>
      <numFmt numFmtId="2" formatCode="0.00"/>
      <protection locked="1" hidden="0"/>
    </dxf>
    <dxf>
      <numFmt numFmtId="2" formatCode="0.00"/>
      <protection locked="1" hidden="0"/>
    </dxf>
    <dxf>
      <numFmt numFmtId="2" formatCode="0.00"/>
      <protection locked="1" hidden="0"/>
    </dxf>
    <dxf>
      <numFmt numFmtId="25" formatCode="hh:mm"/>
      <protection locked="0" hidden="0"/>
    </dxf>
    <dxf>
      <numFmt numFmtId="167" formatCode="[$-F400]h:mm:ss\ AM/PM"/>
      <protection locked="0" hidden="0"/>
    </dxf>
    <dxf>
      <numFmt numFmtId="167" formatCode="[$-F400]h:mm:ss\ AM/PM"/>
      <protection locked="0" hidden="0"/>
    </dxf>
    <dxf>
      <protection locked="1" hidden="0"/>
    </dxf>
    <dxf>
      <font>
        <b val="0"/>
        <i val="0"/>
        <strike val="0"/>
        <condense val="0"/>
        <extend val="0"/>
        <outline val="0"/>
        <shadow val="0"/>
        <u val="none"/>
        <vertAlign val="baseline"/>
        <sz val="11"/>
        <color rgb="FFEACD4D"/>
        <name val="Trebuchet MS"/>
        <family val="2"/>
        <scheme val="minor"/>
      </font>
      <fill>
        <patternFill patternType="solid">
          <fgColor indexed="64"/>
          <bgColor rgb="FF003FA2"/>
        </patternFill>
      </fill>
      <alignment horizontal="general" vertical="top" textRotation="0" wrapText="0" indent="0" justifyLastLine="0" shrinkToFit="0" readingOrder="0"/>
      <protection locked="1" hidden="0"/>
    </dxf>
    <dxf>
      <numFmt numFmtId="2" formatCode="0.00"/>
      <protection locked="1" hidden="0"/>
    </dxf>
    <dxf>
      <numFmt numFmtId="2" formatCode="0.00"/>
      <protection locked="1" hidden="0"/>
    </dxf>
    <dxf>
      <numFmt numFmtId="2" formatCode="0.00"/>
      <protection locked="1" hidden="0"/>
    </dxf>
    <dxf>
      <numFmt numFmtId="25" formatCode="hh:mm"/>
      <protection locked="0" hidden="0"/>
    </dxf>
    <dxf>
      <numFmt numFmtId="167" formatCode="[$-F400]h:mm:ss\ AM/PM"/>
      <protection locked="0" hidden="0"/>
    </dxf>
    <dxf>
      <numFmt numFmtId="167" formatCode="[$-F400]h:mm:ss\ AM/PM"/>
      <protection locked="0" hidden="0"/>
    </dxf>
    <dxf>
      <protection locked="1" hidden="0"/>
    </dxf>
    <dxf>
      <font>
        <b val="0"/>
        <i val="0"/>
        <strike val="0"/>
        <condense val="0"/>
        <extend val="0"/>
        <outline val="0"/>
        <shadow val="0"/>
        <u val="none"/>
        <vertAlign val="baseline"/>
        <sz val="11"/>
        <color rgb="FFEACD4D"/>
        <name val="Trebuchet MS"/>
        <family val="2"/>
        <scheme val="minor"/>
      </font>
      <fill>
        <patternFill patternType="solid">
          <fgColor indexed="64"/>
          <bgColor rgb="FF003FA2"/>
        </patternFill>
      </fill>
      <alignment horizontal="general" vertical="top" textRotation="0" wrapText="0" indent="0" justifyLastLine="0" shrinkToFit="0" readingOrder="0"/>
      <protection locked="1" hidden="0"/>
    </dxf>
    <dxf>
      <numFmt numFmtId="2" formatCode="0.00"/>
      <protection locked="1" hidden="0"/>
    </dxf>
    <dxf>
      <numFmt numFmtId="2" formatCode="0.00"/>
      <protection locked="1" hidden="0"/>
    </dxf>
    <dxf>
      <numFmt numFmtId="2" formatCode="0.00"/>
      <protection locked="1" hidden="0"/>
    </dxf>
    <dxf>
      <numFmt numFmtId="25" formatCode="hh:mm"/>
      <protection locked="0" hidden="0"/>
    </dxf>
    <dxf>
      <numFmt numFmtId="167" formatCode="[$-F400]h:mm:ss\ AM/PM"/>
      <protection locked="0" hidden="0"/>
    </dxf>
    <dxf>
      <numFmt numFmtId="167" formatCode="[$-F400]h:mm:ss\ AM/PM"/>
      <protection locked="0" hidden="0"/>
    </dxf>
    <dxf>
      <protection locked="1" hidden="0"/>
    </dxf>
    <dxf>
      <font>
        <b val="0"/>
        <i val="0"/>
        <strike val="0"/>
        <condense val="0"/>
        <extend val="0"/>
        <outline val="0"/>
        <shadow val="0"/>
        <u val="none"/>
        <vertAlign val="baseline"/>
        <sz val="11"/>
        <color rgb="FFEACD4D"/>
        <name val="Trebuchet MS"/>
        <family val="2"/>
        <scheme val="minor"/>
      </font>
      <fill>
        <patternFill patternType="solid">
          <fgColor indexed="64"/>
          <bgColor rgb="FF003FA2"/>
        </patternFill>
      </fill>
      <alignment horizontal="general" vertical="top" textRotation="0" wrapText="0" indent="0" justifyLastLine="0" shrinkToFit="0" readingOrder="0"/>
      <protection locked="1" hidden="0"/>
    </dxf>
    <dxf>
      <numFmt numFmtId="2" formatCode="0.00"/>
      <protection locked="1" hidden="0"/>
    </dxf>
    <dxf>
      <numFmt numFmtId="2" formatCode="0.00"/>
      <protection locked="1" hidden="0"/>
    </dxf>
    <dxf>
      <numFmt numFmtId="2" formatCode="0.00"/>
      <protection locked="1" hidden="0"/>
    </dxf>
    <dxf>
      <numFmt numFmtId="25" formatCode="hh:mm"/>
      <protection locked="0" hidden="0"/>
    </dxf>
    <dxf>
      <numFmt numFmtId="167" formatCode="[$-F400]h:mm:ss\ AM/PM"/>
      <protection locked="0" hidden="0"/>
    </dxf>
    <dxf>
      <numFmt numFmtId="167" formatCode="[$-F400]h:mm:ss\ AM/PM"/>
      <protection locked="0" hidden="0"/>
    </dxf>
    <dxf>
      <protection locked="1" hidden="0"/>
    </dxf>
    <dxf>
      <font>
        <b val="0"/>
        <i val="0"/>
        <strike val="0"/>
        <condense val="0"/>
        <extend val="0"/>
        <outline val="0"/>
        <shadow val="0"/>
        <u val="none"/>
        <vertAlign val="baseline"/>
        <sz val="11"/>
        <color rgb="FFEACD4D"/>
        <name val="Trebuchet MS"/>
        <family val="2"/>
        <scheme val="minor"/>
      </font>
      <fill>
        <patternFill patternType="solid">
          <fgColor indexed="64"/>
          <bgColor rgb="FF003FA2"/>
        </patternFill>
      </fill>
      <alignment horizontal="general" vertical="top" textRotation="0" wrapText="0" indent="0" justifyLastLine="0" shrinkToFit="0" readingOrder="0"/>
      <protection locked="1" hidden="0"/>
    </dxf>
    <dxf>
      <numFmt numFmtId="2" formatCode="0.00"/>
      <protection locked="1" hidden="0"/>
    </dxf>
    <dxf>
      <numFmt numFmtId="2" formatCode="0.00"/>
      <protection locked="1" hidden="0"/>
    </dxf>
    <dxf>
      <numFmt numFmtId="2" formatCode="0.00"/>
      <protection locked="1" hidden="0"/>
    </dxf>
    <dxf>
      <numFmt numFmtId="25" formatCode="hh:mm"/>
      <protection locked="0" hidden="0"/>
    </dxf>
    <dxf>
      <numFmt numFmtId="167" formatCode="[$-F400]h:mm:ss\ AM/PM"/>
      <protection locked="0" hidden="0"/>
    </dxf>
    <dxf>
      <numFmt numFmtId="167" formatCode="[$-F400]h:mm:ss\ AM/PM"/>
      <protection locked="0" hidden="0"/>
    </dxf>
    <dxf>
      <protection locked="1" hidden="0"/>
    </dxf>
    <dxf>
      <font>
        <b val="0"/>
        <i val="0"/>
        <strike val="0"/>
        <condense val="0"/>
        <extend val="0"/>
        <outline val="0"/>
        <shadow val="0"/>
        <u val="none"/>
        <vertAlign val="baseline"/>
        <sz val="11"/>
        <color rgb="FFEACD4D"/>
        <name val="Trebuchet MS"/>
        <family val="2"/>
        <scheme val="minor"/>
      </font>
      <fill>
        <patternFill patternType="solid">
          <fgColor indexed="64"/>
          <bgColor rgb="FF003FA2"/>
        </patternFill>
      </fill>
      <alignment horizontal="general" vertical="top" textRotation="0" wrapText="0" indent="0" justifyLastLine="0" shrinkToFit="0" readingOrder="0"/>
      <protection locked="1" hidden="0"/>
    </dxf>
    <dxf>
      <numFmt numFmtId="2" formatCode="0.00"/>
      <protection locked="1" hidden="0"/>
    </dxf>
    <dxf>
      <numFmt numFmtId="2" formatCode="0.00"/>
      <protection locked="1" hidden="0"/>
    </dxf>
    <dxf>
      <numFmt numFmtId="2" formatCode="0.00"/>
      <protection locked="1" hidden="0"/>
    </dxf>
    <dxf>
      <numFmt numFmtId="25" formatCode="hh:mm"/>
      <protection locked="0" hidden="0"/>
    </dxf>
    <dxf>
      <numFmt numFmtId="167" formatCode="[$-F400]h:mm:ss\ AM/PM"/>
      <protection locked="0" hidden="0"/>
    </dxf>
    <dxf>
      <numFmt numFmtId="167" formatCode="[$-F400]h:mm:ss\ AM/PM"/>
      <protection locked="0" hidden="0"/>
    </dxf>
    <dxf>
      <protection locked="1" hidden="0"/>
    </dxf>
    <dxf>
      <font>
        <b val="0"/>
        <i val="0"/>
        <strike val="0"/>
        <condense val="0"/>
        <extend val="0"/>
        <outline val="0"/>
        <shadow val="0"/>
        <u val="none"/>
        <vertAlign val="baseline"/>
        <sz val="11"/>
        <color rgb="FFEACD4D"/>
        <name val="Trebuchet MS"/>
        <family val="2"/>
        <scheme val="minor"/>
      </font>
      <fill>
        <patternFill patternType="solid">
          <fgColor indexed="64"/>
          <bgColor rgb="FF003FA2"/>
        </patternFill>
      </fill>
      <alignment horizontal="general" vertical="top" textRotation="0" wrapText="0" indent="0" justifyLastLine="0" shrinkToFit="0" readingOrder="0"/>
      <protection locked="1" hidden="0"/>
    </dxf>
    <dxf>
      <numFmt numFmtId="2" formatCode="0.00"/>
      <protection locked="1" hidden="0"/>
    </dxf>
    <dxf>
      <numFmt numFmtId="2" formatCode="0.00"/>
      <protection locked="1" hidden="0"/>
    </dxf>
    <dxf>
      <numFmt numFmtId="2" formatCode="0.00"/>
      <protection locked="1" hidden="0"/>
    </dxf>
    <dxf>
      <numFmt numFmtId="25" formatCode="hh:mm"/>
      <protection locked="0" hidden="0"/>
    </dxf>
    <dxf>
      <numFmt numFmtId="167" formatCode="[$-F400]h:mm:ss\ AM/PM"/>
      <protection locked="0" hidden="0"/>
    </dxf>
    <dxf>
      <numFmt numFmtId="167" formatCode="[$-F400]h:mm:ss\ AM/PM"/>
      <protection locked="0" hidden="0"/>
    </dxf>
    <dxf>
      <protection locked="1" hidden="0"/>
    </dxf>
    <dxf>
      <font>
        <b val="0"/>
        <i val="0"/>
        <strike val="0"/>
        <condense val="0"/>
        <extend val="0"/>
        <outline val="0"/>
        <shadow val="0"/>
        <u val="none"/>
        <vertAlign val="baseline"/>
        <sz val="11"/>
        <color rgb="FFEACD4D"/>
        <name val="Trebuchet MS"/>
        <family val="2"/>
        <scheme val="minor"/>
      </font>
      <fill>
        <patternFill patternType="solid">
          <fgColor indexed="64"/>
          <bgColor rgb="FF003FA2"/>
        </patternFill>
      </fill>
      <alignment horizontal="general" vertical="top" textRotation="0" wrapText="0" indent="0" justifyLastLine="0" shrinkToFit="0" readingOrder="0"/>
      <protection locked="1" hidden="0"/>
    </dxf>
    <dxf>
      <numFmt numFmtId="2" formatCode="0.00"/>
      <protection locked="1" hidden="0"/>
    </dxf>
    <dxf>
      <numFmt numFmtId="2" formatCode="0.00"/>
      <protection locked="1" hidden="0"/>
    </dxf>
    <dxf>
      <numFmt numFmtId="2" formatCode="0.00"/>
      <protection locked="1" hidden="0"/>
    </dxf>
    <dxf>
      <numFmt numFmtId="25" formatCode="hh:mm"/>
      <protection locked="0" hidden="0"/>
    </dxf>
    <dxf>
      <numFmt numFmtId="167" formatCode="[$-F400]h:mm:ss\ AM/PM"/>
      <protection locked="0" hidden="0"/>
    </dxf>
    <dxf>
      <numFmt numFmtId="167" formatCode="[$-F400]h:mm:ss\ AM/PM"/>
      <protection locked="0" hidden="0"/>
    </dxf>
    <dxf>
      <protection locked="1" hidden="0"/>
    </dxf>
    <dxf>
      <font>
        <b val="0"/>
        <i val="0"/>
        <strike val="0"/>
        <condense val="0"/>
        <extend val="0"/>
        <outline val="0"/>
        <shadow val="0"/>
        <u val="none"/>
        <vertAlign val="baseline"/>
        <sz val="11"/>
        <color rgb="FFEACD4D"/>
        <name val="Trebuchet MS"/>
        <family val="2"/>
        <scheme val="minor"/>
      </font>
      <fill>
        <patternFill patternType="solid">
          <fgColor indexed="64"/>
          <bgColor rgb="FF003FA2"/>
        </patternFill>
      </fill>
      <alignment horizontal="general" vertical="top" textRotation="0" wrapText="0" indent="0" justifyLastLine="0" shrinkToFit="0" readingOrder="0"/>
      <protection locked="1" hidden="0"/>
    </dxf>
    <dxf>
      <numFmt numFmtId="2" formatCode="0.00"/>
      <protection locked="1" hidden="0"/>
    </dxf>
    <dxf>
      <numFmt numFmtId="2" formatCode="0.00"/>
      <protection locked="1" hidden="0"/>
    </dxf>
    <dxf>
      <numFmt numFmtId="2" formatCode="0.00"/>
      <protection locked="1" hidden="0"/>
    </dxf>
    <dxf>
      <numFmt numFmtId="25" formatCode="hh:mm"/>
      <protection locked="0" hidden="0"/>
    </dxf>
    <dxf>
      <numFmt numFmtId="167" formatCode="[$-F400]h:mm:ss\ AM/PM"/>
      <protection locked="0" hidden="0"/>
    </dxf>
    <dxf>
      <numFmt numFmtId="167" formatCode="[$-F400]h:mm:ss\ AM/PM"/>
      <protection locked="0" hidden="0"/>
    </dxf>
    <dxf>
      <protection locked="1" hidden="0"/>
    </dxf>
    <dxf>
      <font>
        <b val="0"/>
        <i val="0"/>
        <strike val="0"/>
        <condense val="0"/>
        <extend val="0"/>
        <outline val="0"/>
        <shadow val="0"/>
        <u val="none"/>
        <vertAlign val="baseline"/>
        <sz val="11"/>
        <color rgb="FFEACD4D"/>
        <name val="Trebuchet MS"/>
        <family val="2"/>
        <scheme val="minor"/>
      </font>
      <fill>
        <patternFill patternType="solid">
          <fgColor indexed="64"/>
          <bgColor rgb="FF003FA2"/>
        </patternFill>
      </fill>
      <alignment horizontal="general" vertical="top" textRotation="0" wrapText="0" indent="0" justifyLastLine="0" shrinkToFit="0" readingOrder="0"/>
      <protection locked="1" hidden="0"/>
    </dxf>
    <dxf>
      <numFmt numFmtId="2" formatCode="0.00"/>
      <protection locked="1" hidden="0"/>
    </dxf>
    <dxf>
      <numFmt numFmtId="2" formatCode="0.00"/>
      <protection locked="1" hidden="0"/>
    </dxf>
    <dxf>
      <numFmt numFmtId="2" formatCode="0.00"/>
      <protection locked="1" hidden="0"/>
    </dxf>
    <dxf>
      <numFmt numFmtId="25" formatCode="hh:mm"/>
      <protection locked="0" hidden="0"/>
    </dxf>
    <dxf>
      <numFmt numFmtId="167" formatCode="[$-F400]h:mm:ss\ AM/PM"/>
      <protection locked="0" hidden="0"/>
    </dxf>
    <dxf>
      <numFmt numFmtId="167" formatCode="[$-F400]h:mm:ss\ AM/PM"/>
      <protection locked="0" hidden="0"/>
    </dxf>
    <dxf>
      <protection locked="1" hidden="0"/>
    </dxf>
    <dxf>
      <font>
        <b val="0"/>
        <i val="0"/>
        <strike val="0"/>
        <condense val="0"/>
        <extend val="0"/>
        <outline val="0"/>
        <shadow val="0"/>
        <u val="none"/>
        <vertAlign val="baseline"/>
        <sz val="11"/>
        <color rgb="FFEACD4D"/>
        <name val="Trebuchet MS"/>
        <family val="2"/>
        <scheme val="minor"/>
      </font>
      <fill>
        <patternFill patternType="solid">
          <fgColor indexed="64"/>
          <bgColor rgb="FF003FA2"/>
        </patternFill>
      </fill>
      <alignment horizontal="general" vertical="top" textRotation="0" wrapText="0" indent="0" justifyLastLine="0" shrinkToFit="0" readingOrder="0"/>
      <protection locked="1" hidden="0"/>
    </dxf>
    <dxf>
      <numFmt numFmtId="2" formatCode="0.00"/>
      <protection locked="1" hidden="0"/>
    </dxf>
    <dxf>
      <numFmt numFmtId="2" formatCode="0.00"/>
      <protection locked="1" hidden="0"/>
    </dxf>
    <dxf>
      <numFmt numFmtId="2" formatCode="0.00"/>
      <protection locked="1" hidden="0"/>
    </dxf>
    <dxf>
      <protection locked="0" hidden="0"/>
    </dxf>
    <dxf>
      <numFmt numFmtId="167" formatCode="[$-F400]h:mm:ss\ AM/PM"/>
      <protection locked="0" hidden="0"/>
    </dxf>
    <dxf>
      <numFmt numFmtId="167" formatCode="[$-F400]h:mm:ss\ AM/PM"/>
      <protection locked="0" hidden="0"/>
    </dxf>
    <dxf>
      <protection locked="1" hidden="0"/>
    </dxf>
    <dxf>
      <font>
        <b val="0"/>
        <i val="0"/>
        <strike val="0"/>
        <condense val="0"/>
        <extend val="0"/>
        <outline val="0"/>
        <shadow val="0"/>
        <u val="none"/>
        <vertAlign val="baseline"/>
        <sz val="11"/>
        <color rgb="FFEACD4D"/>
        <name val="Trebuchet MS"/>
        <family val="2"/>
        <scheme val="minor"/>
      </font>
      <fill>
        <patternFill patternType="solid">
          <fgColor indexed="64"/>
          <bgColor rgb="FF003FA2"/>
        </patternFill>
      </fill>
      <alignment horizontal="general" vertical="top" textRotation="0" wrapText="0" indent="0" justifyLastLine="0" shrinkToFit="0" readingOrder="0"/>
      <protection locked="1" hidden="0"/>
    </dxf>
    <dxf>
      <numFmt numFmtId="2" formatCode="0.00"/>
      <protection locked="1" hidden="0"/>
    </dxf>
    <dxf>
      <numFmt numFmtId="2" formatCode="0.00"/>
      <protection locked="1" hidden="0"/>
    </dxf>
    <dxf>
      <numFmt numFmtId="2" formatCode="0.00"/>
      <protection locked="1" hidden="0"/>
    </dxf>
    <dxf>
      <numFmt numFmtId="25" formatCode="hh:mm"/>
      <protection locked="0" hidden="0"/>
    </dxf>
    <dxf>
      <numFmt numFmtId="167" formatCode="[$-F400]h:mm:ss\ AM/PM"/>
      <protection locked="0" hidden="0"/>
    </dxf>
    <dxf>
      <numFmt numFmtId="167" formatCode="[$-F400]h:mm:ss\ AM/PM"/>
      <protection locked="0" hidden="0"/>
    </dxf>
    <dxf>
      <protection locked="1" hidden="0"/>
    </dxf>
    <dxf>
      <font>
        <b val="0"/>
        <i val="0"/>
        <strike val="0"/>
        <condense val="0"/>
        <extend val="0"/>
        <outline val="0"/>
        <shadow val="0"/>
        <u val="none"/>
        <vertAlign val="baseline"/>
        <sz val="11"/>
        <color rgb="FFEACD4D"/>
        <name val="Trebuchet MS"/>
        <family val="2"/>
        <scheme val="minor"/>
      </font>
      <fill>
        <patternFill patternType="solid">
          <fgColor indexed="64"/>
          <bgColor rgb="FF003FA2"/>
        </patternFill>
      </fill>
      <alignment horizontal="general" vertical="top" textRotation="0" wrapText="0" indent="0" justifyLastLine="0" shrinkToFit="0" readingOrder="0"/>
      <protection locked="1" hidden="0"/>
    </dxf>
    <dxf>
      <numFmt numFmtId="2" formatCode="0.00"/>
      <protection locked="1" hidden="0"/>
    </dxf>
    <dxf>
      <numFmt numFmtId="2" formatCode="0.00"/>
      <protection locked="1" hidden="0"/>
    </dxf>
    <dxf>
      <numFmt numFmtId="2" formatCode="0.00"/>
      <protection locked="1" hidden="0"/>
    </dxf>
    <dxf>
      <numFmt numFmtId="25" formatCode="hh:mm"/>
      <protection locked="0" hidden="0"/>
    </dxf>
    <dxf>
      <numFmt numFmtId="167" formatCode="[$-F400]h:mm:ss\ AM/PM"/>
      <protection locked="0" hidden="0"/>
    </dxf>
    <dxf>
      <numFmt numFmtId="167" formatCode="[$-F400]h:mm:ss\ AM/PM"/>
      <protection locked="0" hidden="0"/>
    </dxf>
    <dxf>
      <protection locked="1" hidden="0"/>
    </dxf>
    <dxf>
      <font>
        <b val="0"/>
        <i val="0"/>
        <strike val="0"/>
        <condense val="0"/>
        <extend val="0"/>
        <outline val="0"/>
        <shadow val="0"/>
        <u val="none"/>
        <vertAlign val="baseline"/>
        <sz val="11"/>
        <color rgb="FFEACD4D"/>
        <name val="Trebuchet MS"/>
        <family val="2"/>
        <scheme val="minor"/>
      </font>
      <fill>
        <patternFill patternType="solid">
          <fgColor indexed="64"/>
          <bgColor rgb="FF003FA2"/>
        </patternFill>
      </fill>
      <alignment horizontal="general" vertical="top" textRotation="0" wrapText="0" indent="0" justifyLastLine="0" shrinkToFit="0" readingOrder="0"/>
      <protection locked="1" hidden="0"/>
    </dxf>
    <dxf>
      <numFmt numFmtId="2" formatCode="0.00"/>
      <protection locked="1" hidden="0"/>
    </dxf>
    <dxf>
      <numFmt numFmtId="2" formatCode="0.00"/>
      <protection locked="1" hidden="0"/>
    </dxf>
    <dxf>
      <numFmt numFmtId="2" formatCode="0.00"/>
      <protection locked="1" hidden="0"/>
    </dxf>
    <dxf>
      <numFmt numFmtId="25" formatCode="hh:mm"/>
      <protection locked="0" hidden="0"/>
    </dxf>
    <dxf>
      <numFmt numFmtId="167" formatCode="[$-F400]h:mm:ss\ AM/PM"/>
      <protection locked="0" hidden="0"/>
    </dxf>
    <dxf>
      <numFmt numFmtId="167" formatCode="[$-F400]h:mm:ss\ AM/PM"/>
      <protection locked="0" hidden="0"/>
    </dxf>
    <dxf>
      <protection locked="1" hidden="0"/>
    </dxf>
    <dxf>
      <font>
        <b val="0"/>
        <i val="0"/>
        <strike val="0"/>
        <condense val="0"/>
        <extend val="0"/>
        <outline val="0"/>
        <shadow val="0"/>
        <u val="none"/>
        <vertAlign val="baseline"/>
        <sz val="11"/>
        <color rgb="FFEACD4D"/>
        <name val="Trebuchet MS"/>
        <family val="2"/>
        <scheme val="minor"/>
      </font>
      <fill>
        <patternFill patternType="solid">
          <fgColor indexed="64"/>
          <bgColor rgb="FF003FA2"/>
        </patternFill>
      </fill>
      <alignment horizontal="general" vertical="top" textRotation="0" wrapText="0" indent="0" justifyLastLine="0" shrinkToFit="0" readingOrder="0"/>
      <protection locked="1" hidden="0"/>
    </dxf>
    <dxf>
      <numFmt numFmtId="2" formatCode="0.00"/>
      <protection locked="1" hidden="0"/>
    </dxf>
    <dxf>
      <numFmt numFmtId="2" formatCode="0.00"/>
      <protection locked="1" hidden="0"/>
    </dxf>
    <dxf>
      <numFmt numFmtId="2" formatCode="0.00"/>
      <protection locked="1" hidden="0"/>
    </dxf>
    <dxf>
      <numFmt numFmtId="25" formatCode="hh:mm"/>
      <protection locked="0" hidden="0"/>
    </dxf>
    <dxf>
      <numFmt numFmtId="167" formatCode="[$-F400]h:mm:ss\ AM/PM"/>
      <protection locked="0" hidden="0"/>
    </dxf>
    <dxf>
      <numFmt numFmtId="167" formatCode="[$-F400]h:mm:ss\ AM/PM"/>
      <protection locked="0" hidden="0"/>
    </dxf>
    <dxf>
      <protection locked="1" hidden="0"/>
    </dxf>
    <dxf>
      <font>
        <b val="0"/>
        <i val="0"/>
        <strike val="0"/>
        <condense val="0"/>
        <extend val="0"/>
        <outline val="0"/>
        <shadow val="0"/>
        <u val="none"/>
        <vertAlign val="baseline"/>
        <sz val="11"/>
        <color rgb="FFEACD4D"/>
        <name val="Trebuchet MS"/>
        <family val="2"/>
        <scheme val="minor"/>
      </font>
      <fill>
        <patternFill patternType="solid">
          <fgColor indexed="64"/>
          <bgColor rgb="FF003FA2"/>
        </patternFill>
      </fill>
      <alignment horizontal="general" vertical="top" textRotation="0" wrapText="0" indent="0" justifyLastLine="0" shrinkToFit="0" readingOrder="0"/>
      <protection locked="1" hidden="0"/>
    </dxf>
    <dxf>
      <numFmt numFmtId="2" formatCode="0.00"/>
      <protection locked="1" hidden="0"/>
    </dxf>
    <dxf>
      <numFmt numFmtId="2" formatCode="0.00"/>
      <protection locked="1" hidden="0"/>
    </dxf>
    <dxf>
      <numFmt numFmtId="2" formatCode="0.00"/>
      <protection locked="1" hidden="0"/>
    </dxf>
    <dxf>
      <numFmt numFmtId="25" formatCode="hh:mm"/>
      <protection locked="0" hidden="0"/>
    </dxf>
    <dxf>
      <numFmt numFmtId="167" formatCode="[$-F400]h:mm:ss\ AM/PM"/>
      <protection locked="0" hidden="0"/>
    </dxf>
    <dxf>
      <numFmt numFmtId="167" formatCode="[$-F400]h:mm:ss\ AM/PM"/>
      <protection locked="0" hidden="0"/>
    </dxf>
    <dxf>
      <protection locked="1" hidden="0"/>
    </dxf>
    <dxf>
      <font>
        <b val="0"/>
        <i val="0"/>
        <strike val="0"/>
        <condense val="0"/>
        <extend val="0"/>
        <outline val="0"/>
        <shadow val="0"/>
        <u val="none"/>
        <vertAlign val="baseline"/>
        <sz val="11"/>
        <color rgb="FFEACD4D"/>
        <name val="Trebuchet MS"/>
        <family val="2"/>
        <scheme val="minor"/>
      </font>
      <fill>
        <patternFill patternType="solid">
          <fgColor indexed="64"/>
          <bgColor rgb="FF003FA2"/>
        </patternFill>
      </fill>
      <alignment horizontal="general" vertical="top" textRotation="0" wrapText="0" indent="0" justifyLastLine="0" shrinkToFit="0" readingOrder="0"/>
      <protection locked="1" hidden="0"/>
    </dxf>
    <dxf>
      <numFmt numFmtId="2" formatCode="0.00"/>
      <protection locked="1" hidden="0"/>
    </dxf>
    <dxf>
      <numFmt numFmtId="2" formatCode="0.00"/>
      <protection locked="1" hidden="0"/>
    </dxf>
    <dxf>
      <numFmt numFmtId="2" formatCode="0.00"/>
      <protection locked="1" hidden="0"/>
    </dxf>
    <dxf>
      <numFmt numFmtId="25" formatCode="hh:mm"/>
      <protection locked="0" hidden="0"/>
    </dxf>
    <dxf>
      <numFmt numFmtId="167" formatCode="[$-F400]h:mm:ss\ AM/PM"/>
      <protection locked="0" hidden="0"/>
    </dxf>
    <dxf>
      <numFmt numFmtId="167" formatCode="[$-F400]h:mm:ss\ AM/PM"/>
      <protection locked="0" hidden="0"/>
    </dxf>
    <dxf>
      <protection locked="1" hidden="0"/>
    </dxf>
    <dxf>
      <font>
        <b val="0"/>
        <i val="0"/>
        <strike val="0"/>
        <condense val="0"/>
        <extend val="0"/>
        <outline val="0"/>
        <shadow val="0"/>
        <u val="none"/>
        <vertAlign val="baseline"/>
        <sz val="11"/>
        <color rgb="FFEACD4D"/>
        <name val="Trebuchet MS"/>
        <family val="2"/>
        <scheme val="minor"/>
      </font>
      <fill>
        <patternFill patternType="solid">
          <fgColor indexed="64"/>
          <bgColor rgb="FF003FA2"/>
        </patternFill>
      </fill>
      <alignment horizontal="general" vertical="top" textRotation="0" wrapText="0" indent="0" justifyLastLine="0" shrinkToFit="0" readingOrder="0"/>
      <protection locked="1" hidden="0"/>
    </dxf>
    <dxf>
      <numFmt numFmtId="2" formatCode="0.00"/>
      <protection locked="1" hidden="0"/>
    </dxf>
    <dxf>
      <numFmt numFmtId="2" formatCode="0.00"/>
      <protection locked="1" hidden="0"/>
    </dxf>
    <dxf>
      <numFmt numFmtId="2" formatCode="0.00"/>
      <protection locked="1" hidden="0"/>
    </dxf>
    <dxf>
      <numFmt numFmtId="25" formatCode="hh:mm"/>
      <protection locked="0" hidden="0"/>
    </dxf>
    <dxf>
      <numFmt numFmtId="167" formatCode="[$-F400]h:mm:ss\ AM/PM"/>
      <protection locked="0" hidden="0"/>
    </dxf>
    <dxf>
      <numFmt numFmtId="167" formatCode="[$-F400]h:mm:ss\ AM/PM"/>
      <protection locked="0" hidden="0"/>
    </dxf>
    <dxf>
      <protection locked="1" hidden="0"/>
    </dxf>
    <dxf>
      <font>
        <b val="0"/>
        <i val="0"/>
        <strike val="0"/>
        <condense val="0"/>
        <extend val="0"/>
        <outline val="0"/>
        <shadow val="0"/>
        <u val="none"/>
        <vertAlign val="baseline"/>
        <sz val="11"/>
        <color rgb="FFEACD4D"/>
        <name val="Trebuchet MS"/>
        <family val="2"/>
        <scheme val="minor"/>
      </font>
      <fill>
        <patternFill patternType="solid">
          <fgColor indexed="64"/>
          <bgColor rgb="FF003FA2"/>
        </patternFill>
      </fill>
      <alignment horizontal="general" vertical="top" textRotation="0" wrapText="0" indent="0" justifyLastLine="0" shrinkToFit="0" readingOrder="0"/>
      <protection locked="1" hidden="0"/>
    </dxf>
    <dxf>
      <numFmt numFmtId="2" formatCode="0.00"/>
      <protection locked="1" hidden="0"/>
    </dxf>
    <dxf>
      <numFmt numFmtId="2" formatCode="0.00"/>
      <protection locked="1" hidden="0"/>
    </dxf>
    <dxf>
      <numFmt numFmtId="2" formatCode="0.00"/>
      <protection locked="1" hidden="0"/>
    </dxf>
    <dxf>
      <numFmt numFmtId="25" formatCode="hh:mm"/>
      <protection locked="0" hidden="0"/>
    </dxf>
    <dxf>
      <numFmt numFmtId="167" formatCode="[$-F400]h:mm:ss\ AM/PM"/>
      <protection locked="0" hidden="0"/>
    </dxf>
    <dxf>
      <numFmt numFmtId="167" formatCode="[$-F400]h:mm:ss\ AM/PM"/>
      <protection locked="0" hidden="0"/>
    </dxf>
    <dxf>
      <protection locked="1" hidden="0"/>
    </dxf>
    <dxf>
      <font>
        <b val="0"/>
        <i val="0"/>
        <strike val="0"/>
        <condense val="0"/>
        <extend val="0"/>
        <outline val="0"/>
        <shadow val="0"/>
        <u val="none"/>
        <vertAlign val="baseline"/>
        <sz val="11"/>
        <color rgb="FFEACD4D"/>
        <name val="Trebuchet MS"/>
        <family val="2"/>
        <scheme val="minor"/>
      </font>
      <fill>
        <patternFill patternType="solid">
          <fgColor indexed="64"/>
          <bgColor rgb="FF003FA2"/>
        </patternFill>
      </fill>
      <alignment horizontal="general" vertical="top" textRotation="0" wrapText="0" indent="0" justifyLastLine="0" shrinkToFit="0" readingOrder="0"/>
      <protection locked="1" hidden="0"/>
    </dxf>
    <dxf>
      <numFmt numFmtId="2" formatCode="0.00"/>
      <protection locked="1" hidden="0"/>
    </dxf>
    <dxf>
      <numFmt numFmtId="2" formatCode="0.00"/>
      <protection locked="1" hidden="0"/>
    </dxf>
    <dxf>
      <numFmt numFmtId="2" formatCode="0.00"/>
      <protection locked="1" hidden="0"/>
    </dxf>
    <dxf>
      <numFmt numFmtId="25" formatCode="hh:mm"/>
      <protection locked="0" hidden="0"/>
    </dxf>
    <dxf>
      <numFmt numFmtId="167" formatCode="[$-F400]h:mm:ss\ AM/PM"/>
      <protection locked="0" hidden="0"/>
    </dxf>
    <dxf>
      <numFmt numFmtId="167" formatCode="[$-F400]h:mm:ss\ AM/PM"/>
      <protection locked="0" hidden="0"/>
    </dxf>
    <dxf>
      <protection locked="1" hidden="0"/>
    </dxf>
    <dxf>
      <font>
        <b val="0"/>
        <i val="0"/>
        <strike val="0"/>
        <condense val="0"/>
        <extend val="0"/>
        <outline val="0"/>
        <shadow val="0"/>
        <u val="none"/>
        <vertAlign val="baseline"/>
        <sz val="11"/>
        <color rgb="FFEACD4D"/>
        <name val="Trebuchet MS"/>
        <family val="2"/>
        <scheme val="minor"/>
      </font>
      <fill>
        <patternFill patternType="solid">
          <fgColor indexed="64"/>
          <bgColor rgb="FF003FA2"/>
        </patternFill>
      </fill>
      <alignment horizontal="general" vertical="top" textRotation="0" wrapText="0" indent="0" justifyLastLine="0" shrinkToFit="0" readingOrder="0"/>
      <protection locked="1" hidden="0"/>
    </dxf>
    <dxf>
      <numFmt numFmtId="2" formatCode="0.00"/>
      <protection locked="1" hidden="0"/>
    </dxf>
    <dxf>
      <numFmt numFmtId="2" formatCode="0.00"/>
      <protection locked="1" hidden="0"/>
    </dxf>
    <dxf>
      <numFmt numFmtId="2" formatCode="0.00"/>
      <protection locked="1" hidden="0"/>
    </dxf>
    <dxf>
      <numFmt numFmtId="25" formatCode="hh:mm"/>
      <protection locked="0" hidden="0"/>
    </dxf>
    <dxf>
      <numFmt numFmtId="167" formatCode="[$-F400]h:mm:ss\ AM/PM"/>
      <protection locked="0" hidden="0"/>
    </dxf>
    <dxf>
      <numFmt numFmtId="167" formatCode="[$-F400]h:mm:ss\ AM/PM"/>
      <protection locked="0" hidden="0"/>
    </dxf>
    <dxf>
      <protection locked="1" hidden="0"/>
    </dxf>
    <dxf>
      <font>
        <b val="0"/>
        <i val="0"/>
        <strike val="0"/>
        <condense val="0"/>
        <extend val="0"/>
        <outline val="0"/>
        <shadow val="0"/>
        <u val="none"/>
        <vertAlign val="baseline"/>
        <sz val="11"/>
        <color rgb="FFEACD4D"/>
        <name val="Trebuchet MS"/>
        <family val="2"/>
        <scheme val="minor"/>
      </font>
      <fill>
        <patternFill patternType="solid">
          <fgColor indexed="64"/>
          <bgColor rgb="FF003FA2"/>
        </patternFill>
      </fill>
      <alignment horizontal="general" vertical="top" textRotation="0" wrapText="0" indent="0" justifyLastLine="0" shrinkToFit="0" readingOrder="0"/>
      <protection locked="1" hidden="0"/>
    </dxf>
    <dxf>
      <numFmt numFmtId="2" formatCode="0.00"/>
      <protection locked="1" hidden="0"/>
    </dxf>
    <dxf>
      <numFmt numFmtId="2" formatCode="0.00"/>
      <protection locked="1" hidden="0"/>
    </dxf>
    <dxf>
      <numFmt numFmtId="2" formatCode="0.00"/>
      <protection locked="1" hidden="0"/>
    </dxf>
    <dxf>
      <numFmt numFmtId="25" formatCode="hh:mm"/>
      <protection locked="0" hidden="0"/>
    </dxf>
    <dxf>
      <numFmt numFmtId="167" formatCode="[$-F400]h:mm:ss\ AM/PM"/>
      <protection locked="0" hidden="0"/>
    </dxf>
    <dxf>
      <numFmt numFmtId="167" formatCode="[$-F400]h:mm:ss\ AM/PM"/>
      <protection locked="0" hidden="0"/>
    </dxf>
    <dxf>
      <protection locked="1" hidden="0"/>
    </dxf>
    <dxf>
      <font>
        <b val="0"/>
        <i val="0"/>
        <strike val="0"/>
        <condense val="0"/>
        <extend val="0"/>
        <outline val="0"/>
        <shadow val="0"/>
        <u val="none"/>
        <vertAlign val="baseline"/>
        <sz val="11"/>
        <color rgb="FFEACD4D"/>
        <name val="Trebuchet MS"/>
        <family val="2"/>
        <scheme val="minor"/>
      </font>
      <fill>
        <patternFill patternType="solid">
          <fgColor indexed="64"/>
          <bgColor rgb="FF003FA2"/>
        </patternFill>
      </fill>
      <alignment horizontal="general" vertical="top" textRotation="0" wrapText="0" indent="0" justifyLastLine="0" shrinkToFit="0" readingOrder="0"/>
      <protection locked="1" hidden="0"/>
    </dxf>
    <dxf>
      <numFmt numFmtId="2" formatCode="0.00"/>
      <protection locked="1" hidden="0"/>
    </dxf>
    <dxf>
      <numFmt numFmtId="2" formatCode="0.00"/>
      <protection locked="1" hidden="0"/>
    </dxf>
    <dxf>
      <numFmt numFmtId="2" formatCode="0.00"/>
      <protection locked="1" hidden="0"/>
    </dxf>
    <dxf>
      <numFmt numFmtId="25" formatCode="hh:mm"/>
      <protection locked="0" hidden="0"/>
    </dxf>
    <dxf>
      <numFmt numFmtId="167" formatCode="[$-F400]h:mm:ss\ AM/PM"/>
      <protection locked="0" hidden="0"/>
    </dxf>
    <dxf>
      <numFmt numFmtId="167" formatCode="[$-F400]h:mm:ss\ AM/PM"/>
      <protection locked="0" hidden="0"/>
    </dxf>
    <dxf>
      <protection locked="1" hidden="0"/>
    </dxf>
    <dxf>
      <font>
        <b val="0"/>
        <i val="0"/>
        <strike val="0"/>
        <condense val="0"/>
        <extend val="0"/>
        <outline val="0"/>
        <shadow val="0"/>
        <u val="none"/>
        <vertAlign val="baseline"/>
        <sz val="11"/>
        <color rgb="FFEACD4D"/>
        <name val="Trebuchet MS"/>
        <family val="2"/>
        <scheme val="minor"/>
      </font>
      <fill>
        <patternFill patternType="solid">
          <fgColor indexed="64"/>
          <bgColor rgb="FF003FA2"/>
        </patternFill>
      </fill>
      <alignment horizontal="general" vertical="top" textRotation="0" wrapText="0" indent="0" justifyLastLine="0" shrinkToFit="0" readingOrder="0"/>
      <protection locked="1" hidden="0"/>
    </dxf>
    <dxf>
      <numFmt numFmtId="2" formatCode="0.00"/>
      <protection locked="1" hidden="0"/>
    </dxf>
    <dxf>
      <numFmt numFmtId="2" formatCode="0.00"/>
      <protection locked="1" hidden="0"/>
    </dxf>
    <dxf>
      <numFmt numFmtId="2" formatCode="0.00"/>
      <protection locked="1" hidden="0"/>
    </dxf>
    <dxf>
      <numFmt numFmtId="25" formatCode="hh:mm"/>
      <protection locked="0" hidden="0"/>
    </dxf>
    <dxf>
      <numFmt numFmtId="167" formatCode="[$-F400]h:mm:ss\ AM/PM"/>
      <protection locked="0" hidden="0"/>
    </dxf>
    <dxf>
      <numFmt numFmtId="167" formatCode="[$-F400]h:mm:ss\ AM/PM"/>
      <protection locked="0" hidden="0"/>
    </dxf>
    <dxf>
      <protection locked="1" hidden="0"/>
    </dxf>
    <dxf>
      <font>
        <b val="0"/>
        <i val="0"/>
        <strike val="0"/>
        <condense val="0"/>
        <extend val="0"/>
        <outline val="0"/>
        <shadow val="0"/>
        <u val="none"/>
        <vertAlign val="baseline"/>
        <sz val="11"/>
        <color rgb="FFEACD4D"/>
        <name val="Trebuchet MS"/>
        <family val="2"/>
        <scheme val="minor"/>
      </font>
      <fill>
        <patternFill patternType="solid">
          <fgColor indexed="64"/>
          <bgColor rgb="FF003FA2"/>
        </patternFill>
      </fill>
      <alignment horizontal="general" vertical="top" textRotation="0" wrapText="0" indent="0" justifyLastLine="0" shrinkToFit="0" readingOrder="0"/>
      <protection locked="1" hidden="0"/>
    </dxf>
    <dxf>
      <numFmt numFmtId="2" formatCode="0.00"/>
      <protection locked="1" hidden="0"/>
    </dxf>
    <dxf>
      <numFmt numFmtId="2" formatCode="0.00"/>
      <protection locked="1" hidden="0"/>
    </dxf>
    <dxf>
      <numFmt numFmtId="2" formatCode="0.00"/>
      <protection locked="1" hidden="0"/>
    </dxf>
    <dxf>
      <numFmt numFmtId="25" formatCode="hh:mm"/>
      <protection locked="0" hidden="0"/>
    </dxf>
    <dxf>
      <numFmt numFmtId="167" formatCode="[$-F400]h:mm:ss\ AM/PM"/>
      <protection locked="0" hidden="0"/>
    </dxf>
    <dxf>
      <numFmt numFmtId="167" formatCode="[$-F400]h:mm:ss\ AM/PM"/>
      <protection locked="0" hidden="0"/>
    </dxf>
    <dxf>
      <protection locked="1" hidden="0"/>
    </dxf>
    <dxf>
      <font>
        <b val="0"/>
        <i val="0"/>
        <strike val="0"/>
        <condense val="0"/>
        <extend val="0"/>
        <outline val="0"/>
        <shadow val="0"/>
        <u val="none"/>
        <vertAlign val="baseline"/>
        <sz val="11"/>
        <color rgb="FFEACD4D"/>
        <name val="Trebuchet MS"/>
        <family val="2"/>
        <scheme val="minor"/>
      </font>
      <fill>
        <patternFill patternType="solid">
          <fgColor indexed="64"/>
          <bgColor rgb="FF003FA2"/>
        </patternFill>
      </fill>
      <alignment horizontal="general" vertical="top" textRotation="0" wrapText="0" indent="0" justifyLastLine="0" shrinkToFit="0" readingOrder="0"/>
      <protection locked="1" hidden="0"/>
    </dxf>
    <dxf>
      <numFmt numFmtId="2" formatCode="0.00"/>
      <protection locked="1" hidden="0"/>
    </dxf>
    <dxf>
      <numFmt numFmtId="2" formatCode="0.00"/>
      <protection locked="1" hidden="0"/>
    </dxf>
    <dxf>
      <numFmt numFmtId="2" formatCode="0.00"/>
      <protection locked="1" hidden="0"/>
    </dxf>
    <dxf>
      <numFmt numFmtId="25" formatCode="hh:mm"/>
      <protection locked="0" hidden="0"/>
    </dxf>
    <dxf>
      <numFmt numFmtId="167" formatCode="[$-F400]h:mm:ss\ AM/PM"/>
      <protection locked="0" hidden="0"/>
    </dxf>
    <dxf>
      <numFmt numFmtId="167" formatCode="[$-F400]h:mm:ss\ AM/PM"/>
      <protection locked="0" hidden="0"/>
    </dxf>
    <dxf>
      <protection locked="1" hidden="0"/>
    </dxf>
    <dxf>
      <font>
        <b val="0"/>
        <i val="0"/>
        <strike val="0"/>
        <condense val="0"/>
        <extend val="0"/>
        <outline val="0"/>
        <shadow val="0"/>
        <u val="none"/>
        <vertAlign val="baseline"/>
        <sz val="11"/>
        <color rgb="FFEACD4D"/>
        <name val="Trebuchet MS"/>
        <family val="2"/>
        <scheme val="minor"/>
      </font>
      <fill>
        <patternFill patternType="solid">
          <fgColor indexed="64"/>
          <bgColor rgb="FF003FA2"/>
        </patternFill>
      </fill>
      <alignment horizontal="general" vertical="top" textRotation="0" wrapText="0" indent="0" justifyLastLine="0" shrinkToFit="0" readingOrder="0"/>
      <protection locked="1" hidden="0"/>
    </dxf>
    <dxf>
      <numFmt numFmtId="2" formatCode="0.00"/>
      <protection locked="1" hidden="0"/>
    </dxf>
    <dxf>
      <numFmt numFmtId="2" formatCode="0.00"/>
      <protection locked="1" hidden="0"/>
    </dxf>
    <dxf>
      <numFmt numFmtId="2" formatCode="0.00"/>
      <protection locked="1" hidden="0"/>
    </dxf>
    <dxf>
      <numFmt numFmtId="25" formatCode="hh:mm"/>
      <protection locked="0" hidden="0"/>
    </dxf>
    <dxf>
      <numFmt numFmtId="167" formatCode="[$-F400]h:mm:ss\ AM/PM"/>
      <protection locked="0" hidden="0"/>
    </dxf>
    <dxf>
      <numFmt numFmtId="167" formatCode="[$-F400]h:mm:ss\ AM/PM"/>
      <protection locked="0" hidden="0"/>
    </dxf>
    <dxf>
      <protection locked="1" hidden="0"/>
    </dxf>
    <dxf>
      <font>
        <b val="0"/>
        <i val="0"/>
        <strike val="0"/>
        <condense val="0"/>
        <extend val="0"/>
        <outline val="0"/>
        <shadow val="0"/>
        <u val="none"/>
        <vertAlign val="baseline"/>
        <sz val="11"/>
        <color rgb="FFEACD4D"/>
        <name val="Trebuchet MS"/>
        <family val="2"/>
        <scheme val="minor"/>
      </font>
      <fill>
        <patternFill patternType="solid">
          <fgColor indexed="64"/>
          <bgColor rgb="FF003FA2"/>
        </patternFill>
      </fill>
      <alignment horizontal="general" vertical="top" textRotation="0" wrapText="0" indent="0" justifyLastLine="0" shrinkToFit="0" readingOrder="0"/>
      <protection locked="1" hidden="0"/>
    </dxf>
    <dxf>
      <numFmt numFmtId="2" formatCode="0.00"/>
      <protection locked="1" hidden="0"/>
    </dxf>
    <dxf>
      <numFmt numFmtId="2" formatCode="0.00"/>
      <protection locked="1" hidden="0"/>
    </dxf>
    <dxf>
      <numFmt numFmtId="2" formatCode="0.00"/>
      <protection locked="1" hidden="0"/>
    </dxf>
    <dxf>
      <numFmt numFmtId="25" formatCode="hh:mm"/>
      <protection locked="0" hidden="0"/>
    </dxf>
    <dxf>
      <numFmt numFmtId="167" formatCode="[$-F400]h:mm:ss\ AM/PM"/>
      <protection locked="0" hidden="0"/>
    </dxf>
    <dxf>
      <numFmt numFmtId="167" formatCode="[$-F400]h:mm:ss\ AM/PM"/>
      <protection locked="0" hidden="0"/>
    </dxf>
    <dxf>
      <protection locked="1" hidden="0"/>
    </dxf>
    <dxf>
      <font>
        <b val="0"/>
        <i val="0"/>
        <strike val="0"/>
        <condense val="0"/>
        <extend val="0"/>
        <outline val="0"/>
        <shadow val="0"/>
        <u val="none"/>
        <vertAlign val="baseline"/>
        <sz val="11"/>
        <color rgb="FFEACD4D"/>
        <name val="Trebuchet MS"/>
        <family val="2"/>
        <scheme val="minor"/>
      </font>
      <fill>
        <patternFill patternType="solid">
          <fgColor indexed="64"/>
          <bgColor rgb="FF003FA2"/>
        </patternFill>
      </fill>
      <alignment horizontal="general" vertical="top" textRotation="0" wrapText="0" indent="0" justifyLastLine="0" shrinkToFit="0" readingOrder="0"/>
      <protection locked="1" hidden="0"/>
    </dxf>
    <dxf>
      <numFmt numFmtId="2" formatCode="0.00"/>
      <protection locked="1" hidden="0"/>
    </dxf>
    <dxf>
      <numFmt numFmtId="2" formatCode="0.00"/>
      <protection locked="1" hidden="0"/>
    </dxf>
    <dxf>
      <numFmt numFmtId="2" formatCode="0.00"/>
      <protection locked="1" hidden="0"/>
    </dxf>
    <dxf>
      <numFmt numFmtId="25" formatCode="hh:mm"/>
      <protection locked="0" hidden="0"/>
    </dxf>
    <dxf>
      <numFmt numFmtId="167" formatCode="[$-F400]h:mm:ss\ AM/PM"/>
      <protection locked="0" hidden="0"/>
    </dxf>
    <dxf>
      <numFmt numFmtId="167" formatCode="[$-F400]h:mm:ss\ AM/PM"/>
      <protection locked="0" hidden="0"/>
    </dxf>
    <dxf>
      <protection locked="1" hidden="0"/>
    </dxf>
    <dxf>
      <font>
        <b val="0"/>
        <i val="0"/>
        <strike val="0"/>
        <condense val="0"/>
        <extend val="0"/>
        <outline val="0"/>
        <shadow val="0"/>
        <u val="none"/>
        <vertAlign val="baseline"/>
        <sz val="11"/>
        <color rgb="FFEACD4D"/>
        <name val="Trebuchet MS"/>
        <family val="2"/>
        <scheme val="minor"/>
      </font>
      <fill>
        <patternFill patternType="solid">
          <fgColor indexed="64"/>
          <bgColor rgb="FF003FA2"/>
        </patternFill>
      </fill>
      <alignment horizontal="general" vertical="top" textRotation="0" wrapText="0" indent="0" justifyLastLine="0" shrinkToFit="0" readingOrder="0"/>
      <protection locked="1" hidden="0"/>
    </dxf>
    <dxf>
      <numFmt numFmtId="2" formatCode="0.00"/>
      <protection locked="1" hidden="0"/>
    </dxf>
    <dxf>
      <numFmt numFmtId="2" formatCode="0.00"/>
      <protection locked="1" hidden="0"/>
    </dxf>
    <dxf>
      <numFmt numFmtId="2" formatCode="0.00"/>
      <protection locked="1" hidden="0"/>
    </dxf>
    <dxf>
      <protection locked="0" hidden="0"/>
    </dxf>
    <dxf>
      <numFmt numFmtId="167" formatCode="[$-F400]h:mm:ss\ AM/PM"/>
      <protection locked="0" hidden="0"/>
    </dxf>
    <dxf>
      <numFmt numFmtId="167" formatCode="[$-F400]h:mm:ss\ AM/PM"/>
      <protection locked="0" hidden="0"/>
    </dxf>
    <dxf>
      <protection locked="1" hidden="0"/>
    </dxf>
    <dxf>
      <font>
        <b val="0"/>
        <i val="0"/>
        <strike val="0"/>
        <condense val="0"/>
        <extend val="0"/>
        <outline val="0"/>
        <shadow val="0"/>
        <u val="none"/>
        <vertAlign val="baseline"/>
        <sz val="11"/>
        <color rgb="FFEACD4D"/>
        <name val="Trebuchet MS"/>
        <family val="2"/>
        <scheme val="minor"/>
      </font>
      <fill>
        <patternFill patternType="solid">
          <fgColor indexed="64"/>
          <bgColor rgb="FF003FA2"/>
        </patternFill>
      </fill>
      <alignment horizontal="general" vertical="top" textRotation="0" wrapText="0" indent="0" justifyLastLine="0" shrinkToFit="0" readingOrder="0"/>
      <protection locked="1" hidden="0"/>
    </dxf>
    <dxf>
      <numFmt numFmtId="2" formatCode="0.00"/>
      <protection locked="1" hidden="0"/>
    </dxf>
    <dxf>
      <numFmt numFmtId="2" formatCode="0.00"/>
      <protection locked="1" hidden="0"/>
    </dxf>
    <dxf>
      <numFmt numFmtId="2" formatCode="0.00"/>
      <protection locked="1" hidden="0"/>
    </dxf>
    <dxf>
      <numFmt numFmtId="25" formatCode="hh:mm"/>
      <protection locked="0" hidden="0"/>
    </dxf>
    <dxf>
      <numFmt numFmtId="167" formatCode="[$-F400]h:mm:ss\ AM/PM"/>
      <protection locked="0" hidden="0"/>
    </dxf>
    <dxf>
      <numFmt numFmtId="167" formatCode="[$-F400]h:mm:ss\ AM/PM"/>
      <protection locked="0" hidden="0"/>
    </dxf>
    <dxf>
      <protection locked="1" hidden="0"/>
    </dxf>
    <dxf>
      <font>
        <b val="0"/>
        <i val="0"/>
        <strike val="0"/>
        <condense val="0"/>
        <extend val="0"/>
        <outline val="0"/>
        <shadow val="0"/>
        <u val="none"/>
        <vertAlign val="baseline"/>
        <sz val="11"/>
        <color rgb="FFEACD4D"/>
        <name val="Trebuchet MS"/>
        <family val="2"/>
        <scheme val="minor"/>
      </font>
      <fill>
        <patternFill patternType="solid">
          <fgColor indexed="64"/>
          <bgColor rgb="FF003FA2"/>
        </patternFill>
      </fill>
      <alignment horizontal="general" vertical="top" textRotation="0" wrapText="0" indent="0" justifyLastLine="0" shrinkToFit="0" readingOrder="0"/>
      <protection locked="1" hidden="0"/>
    </dxf>
    <dxf>
      <numFmt numFmtId="2" formatCode="0.00"/>
      <protection locked="1" hidden="0"/>
    </dxf>
    <dxf>
      <numFmt numFmtId="2" formatCode="0.00"/>
      <protection locked="1" hidden="0"/>
    </dxf>
    <dxf>
      <numFmt numFmtId="2" formatCode="0.00"/>
      <protection locked="1" hidden="0"/>
    </dxf>
    <dxf>
      <numFmt numFmtId="25" formatCode="hh:mm"/>
      <protection locked="0" hidden="0"/>
    </dxf>
    <dxf>
      <numFmt numFmtId="167" formatCode="[$-F400]h:mm:ss\ AM/PM"/>
      <protection locked="0" hidden="0"/>
    </dxf>
    <dxf>
      <numFmt numFmtId="167" formatCode="[$-F400]h:mm:ss\ AM/PM"/>
      <protection locked="0" hidden="0"/>
    </dxf>
    <dxf>
      <protection locked="1" hidden="0"/>
    </dxf>
    <dxf>
      <font>
        <b val="0"/>
        <i val="0"/>
        <strike val="0"/>
        <condense val="0"/>
        <extend val="0"/>
        <outline val="0"/>
        <shadow val="0"/>
        <u val="none"/>
        <vertAlign val="baseline"/>
        <sz val="11"/>
        <color rgb="FFEACD4D"/>
        <name val="Trebuchet MS"/>
        <family val="2"/>
        <scheme val="minor"/>
      </font>
      <fill>
        <patternFill patternType="solid">
          <fgColor indexed="64"/>
          <bgColor rgb="FF003FA2"/>
        </patternFill>
      </fill>
      <alignment horizontal="general" vertical="top" textRotation="0" wrapText="0" indent="0" justifyLastLine="0" shrinkToFit="0" readingOrder="0"/>
      <protection locked="1" hidden="0"/>
    </dxf>
    <dxf>
      <numFmt numFmtId="2" formatCode="0.00"/>
      <protection locked="1" hidden="0"/>
    </dxf>
    <dxf>
      <numFmt numFmtId="2" formatCode="0.00"/>
      <protection locked="1" hidden="0"/>
    </dxf>
    <dxf>
      <numFmt numFmtId="2" formatCode="0.00"/>
      <protection locked="1" hidden="0"/>
    </dxf>
    <dxf>
      <numFmt numFmtId="25" formatCode="hh:mm"/>
      <protection locked="0" hidden="0"/>
    </dxf>
    <dxf>
      <numFmt numFmtId="167" formatCode="[$-F400]h:mm:ss\ AM/PM"/>
      <protection locked="0" hidden="0"/>
    </dxf>
    <dxf>
      <numFmt numFmtId="167" formatCode="[$-F400]h:mm:ss\ AM/PM"/>
      <protection locked="0" hidden="0"/>
    </dxf>
    <dxf>
      <protection locked="1" hidden="0"/>
    </dxf>
    <dxf>
      <font>
        <b val="0"/>
        <i val="0"/>
        <strike val="0"/>
        <condense val="0"/>
        <extend val="0"/>
        <outline val="0"/>
        <shadow val="0"/>
        <u val="none"/>
        <vertAlign val="baseline"/>
        <sz val="11"/>
        <color rgb="FFEACD4D"/>
        <name val="Trebuchet MS"/>
        <family val="2"/>
        <scheme val="minor"/>
      </font>
      <fill>
        <patternFill patternType="solid">
          <fgColor indexed="64"/>
          <bgColor rgb="FF003FA2"/>
        </patternFill>
      </fill>
      <alignment horizontal="general" vertical="top" textRotation="0" wrapText="0" indent="0" justifyLastLine="0" shrinkToFit="0" readingOrder="0"/>
      <protection locked="1" hidden="0"/>
    </dxf>
    <dxf>
      <numFmt numFmtId="2" formatCode="0.00"/>
      <protection locked="1" hidden="0"/>
    </dxf>
    <dxf>
      <numFmt numFmtId="2" formatCode="0.00"/>
      <protection locked="1" hidden="0"/>
    </dxf>
    <dxf>
      <numFmt numFmtId="2" formatCode="0.00"/>
      <protection locked="1" hidden="0"/>
    </dxf>
    <dxf>
      <numFmt numFmtId="25" formatCode="hh:mm"/>
      <protection locked="0" hidden="0"/>
    </dxf>
    <dxf>
      <numFmt numFmtId="167" formatCode="[$-F400]h:mm:ss\ AM/PM"/>
      <protection locked="0" hidden="0"/>
    </dxf>
    <dxf>
      <numFmt numFmtId="167" formatCode="[$-F400]h:mm:ss\ AM/PM"/>
      <protection locked="0" hidden="0"/>
    </dxf>
    <dxf>
      <protection locked="1" hidden="0"/>
    </dxf>
    <dxf>
      <font>
        <b val="0"/>
        <i val="0"/>
        <strike val="0"/>
        <condense val="0"/>
        <extend val="0"/>
        <outline val="0"/>
        <shadow val="0"/>
        <u val="none"/>
        <vertAlign val="baseline"/>
        <sz val="11"/>
        <color rgb="FFEACD4D"/>
        <name val="Trebuchet MS"/>
        <family val="2"/>
        <scheme val="minor"/>
      </font>
      <fill>
        <patternFill patternType="solid">
          <fgColor indexed="64"/>
          <bgColor rgb="FF003FA2"/>
        </patternFill>
      </fill>
      <alignment horizontal="general" vertical="top" textRotation="0" wrapText="0" indent="0" justifyLastLine="0" shrinkToFit="0" readingOrder="0"/>
      <protection locked="1" hidden="0"/>
    </dxf>
    <dxf>
      <numFmt numFmtId="2" formatCode="0.00"/>
      <protection locked="1" hidden="0"/>
    </dxf>
    <dxf>
      <numFmt numFmtId="2" formatCode="0.00"/>
      <protection locked="1" hidden="0"/>
    </dxf>
    <dxf>
      <numFmt numFmtId="2" formatCode="0.00"/>
      <protection locked="1" hidden="0"/>
    </dxf>
    <dxf>
      <numFmt numFmtId="25" formatCode="hh:mm"/>
      <protection locked="0" hidden="0"/>
    </dxf>
    <dxf>
      <numFmt numFmtId="167" formatCode="[$-F400]h:mm:ss\ AM/PM"/>
      <protection locked="0" hidden="0"/>
    </dxf>
    <dxf>
      <numFmt numFmtId="167" formatCode="[$-F400]h:mm:ss\ AM/PM"/>
      <protection locked="0" hidden="0"/>
    </dxf>
    <dxf>
      <protection locked="1" hidden="0"/>
    </dxf>
    <dxf>
      <font>
        <b val="0"/>
        <i val="0"/>
        <strike val="0"/>
        <condense val="0"/>
        <extend val="0"/>
        <outline val="0"/>
        <shadow val="0"/>
        <u val="none"/>
        <vertAlign val="baseline"/>
        <sz val="11"/>
        <color rgb="FFEACD4D"/>
        <name val="Trebuchet MS"/>
        <family val="2"/>
        <scheme val="minor"/>
      </font>
      <fill>
        <patternFill patternType="solid">
          <fgColor indexed="64"/>
          <bgColor rgb="FF003FA2"/>
        </patternFill>
      </fill>
      <alignment horizontal="general" vertical="top" textRotation="0" wrapText="0" indent="0" justifyLastLine="0" shrinkToFit="0" readingOrder="0"/>
      <protection locked="1" hidden="0"/>
    </dxf>
    <dxf>
      <numFmt numFmtId="2" formatCode="0.00"/>
      <protection locked="1" hidden="0"/>
    </dxf>
    <dxf>
      <numFmt numFmtId="2" formatCode="0.00"/>
      <protection locked="1" hidden="0"/>
    </dxf>
    <dxf>
      <numFmt numFmtId="2" formatCode="0.00"/>
      <protection locked="1" hidden="0"/>
    </dxf>
    <dxf>
      <numFmt numFmtId="25" formatCode="hh:mm"/>
      <protection locked="0" hidden="0"/>
    </dxf>
    <dxf>
      <numFmt numFmtId="167" formatCode="[$-F400]h:mm:ss\ AM/PM"/>
      <protection locked="0" hidden="0"/>
    </dxf>
    <dxf>
      <numFmt numFmtId="167" formatCode="[$-F400]h:mm:ss\ AM/PM"/>
      <protection locked="0" hidden="0"/>
    </dxf>
    <dxf>
      <protection locked="1" hidden="0"/>
    </dxf>
    <dxf>
      <font>
        <b val="0"/>
        <i val="0"/>
        <strike val="0"/>
        <condense val="0"/>
        <extend val="0"/>
        <outline val="0"/>
        <shadow val="0"/>
        <u val="none"/>
        <vertAlign val="baseline"/>
        <sz val="11"/>
        <color rgb="FFEACD4D"/>
        <name val="Trebuchet MS"/>
        <family val="2"/>
        <scheme val="minor"/>
      </font>
      <fill>
        <patternFill patternType="solid">
          <fgColor indexed="64"/>
          <bgColor rgb="FF003FA2"/>
        </patternFill>
      </fill>
      <alignment horizontal="general" vertical="top" textRotation="0" wrapText="0" indent="0" justifyLastLine="0" shrinkToFit="0" readingOrder="0"/>
      <protection locked="1" hidden="0"/>
    </dxf>
    <dxf>
      <numFmt numFmtId="2" formatCode="0.00"/>
      <protection locked="1" hidden="0"/>
    </dxf>
    <dxf>
      <numFmt numFmtId="2" formatCode="0.00"/>
      <protection locked="1" hidden="0"/>
    </dxf>
    <dxf>
      <numFmt numFmtId="2" formatCode="0.00"/>
      <protection locked="1" hidden="0"/>
    </dxf>
    <dxf>
      <numFmt numFmtId="25" formatCode="hh:mm"/>
      <protection locked="0" hidden="0"/>
    </dxf>
    <dxf>
      <numFmt numFmtId="167" formatCode="[$-F400]h:mm:ss\ AM/PM"/>
      <protection locked="0" hidden="0"/>
    </dxf>
    <dxf>
      <numFmt numFmtId="167" formatCode="[$-F400]h:mm:ss\ AM/PM"/>
      <protection locked="0" hidden="0"/>
    </dxf>
    <dxf>
      <protection locked="1" hidden="0"/>
    </dxf>
    <dxf>
      <font>
        <b val="0"/>
        <i val="0"/>
        <strike val="0"/>
        <condense val="0"/>
        <extend val="0"/>
        <outline val="0"/>
        <shadow val="0"/>
        <u val="none"/>
        <vertAlign val="baseline"/>
        <sz val="11"/>
        <color rgb="FFEACD4D"/>
        <name val="Trebuchet MS"/>
        <family val="2"/>
        <scheme val="minor"/>
      </font>
      <fill>
        <patternFill patternType="solid">
          <fgColor indexed="64"/>
          <bgColor rgb="FF003FA2"/>
        </patternFill>
      </fill>
      <alignment horizontal="general" vertical="top" textRotation="0" wrapText="0" indent="0" justifyLastLine="0" shrinkToFit="0" readingOrder="0"/>
      <protection locked="1" hidden="0"/>
    </dxf>
    <dxf>
      <numFmt numFmtId="2" formatCode="0.00"/>
      <protection locked="1" hidden="0"/>
    </dxf>
    <dxf>
      <numFmt numFmtId="2" formatCode="0.00"/>
      <protection locked="1" hidden="0"/>
    </dxf>
    <dxf>
      <numFmt numFmtId="2" formatCode="0.00"/>
      <protection locked="1" hidden="0"/>
    </dxf>
    <dxf>
      <numFmt numFmtId="25" formatCode="hh:mm"/>
      <protection locked="0" hidden="0"/>
    </dxf>
    <dxf>
      <numFmt numFmtId="167" formatCode="[$-F400]h:mm:ss\ AM/PM"/>
      <protection locked="0" hidden="0"/>
    </dxf>
    <dxf>
      <numFmt numFmtId="167" formatCode="[$-F400]h:mm:ss\ AM/PM"/>
      <protection locked="0" hidden="0"/>
    </dxf>
    <dxf>
      <protection locked="1" hidden="0"/>
    </dxf>
    <dxf>
      <font>
        <b val="0"/>
        <i val="0"/>
        <strike val="0"/>
        <condense val="0"/>
        <extend val="0"/>
        <outline val="0"/>
        <shadow val="0"/>
        <u val="none"/>
        <vertAlign val="baseline"/>
        <sz val="11"/>
        <color rgb="FFEACD4D"/>
        <name val="Trebuchet MS"/>
        <family val="2"/>
        <scheme val="minor"/>
      </font>
      <fill>
        <patternFill patternType="solid">
          <fgColor indexed="64"/>
          <bgColor rgb="FF003FA2"/>
        </patternFill>
      </fill>
      <alignment horizontal="general" vertical="top" textRotation="0" wrapText="0" indent="0" justifyLastLine="0" shrinkToFit="0" readingOrder="0"/>
      <protection locked="1" hidden="0"/>
    </dxf>
    <dxf>
      <numFmt numFmtId="2" formatCode="0.00"/>
      <protection locked="1" hidden="0"/>
    </dxf>
    <dxf>
      <numFmt numFmtId="2" formatCode="0.00"/>
      <protection locked="1" hidden="0"/>
    </dxf>
    <dxf>
      <numFmt numFmtId="2" formatCode="0.00"/>
      <protection locked="1" hidden="0"/>
    </dxf>
    <dxf>
      <numFmt numFmtId="25" formatCode="hh:mm"/>
      <protection locked="0" hidden="0"/>
    </dxf>
    <dxf>
      <numFmt numFmtId="167" formatCode="[$-F400]h:mm:ss\ AM/PM"/>
      <protection locked="0" hidden="0"/>
    </dxf>
    <dxf>
      <numFmt numFmtId="167" formatCode="[$-F400]h:mm:ss\ AM/PM"/>
      <protection locked="0" hidden="0"/>
    </dxf>
    <dxf>
      <protection locked="1" hidden="0"/>
    </dxf>
    <dxf>
      <font>
        <b val="0"/>
        <i val="0"/>
        <strike val="0"/>
        <condense val="0"/>
        <extend val="0"/>
        <outline val="0"/>
        <shadow val="0"/>
        <u val="none"/>
        <vertAlign val="baseline"/>
        <sz val="11"/>
        <color rgb="FFEACD4D"/>
        <name val="Trebuchet MS"/>
        <family val="2"/>
        <scheme val="minor"/>
      </font>
      <fill>
        <patternFill patternType="solid">
          <fgColor indexed="64"/>
          <bgColor rgb="FF003FA2"/>
        </patternFill>
      </fill>
      <alignment horizontal="general" vertical="top" textRotation="0" wrapText="0" indent="0" justifyLastLine="0" shrinkToFit="0" readingOrder="0"/>
      <protection locked="1" hidden="0"/>
    </dxf>
    <dxf>
      <numFmt numFmtId="2" formatCode="0.00"/>
      <protection locked="1" hidden="0"/>
    </dxf>
    <dxf>
      <numFmt numFmtId="2" formatCode="0.00"/>
      <protection locked="1" hidden="0"/>
    </dxf>
    <dxf>
      <numFmt numFmtId="2" formatCode="0.00"/>
      <protection locked="1" hidden="0"/>
    </dxf>
    <dxf>
      <numFmt numFmtId="25" formatCode="hh:mm"/>
      <protection locked="0" hidden="0"/>
    </dxf>
    <dxf>
      <numFmt numFmtId="167" formatCode="[$-F400]h:mm:ss\ AM/PM"/>
      <protection locked="0" hidden="0"/>
    </dxf>
    <dxf>
      <numFmt numFmtId="167" formatCode="[$-F400]h:mm:ss\ AM/PM"/>
      <protection locked="0" hidden="0"/>
    </dxf>
    <dxf>
      <protection locked="1" hidden="0"/>
    </dxf>
    <dxf>
      <font>
        <b val="0"/>
        <i val="0"/>
        <strike val="0"/>
        <condense val="0"/>
        <extend val="0"/>
        <outline val="0"/>
        <shadow val="0"/>
        <u val="none"/>
        <vertAlign val="baseline"/>
        <sz val="11"/>
        <color rgb="FFEACD4D"/>
        <name val="Trebuchet MS"/>
        <family val="2"/>
        <scheme val="minor"/>
      </font>
      <fill>
        <patternFill patternType="solid">
          <fgColor indexed="64"/>
          <bgColor rgb="FF003FA2"/>
        </patternFill>
      </fill>
      <alignment horizontal="general" vertical="top" textRotation="0" wrapText="0" indent="0" justifyLastLine="0" shrinkToFit="0" readingOrder="0"/>
      <protection locked="1" hidden="0"/>
    </dxf>
    <dxf>
      <numFmt numFmtId="2" formatCode="0.00"/>
      <protection locked="1" hidden="0"/>
    </dxf>
    <dxf>
      <numFmt numFmtId="2" formatCode="0.00"/>
      <protection locked="1" hidden="0"/>
    </dxf>
    <dxf>
      <numFmt numFmtId="2" formatCode="0.00"/>
      <protection locked="1" hidden="0"/>
    </dxf>
    <dxf>
      <numFmt numFmtId="25" formatCode="hh:mm"/>
      <protection locked="0" hidden="0"/>
    </dxf>
    <dxf>
      <numFmt numFmtId="167" formatCode="[$-F400]h:mm:ss\ AM/PM"/>
      <protection locked="0" hidden="0"/>
    </dxf>
    <dxf>
      <numFmt numFmtId="167" formatCode="[$-F400]h:mm:ss\ AM/PM"/>
      <protection locked="0" hidden="0"/>
    </dxf>
    <dxf>
      <protection locked="1" hidden="0"/>
    </dxf>
    <dxf>
      <font>
        <b val="0"/>
        <i val="0"/>
        <strike val="0"/>
        <condense val="0"/>
        <extend val="0"/>
        <outline val="0"/>
        <shadow val="0"/>
        <u val="none"/>
        <vertAlign val="baseline"/>
        <sz val="11"/>
        <color rgb="FFEACD4D"/>
        <name val="Trebuchet MS"/>
        <family val="2"/>
        <scheme val="minor"/>
      </font>
      <fill>
        <patternFill patternType="solid">
          <fgColor indexed="64"/>
          <bgColor rgb="FF003FA2"/>
        </patternFill>
      </fill>
      <alignment horizontal="general" vertical="top" textRotation="0" wrapText="0" indent="0" justifyLastLine="0" shrinkToFit="0" readingOrder="0"/>
      <protection locked="1" hidden="0"/>
    </dxf>
    <dxf>
      <numFmt numFmtId="2" formatCode="0.00"/>
      <protection locked="1" hidden="0"/>
    </dxf>
    <dxf>
      <numFmt numFmtId="2" formatCode="0.00"/>
      <protection locked="1" hidden="0"/>
    </dxf>
    <dxf>
      <numFmt numFmtId="2" formatCode="0.00"/>
      <protection locked="1" hidden="0"/>
    </dxf>
    <dxf>
      <numFmt numFmtId="25" formatCode="hh:mm"/>
      <protection locked="0" hidden="0"/>
    </dxf>
    <dxf>
      <numFmt numFmtId="167" formatCode="[$-F400]h:mm:ss\ AM/PM"/>
      <protection locked="0" hidden="0"/>
    </dxf>
    <dxf>
      <numFmt numFmtId="167" formatCode="[$-F400]h:mm:ss\ AM/PM"/>
      <protection locked="0" hidden="0"/>
    </dxf>
    <dxf>
      <protection locked="1" hidden="0"/>
    </dxf>
    <dxf>
      <font>
        <b val="0"/>
        <i val="0"/>
        <strike val="0"/>
        <condense val="0"/>
        <extend val="0"/>
        <outline val="0"/>
        <shadow val="0"/>
        <u val="none"/>
        <vertAlign val="baseline"/>
        <sz val="11"/>
        <color rgb="FFEACD4D"/>
        <name val="Trebuchet MS"/>
        <family val="2"/>
        <scheme val="minor"/>
      </font>
      <fill>
        <patternFill patternType="solid">
          <fgColor indexed="64"/>
          <bgColor rgb="FF003FA2"/>
        </patternFill>
      </fill>
      <alignment horizontal="general" vertical="top" textRotation="0" wrapText="0" indent="0" justifyLastLine="0" shrinkToFit="0" readingOrder="0"/>
      <protection locked="1" hidden="0"/>
    </dxf>
    <dxf>
      <numFmt numFmtId="2" formatCode="0.00"/>
      <protection locked="1" hidden="0"/>
    </dxf>
    <dxf>
      <numFmt numFmtId="2" formatCode="0.00"/>
      <protection locked="1" hidden="0"/>
    </dxf>
    <dxf>
      <numFmt numFmtId="2" formatCode="0.00"/>
      <protection locked="1" hidden="0"/>
    </dxf>
    <dxf>
      <numFmt numFmtId="25" formatCode="hh:mm"/>
      <protection locked="0" hidden="0"/>
    </dxf>
    <dxf>
      <numFmt numFmtId="167" formatCode="[$-F400]h:mm:ss\ AM/PM"/>
      <protection locked="0" hidden="0"/>
    </dxf>
    <dxf>
      <numFmt numFmtId="167" formatCode="[$-F400]h:mm:ss\ AM/PM"/>
      <protection locked="0" hidden="0"/>
    </dxf>
    <dxf>
      <protection locked="1" hidden="0"/>
    </dxf>
    <dxf>
      <font>
        <b val="0"/>
        <i val="0"/>
        <strike val="0"/>
        <condense val="0"/>
        <extend val="0"/>
        <outline val="0"/>
        <shadow val="0"/>
        <u val="none"/>
        <vertAlign val="baseline"/>
        <sz val="11"/>
        <color rgb="FFEACD4D"/>
        <name val="Trebuchet MS"/>
        <family val="2"/>
        <scheme val="minor"/>
      </font>
      <fill>
        <patternFill patternType="solid">
          <fgColor indexed="64"/>
          <bgColor rgb="FF003FA2"/>
        </patternFill>
      </fill>
      <alignment horizontal="general" vertical="top" textRotation="0" wrapText="0" indent="0" justifyLastLine="0" shrinkToFit="0" readingOrder="0"/>
      <protection locked="1" hidden="0"/>
    </dxf>
    <dxf>
      <numFmt numFmtId="2" formatCode="0.00"/>
      <protection locked="1" hidden="0"/>
    </dxf>
    <dxf>
      <numFmt numFmtId="2" formatCode="0.00"/>
      <protection locked="1" hidden="0"/>
    </dxf>
    <dxf>
      <numFmt numFmtId="2" formatCode="0.00"/>
      <protection locked="1" hidden="0"/>
    </dxf>
    <dxf>
      <numFmt numFmtId="25" formatCode="hh:mm"/>
      <protection locked="0" hidden="0"/>
    </dxf>
    <dxf>
      <numFmt numFmtId="167" formatCode="[$-F400]h:mm:ss\ AM/PM"/>
      <protection locked="0" hidden="0"/>
    </dxf>
    <dxf>
      <numFmt numFmtId="167" formatCode="[$-F400]h:mm:ss\ AM/PM"/>
      <protection locked="0" hidden="0"/>
    </dxf>
    <dxf>
      <protection locked="1" hidden="0"/>
    </dxf>
    <dxf>
      <font>
        <b val="0"/>
        <i val="0"/>
        <strike val="0"/>
        <condense val="0"/>
        <extend val="0"/>
        <outline val="0"/>
        <shadow val="0"/>
        <u val="none"/>
        <vertAlign val="baseline"/>
        <sz val="11"/>
        <color rgb="FFEACD4D"/>
        <name val="Trebuchet MS"/>
        <family val="2"/>
        <scheme val="minor"/>
      </font>
      <fill>
        <patternFill patternType="solid">
          <fgColor indexed="64"/>
          <bgColor rgb="FF003FA2"/>
        </patternFill>
      </fill>
      <alignment horizontal="general" vertical="top" textRotation="0" wrapText="0" indent="0" justifyLastLine="0" shrinkToFit="0" readingOrder="0"/>
      <protection locked="1" hidden="0"/>
    </dxf>
    <dxf>
      <numFmt numFmtId="2" formatCode="0.00"/>
      <protection locked="1" hidden="0"/>
    </dxf>
    <dxf>
      <numFmt numFmtId="2" formatCode="0.00"/>
      <protection locked="1" hidden="0"/>
    </dxf>
    <dxf>
      <numFmt numFmtId="2" formatCode="0.00"/>
      <protection locked="1" hidden="0"/>
    </dxf>
    <dxf>
      <numFmt numFmtId="25" formatCode="hh:mm"/>
      <protection locked="0" hidden="0"/>
    </dxf>
    <dxf>
      <numFmt numFmtId="167" formatCode="[$-F400]h:mm:ss\ AM/PM"/>
      <protection locked="0" hidden="0"/>
    </dxf>
    <dxf>
      <numFmt numFmtId="167" formatCode="[$-F400]h:mm:ss\ AM/PM"/>
      <protection locked="0" hidden="0"/>
    </dxf>
    <dxf>
      <protection locked="1" hidden="0"/>
    </dxf>
    <dxf>
      <font>
        <b val="0"/>
        <i val="0"/>
        <strike val="0"/>
        <condense val="0"/>
        <extend val="0"/>
        <outline val="0"/>
        <shadow val="0"/>
        <u val="none"/>
        <vertAlign val="baseline"/>
        <sz val="11"/>
        <color rgb="FFEACD4D"/>
        <name val="Trebuchet MS"/>
        <family val="2"/>
        <scheme val="minor"/>
      </font>
      <fill>
        <patternFill patternType="solid">
          <fgColor indexed="64"/>
          <bgColor rgb="FF003FA2"/>
        </patternFill>
      </fill>
      <alignment horizontal="general" vertical="top" textRotation="0" wrapText="0" indent="0" justifyLastLine="0" shrinkToFit="0" readingOrder="0"/>
      <protection locked="1" hidden="0"/>
    </dxf>
    <dxf>
      <numFmt numFmtId="2" formatCode="0.00"/>
      <protection locked="1" hidden="0"/>
    </dxf>
    <dxf>
      <numFmt numFmtId="2" formatCode="0.00"/>
      <protection locked="1" hidden="0"/>
    </dxf>
    <dxf>
      <numFmt numFmtId="2" formatCode="0.00"/>
      <protection locked="1" hidden="0"/>
    </dxf>
    <dxf>
      <numFmt numFmtId="25" formatCode="hh:mm"/>
      <protection locked="0" hidden="0"/>
    </dxf>
    <dxf>
      <numFmt numFmtId="167" formatCode="[$-F400]h:mm:ss\ AM/PM"/>
      <protection locked="0" hidden="0"/>
    </dxf>
    <dxf>
      <numFmt numFmtId="167" formatCode="[$-F400]h:mm:ss\ AM/PM"/>
      <protection locked="0" hidden="0"/>
    </dxf>
    <dxf>
      <protection locked="1" hidden="0"/>
    </dxf>
    <dxf>
      <font>
        <b val="0"/>
        <i val="0"/>
        <strike val="0"/>
        <condense val="0"/>
        <extend val="0"/>
        <outline val="0"/>
        <shadow val="0"/>
        <u val="none"/>
        <vertAlign val="baseline"/>
        <sz val="11"/>
        <color rgb="FFEACD4D"/>
        <name val="Trebuchet MS"/>
        <family val="2"/>
        <scheme val="minor"/>
      </font>
      <fill>
        <patternFill patternType="solid">
          <fgColor indexed="64"/>
          <bgColor rgb="FF003FA2"/>
        </patternFill>
      </fill>
      <alignment horizontal="general" vertical="top" textRotation="0" wrapText="0" indent="0" justifyLastLine="0" shrinkToFit="0" readingOrder="0"/>
      <protection locked="1" hidden="0"/>
    </dxf>
    <dxf>
      <numFmt numFmtId="2" formatCode="0.00"/>
      <protection locked="1" hidden="0"/>
    </dxf>
    <dxf>
      <numFmt numFmtId="2" formatCode="0.00"/>
      <protection locked="1" hidden="0"/>
    </dxf>
    <dxf>
      <numFmt numFmtId="2" formatCode="0.00"/>
      <protection locked="1" hidden="0"/>
    </dxf>
    <dxf>
      <numFmt numFmtId="25" formatCode="hh:mm"/>
      <protection locked="0" hidden="0"/>
    </dxf>
    <dxf>
      <numFmt numFmtId="167" formatCode="[$-F400]h:mm:ss\ AM/PM"/>
      <protection locked="0" hidden="0"/>
    </dxf>
    <dxf>
      <numFmt numFmtId="167" formatCode="[$-F400]h:mm:ss\ AM/PM"/>
      <protection locked="0" hidden="0"/>
    </dxf>
    <dxf>
      <protection locked="1" hidden="0"/>
    </dxf>
    <dxf>
      <font>
        <b val="0"/>
        <i val="0"/>
        <strike val="0"/>
        <condense val="0"/>
        <extend val="0"/>
        <outline val="0"/>
        <shadow val="0"/>
        <u val="none"/>
        <vertAlign val="baseline"/>
        <sz val="11"/>
        <color rgb="FFEACD4D"/>
        <name val="Trebuchet MS"/>
        <family val="2"/>
        <scheme val="minor"/>
      </font>
      <fill>
        <patternFill patternType="solid">
          <fgColor indexed="64"/>
          <bgColor rgb="FF003FA2"/>
        </patternFill>
      </fill>
      <alignment horizontal="general" vertical="top" textRotation="0" wrapText="0" indent="0" justifyLastLine="0" shrinkToFit="0" readingOrder="0"/>
      <protection locked="1" hidden="0"/>
    </dxf>
    <dxf>
      <numFmt numFmtId="2" formatCode="0.00"/>
      <protection locked="1" hidden="0"/>
    </dxf>
    <dxf>
      <numFmt numFmtId="2" formatCode="0.00"/>
      <protection locked="1" hidden="0"/>
    </dxf>
    <dxf>
      <numFmt numFmtId="2" formatCode="0.00"/>
      <protection locked="1" hidden="0"/>
    </dxf>
    <dxf>
      <numFmt numFmtId="25" formatCode="hh:mm"/>
      <protection locked="0" hidden="0"/>
    </dxf>
    <dxf>
      <numFmt numFmtId="167" formatCode="[$-F400]h:mm:ss\ AM/PM"/>
      <protection locked="0" hidden="0"/>
    </dxf>
    <dxf>
      <numFmt numFmtId="167" formatCode="[$-F400]h:mm:ss\ AM/PM"/>
      <protection locked="0" hidden="0"/>
    </dxf>
    <dxf>
      <protection locked="1" hidden="0"/>
    </dxf>
    <dxf>
      <font>
        <b val="0"/>
        <i val="0"/>
        <strike val="0"/>
        <condense val="0"/>
        <extend val="0"/>
        <outline val="0"/>
        <shadow val="0"/>
        <u val="none"/>
        <vertAlign val="baseline"/>
        <sz val="11"/>
        <color rgb="FFEACD4D"/>
        <name val="Trebuchet MS"/>
        <family val="2"/>
        <scheme val="minor"/>
      </font>
      <fill>
        <patternFill patternType="solid">
          <fgColor indexed="64"/>
          <bgColor rgb="FF003FA2"/>
        </patternFill>
      </fill>
      <alignment horizontal="general" vertical="top" textRotation="0" wrapText="0" indent="0" justifyLastLine="0" shrinkToFit="0" readingOrder="0"/>
      <protection locked="1" hidden="0"/>
    </dxf>
    <dxf>
      <numFmt numFmtId="2" formatCode="0.00"/>
      <protection locked="1" hidden="0"/>
    </dxf>
    <dxf>
      <numFmt numFmtId="2" formatCode="0.00"/>
      <protection locked="1" hidden="0"/>
    </dxf>
    <dxf>
      <numFmt numFmtId="2" formatCode="0.00"/>
      <protection locked="1" hidden="0"/>
    </dxf>
    <dxf>
      <protection locked="0" hidden="0"/>
    </dxf>
    <dxf>
      <numFmt numFmtId="167" formatCode="[$-F400]h:mm:ss\ AM/PM"/>
      <protection locked="0" hidden="0"/>
    </dxf>
    <dxf>
      <numFmt numFmtId="167" formatCode="[$-F400]h:mm:ss\ AM/PM"/>
      <protection locked="0" hidden="0"/>
    </dxf>
    <dxf>
      <protection locked="1" hidden="0"/>
    </dxf>
    <dxf>
      <font>
        <b val="0"/>
        <i val="0"/>
        <strike val="0"/>
        <condense val="0"/>
        <extend val="0"/>
        <outline val="0"/>
        <shadow val="0"/>
        <u val="none"/>
        <vertAlign val="baseline"/>
        <sz val="11"/>
        <color rgb="FFEACD4D"/>
        <name val="Trebuchet MS"/>
        <family val="2"/>
        <scheme val="minor"/>
      </font>
      <fill>
        <patternFill patternType="solid">
          <fgColor indexed="64"/>
          <bgColor rgb="FF003FA2"/>
        </patternFill>
      </fill>
      <alignment horizontal="general" vertical="top" textRotation="0" wrapText="0" indent="0" justifyLastLine="0" shrinkToFit="0" readingOrder="0"/>
      <protection locked="1" hidden="0"/>
    </dxf>
    <dxf>
      <numFmt numFmtId="2" formatCode="0.00"/>
      <protection locked="1" hidden="0"/>
    </dxf>
    <dxf>
      <numFmt numFmtId="2" formatCode="0.00"/>
      <protection locked="1" hidden="0"/>
    </dxf>
    <dxf>
      <numFmt numFmtId="2" formatCode="0.00"/>
      <protection locked="1" hidden="0"/>
    </dxf>
    <dxf>
      <numFmt numFmtId="25" formatCode="hh:mm"/>
      <protection locked="0" hidden="0"/>
    </dxf>
    <dxf>
      <numFmt numFmtId="167" formatCode="[$-F400]h:mm:ss\ AM/PM"/>
      <protection locked="0" hidden="0"/>
    </dxf>
    <dxf>
      <numFmt numFmtId="167" formatCode="[$-F400]h:mm:ss\ AM/PM"/>
      <protection locked="0" hidden="0"/>
    </dxf>
    <dxf>
      <protection locked="1" hidden="0"/>
    </dxf>
    <dxf>
      <font>
        <b val="0"/>
        <i val="0"/>
        <strike val="0"/>
        <condense val="0"/>
        <extend val="0"/>
        <outline val="0"/>
        <shadow val="0"/>
        <u val="none"/>
        <vertAlign val="baseline"/>
        <sz val="11"/>
        <color rgb="FFEACD4D"/>
        <name val="Trebuchet MS"/>
        <family val="2"/>
        <scheme val="minor"/>
      </font>
      <fill>
        <patternFill patternType="solid">
          <fgColor indexed="64"/>
          <bgColor rgb="FF003FA2"/>
        </patternFill>
      </fill>
      <alignment horizontal="general" vertical="top" textRotation="0" wrapText="0" indent="0" justifyLastLine="0" shrinkToFit="0" readingOrder="0"/>
      <protection locked="1" hidden="0"/>
    </dxf>
    <dxf>
      <numFmt numFmtId="2" formatCode="0.00"/>
      <protection locked="1" hidden="0"/>
    </dxf>
    <dxf>
      <numFmt numFmtId="2" formatCode="0.00"/>
      <protection locked="1" hidden="0"/>
    </dxf>
    <dxf>
      <numFmt numFmtId="2" formatCode="0.00"/>
      <protection locked="1" hidden="0"/>
    </dxf>
    <dxf>
      <numFmt numFmtId="25" formatCode="hh:mm"/>
      <protection locked="0" hidden="0"/>
    </dxf>
    <dxf>
      <numFmt numFmtId="167" formatCode="[$-F400]h:mm:ss\ AM/PM"/>
      <protection locked="0" hidden="0"/>
    </dxf>
    <dxf>
      <numFmt numFmtId="167" formatCode="[$-F400]h:mm:ss\ AM/PM"/>
      <protection locked="0" hidden="0"/>
    </dxf>
    <dxf>
      <protection locked="1" hidden="0"/>
    </dxf>
    <dxf>
      <font>
        <b val="0"/>
        <i val="0"/>
        <strike val="0"/>
        <condense val="0"/>
        <extend val="0"/>
        <outline val="0"/>
        <shadow val="0"/>
        <u val="none"/>
        <vertAlign val="baseline"/>
        <sz val="11"/>
        <color rgb="FFEACD4D"/>
        <name val="Trebuchet MS"/>
        <family val="2"/>
        <scheme val="minor"/>
      </font>
      <fill>
        <patternFill patternType="solid">
          <fgColor indexed="64"/>
          <bgColor rgb="FF003FA2"/>
        </patternFill>
      </fill>
      <alignment horizontal="general" vertical="top" textRotation="0" wrapText="0" indent="0" justifyLastLine="0" shrinkToFit="0" readingOrder="0"/>
      <protection locked="1" hidden="0"/>
    </dxf>
    <dxf>
      <numFmt numFmtId="2" formatCode="0.00"/>
      <protection locked="1" hidden="0"/>
    </dxf>
    <dxf>
      <numFmt numFmtId="2" formatCode="0.00"/>
      <protection locked="1" hidden="0"/>
    </dxf>
    <dxf>
      <numFmt numFmtId="2" formatCode="0.00"/>
      <protection locked="1" hidden="0"/>
    </dxf>
    <dxf>
      <numFmt numFmtId="25" formatCode="hh:mm"/>
      <protection locked="0" hidden="0"/>
    </dxf>
    <dxf>
      <numFmt numFmtId="167" formatCode="[$-F400]h:mm:ss\ AM/PM"/>
      <protection locked="0" hidden="0"/>
    </dxf>
    <dxf>
      <numFmt numFmtId="167" formatCode="[$-F400]h:mm:ss\ AM/PM"/>
      <protection locked="0" hidden="0"/>
    </dxf>
    <dxf>
      <protection locked="1" hidden="0"/>
    </dxf>
    <dxf>
      <font>
        <b val="0"/>
        <i val="0"/>
        <strike val="0"/>
        <condense val="0"/>
        <extend val="0"/>
        <outline val="0"/>
        <shadow val="0"/>
        <u val="none"/>
        <vertAlign val="baseline"/>
        <sz val="11"/>
        <color rgb="FFEACD4D"/>
        <name val="Trebuchet MS"/>
        <family val="2"/>
        <scheme val="minor"/>
      </font>
      <fill>
        <patternFill patternType="solid">
          <fgColor indexed="64"/>
          <bgColor rgb="FF003FA2"/>
        </patternFill>
      </fill>
      <alignment horizontal="general" vertical="top" textRotation="0" wrapText="0" indent="0" justifyLastLine="0" shrinkToFit="0" readingOrder="0"/>
      <protection locked="1" hidden="0"/>
    </dxf>
    <dxf>
      <numFmt numFmtId="2" formatCode="0.00"/>
      <protection locked="1" hidden="0"/>
    </dxf>
    <dxf>
      <numFmt numFmtId="2" formatCode="0.00"/>
      <protection locked="1" hidden="0"/>
    </dxf>
    <dxf>
      <numFmt numFmtId="2" formatCode="0.00"/>
      <protection locked="1" hidden="0"/>
    </dxf>
    <dxf>
      <numFmt numFmtId="25" formatCode="hh:mm"/>
      <protection locked="0" hidden="0"/>
    </dxf>
    <dxf>
      <numFmt numFmtId="167" formatCode="[$-F400]h:mm:ss\ AM/PM"/>
      <protection locked="0" hidden="0"/>
    </dxf>
    <dxf>
      <numFmt numFmtId="167" formatCode="[$-F400]h:mm:ss\ AM/PM"/>
      <protection locked="0" hidden="0"/>
    </dxf>
    <dxf>
      <protection locked="1" hidden="0"/>
    </dxf>
    <dxf>
      <font>
        <b val="0"/>
        <i val="0"/>
        <strike val="0"/>
        <condense val="0"/>
        <extend val="0"/>
        <outline val="0"/>
        <shadow val="0"/>
        <u val="none"/>
        <vertAlign val="baseline"/>
        <sz val="11"/>
        <color rgb="FFEACD4D"/>
        <name val="Trebuchet MS"/>
        <family val="2"/>
        <scheme val="minor"/>
      </font>
      <fill>
        <patternFill patternType="solid">
          <fgColor indexed="64"/>
          <bgColor rgb="FF003FA2"/>
        </patternFill>
      </fill>
      <alignment horizontal="general" vertical="top" textRotation="0" indent="0" justifyLastLine="0" shrinkToFit="0" readingOrder="0"/>
      <protection locked="1" hidden="0"/>
    </dxf>
    <dxf>
      <numFmt numFmtId="2" formatCode="0.00"/>
      <protection locked="1" hidden="0"/>
    </dxf>
    <dxf>
      <numFmt numFmtId="2" formatCode="0.00"/>
      <protection locked="1" hidden="0"/>
    </dxf>
    <dxf>
      <numFmt numFmtId="2" formatCode="0.00"/>
      <protection locked="1" hidden="0"/>
    </dxf>
    <dxf>
      <numFmt numFmtId="25" formatCode="hh:mm"/>
      <protection locked="0" hidden="0"/>
    </dxf>
    <dxf>
      <numFmt numFmtId="167" formatCode="[$-F400]h:mm:ss\ AM/PM"/>
      <protection locked="0" hidden="0"/>
    </dxf>
    <dxf>
      <numFmt numFmtId="167" formatCode="[$-F400]h:mm:ss\ AM/PM"/>
      <protection locked="0" hidden="0"/>
    </dxf>
    <dxf>
      <protection locked="1" hidden="0"/>
    </dxf>
    <dxf>
      <font>
        <b val="0"/>
        <i val="0"/>
        <strike val="0"/>
        <condense val="0"/>
        <extend val="0"/>
        <outline val="0"/>
        <shadow val="0"/>
        <u val="none"/>
        <vertAlign val="baseline"/>
        <sz val="11"/>
        <color rgb="FFEACD4D"/>
        <name val="Trebuchet MS"/>
        <family val="2"/>
        <scheme val="minor"/>
      </font>
      <fill>
        <patternFill patternType="solid">
          <fgColor indexed="64"/>
          <bgColor rgb="FF003FA2"/>
        </patternFill>
      </fill>
      <alignment horizontal="general" vertical="top" textRotation="0" indent="0" justifyLastLine="0" shrinkToFit="0" readingOrder="0"/>
      <protection locked="1" hidden="0"/>
    </dxf>
    <dxf>
      <numFmt numFmtId="2" formatCode="0.00"/>
      <protection locked="1" hidden="0"/>
    </dxf>
    <dxf>
      <numFmt numFmtId="2" formatCode="0.00"/>
      <protection locked="1" hidden="0"/>
    </dxf>
    <dxf>
      <numFmt numFmtId="2" formatCode="0.00"/>
      <protection locked="1" hidden="0"/>
    </dxf>
    <dxf>
      <numFmt numFmtId="25" formatCode="hh:mm"/>
      <protection locked="0" hidden="0"/>
    </dxf>
    <dxf>
      <numFmt numFmtId="167" formatCode="[$-F400]h:mm:ss\ AM/PM"/>
      <protection locked="0" hidden="0"/>
    </dxf>
    <dxf>
      <numFmt numFmtId="167" formatCode="[$-F400]h:mm:ss\ AM/PM"/>
      <protection locked="0" hidden="0"/>
    </dxf>
    <dxf>
      <protection locked="1" hidden="0"/>
    </dxf>
    <dxf>
      <font>
        <b val="0"/>
        <i val="0"/>
        <strike val="0"/>
        <condense val="0"/>
        <extend val="0"/>
        <outline val="0"/>
        <shadow val="0"/>
        <u val="none"/>
        <vertAlign val="baseline"/>
        <sz val="11"/>
        <color rgb="FFEACD4D"/>
        <name val="Trebuchet MS"/>
        <family val="2"/>
        <scheme val="minor"/>
      </font>
      <fill>
        <patternFill patternType="solid">
          <fgColor indexed="64"/>
          <bgColor rgb="FF003FA2"/>
        </patternFill>
      </fill>
      <alignment horizontal="general" vertical="top" textRotation="0" indent="0" justifyLastLine="0" shrinkToFit="0" readingOrder="0"/>
      <protection locked="1" hidden="0"/>
    </dxf>
    <dxf>
      <numFmt numFmtId="2" formatCode="0.00"/>
      <protection locked="1" hidden="0"/>
    </dxf>
    <dxf>
      <numFmt numFmtId="2" formatCode="0.00"/>
      <protection locked="1" hidden="0"/>
    </dxf>
    <dxf>
      <numFmt numFmtId="2" formatCode="0.00"/>
      <protection locked="1" hidden="0"/>
    </dxf>
    <dxf>
      <numFmt numFmtId="25" formatCode="hh:mm"/>
      <protection locked="0" hidden="0"/>
    </dxf>
    <dxf>
      <numFmt numFmtId="167" formatCode="[$-F400]h:mm:ss\ AM/PM"/>
      <protection locked="0" hidden="0"/>
    </dxf>
    <dxf>
      <numFmt numFmtId="167" formatCode="[$-F400]h:mm:ss\ AM/PM"/>
      <protection locked="0" hidden="0"/>
    </dxf>
    <dxf>
      <protection locked="1" hidden="0"/>
    </dxf>
    <dxf>
      <font>
        <b val="0"/>
        <i val="0"/>
        <strike val="0"/>
        <condense val="0"/>
        <extend val="0"/>
        <outline val="0"/>
        <shadow val="0"/>
        <u val="none"/>
        <vertAlign val="baseline"/>
        <sz val="11"/>
        <color rgb="FFEACD4D"/>
        <name val="Trebuchet MS"/>
        <family val="2"/>
        <scheme val="minor"/>
      </font>
      <fill>
        <patternFill patternType="solid">
          <fgColor indexed="64"/>
          <bgColor rgb="FF003FA2"/>
        </patternFill>
      </fill>
      <alignment horizontal="general" vertical="top" textRotation="0" wrapText="0" indent="0" justifyLastLine="0" shrinkToFit="0" readingOrder="0"/>
      <protection locked="1" hidden="0"/>
    </dxf>
    <dxf>
      <numFmt numFmtId="2" formatCode="0.00"/>
      <protection locked="1" hidden="0"/>
    </dxf>
    <dxf>
      <numFmt numFmtId="2" formatCode="0.00"/>
      <protection locked="1" hidden="0"/>
    </dxf>
    <dxf>
      <numFmt numFmtId="2" formatCode="0.00"/>
      <protection locked="1" hidden="0"/>
    </dxf>
    <dxf>
      <numFmt numFmtId="25" formatCode="hh:mm"/>
      <protection locked="0" hidden="0"/>
    </dxf>
    <dxf>
      <numFmt numFmtId="167" formatCode="[$-F400]h:mm:ss\ AM/PM"/>
      <protection locked="0" hidden="0"/>
    </dxf>
    <dxf>
      <numFmt numFmtId="167" formatCode="[$-F400]h:mm:ss\ AM/PM"/>
      <protection locked="0" hidden="0"/>
    </dxf>
    <dxf>
      <protection locked="1" hidden="0"/>
    </dxf>
    <dxf>
      <font>
        <b val="0"/>
        <i val="0"/>
        <strike val="0"/>
        <condense val="0"/>
        <extend val="0"/>
        <outline val="0"/>
        <shadow val="0"/>
        <u val="none"/>
        <vertAlign val="baseline"/>
        <sz val="11"/>
        <color rgb="FFEACD4D"/>
        <name val="Trebuchet MS"/>
        <family val="2"/>
        <scheme val="minor"/>
      </font>
      <fill>
        <patternFill patternType="solid">
          <fgColor indexed="64"/>
          <bgColor rgb="FF003FA2"/>
        </patternFill>
      </fill>
      <alignment horizontal="general" vertical="top" textRotation="0" wrapText="0" indent="0" justifyLastLine="0" shrinkToFit="0" readingOrder="0"/>
      <protection locked="1" hidden="0"/>
    </dxf>
    <dxf>
      <numFmt numFmtId="2" formatCode="0.00"/>
      <protection locked="1" hidden="0"/>
    </dxf>
    <dxf>
      <numFmt numFmtId="2" formatCode="0.00"/>
      <protection locked="1" hidden="0"/>
    </dxf>
    <dxf>
      <numFmt numFmtId="2" formatCode="0.00"/>
      <protection locked="1" hidden="0"/>
    </dxf>
    <dxf>
      <numFmt numFmtId="25" formatCode="hh:mm"/>
      <protection locked="0" hidden="0"/>
    </dxf>
    <dxf>
      <numFmt numFmtId="167" formatCode="[$-F400]h:mm:ss\ AM/PM"/>
      <protection locked="0" hidden="0"/>
    </dxf>
    <dxf>
      <numFmt numFmtId="167" formatCode="[$-F400]h:mm:ss\ AM/PM"/>
      <protection locked="0" hidden="0"/>
    </dxf>
    <dxf>
      <protection locked="1" hidden="0"/>
    </dxf>
    <dxf>
      <font>
        <b val="0"/>
        <i val="0"/>
        <strike val="0"/>
        <condense val="0"/>
        <extend val="0"/>
        <outline val="0"/>
        <shadow val="0"/>
        <u val="none"/>
        <vertAlign val="baseline"/>
        <sz val="11"/>
        <color rgb="FFEACD4D"/>
        <name val="Trebuchet MS"/>
        <family val="2"/>
        <scheme val="minor"/>
      </font>
      <fill>
        <patternFill patternType="solid">
          <fgColor indexed="64"/>
          <bgColor rgb="FF003FA2"/>
        </patternFill>
      </fill>
      <alignment horizontal="general" vertical="top" textRotation="0" wrapText="0" indent="0" justifyLastLine="0" shrinkToFit="0" readingOrder="0"/>
      <protection locked="1" hidden="0"/>
    </dxf>
    <dxf>
      <numFmt numFmtId="2" formatCode="0.00"/>
      <protection locked="1" hidden="0"/>
    </dxf>
    <dxf>
      <numFmt numFmtId="2" formatCode="0.00"/>
      <protection locked="1" hidden="0"/>
    </dxf>
    <dxf>
      <numFmt numFmtId="2" formatCode="0.00"/>
      <protection locked="1" hidden="0"/>
    </dxf>
    <dxf>
      <numFmt numFmtId="25" formatCode="hh:mm"/>
      <protection locked="0" hidden="0"/>
    </dxf>
    <dxf>
      <numFmt numFmtId="167" formatCode="[$-F400]h:mm:ss\ AM/PM"/>
      <protection locked="0" hidden="0"/>
    </dxf>
    <dxf>
      <numFmt numFmtId="167" formatCode="[$-F400]h:mm:ss\ AM/PM"/>
      <protection locked="0" hidden="0"/>
    </dxf>
    <dxf>
      <protection locked="1" hidden="0"/>
    </dxf>
    <dxf>
      <font>
        <b val="0"/>
        <i val="0"/>
        <strike val="0"/>
        <condense val="0"/>
        <extend val="0"/>
        <outline val="0"/>
        <shadow val="0"/>
        <u val="none"/>
        <vertAlign val="baseline"/>
        <sz val="11"/>
        <color rgb="FFEACD4D"/>
        <name val="Trebuchet MS"/>
        <family val="2"/>
        <scheme val="minor"/>
      </font>
      <fill>
        <patternFill patternType="solid">
          <fgColor indexed="64"/>
          <bgColor rgb="FF003FA2"/>
        </patternFill>
      </fill>
      <alignment horizontal="general" vertical="top" textRotation="0" wrapText="0" indent="0" justifyLastLine="0" shrinkToFit="0" readingOrder="0"/>
      <protection locked="1" hidden="0"/>
    </dxf>
    <dxf>
      <numFmt numFmtId="2" formatCode="0.00"/>
      <protection locked="1" hidden="0"/>
    </dxf>
    <dxf>
      <numFmt numFmtId="2" formatCode="0.00"/>
      <protection locked="1" hidden="0"/>
    </dxf>
    <dxf>
      <numFmt numFmtId="2" formatCode="0.00"/>
      <protection locked="1" hidden="0"/>
    </dxf>
    <dxf>
      <numFmt numFmtId="25" formatCode="hh:mm"/>
      <protection locked="0" hidden="0"/>
    </dxf>
    <dxf>
      <numFmt numFmtId="167" formatCode="[$-F400]h:mm:ss\ AM/PM"/>
      <protection locked="0" hidden="0"/>
    </dxf>
    <dxf>
      <numFmt numFmtId="167" formatCode="[$-F400]h:mm:ss\ AM/PM"/>
      <protection locked="0" hidden="0"/>
    </dxf>
    <dxf>
      <protection locked="1" hidden="0"/>
    </dxf>
    <dxf>
      <font>
        <b val="0"/>
        <i val="0"/>
        <strike val="0"/>
        <condense val="0"/>
        <extend val="0"/>
        <outline val="0"/>
        <shadow val="0"/>
        <u val="none"/>
        <vertAlign val="baseline"/>
        <sz val="11"/>
        <color rgb="FFEACD4D"/>
        <name val="Trebuchet MS"/>
        <family val="2"/>
        <scheme val="minor"/>
      </font>
      <fill>
        <patternFill patternType="solid">
          <fgColor indexed="64"/>
          <bgColor rgb="FF003FA2"/>
        </patternFill>
      </fill>
      <alignment horizontal="general" vertical="top" textRotation="0" wrapText="0" indent="0" justifyLastLine="0" shrinkToFit="0" readingOrder="0"/>
      <protection locked="1" hidden="0"/>
    </dxf>
    <dxf>
      <numFmt numFmtId="2" formatCode="0.00"/>
      <protection locked="1" hidden="0"/>
    </dxf>
    <dxf>
      <numFmt numFmtId="2" formatCode="0.00"/>
      <protection locked="1" hidden="0"/>
    </dxf>
    <dxf>
      <numFmt numFmtId="2" formatCode="0.00"/>
      <protection locked="1" hidden="0"/>
    </dxf>
    <dxf>
      <numFmt numFmtId="25" formatCode="hh:mm"/>
      <protection locked="0" hidden="0"/>
    </dxf>
    <dxf>
      <numFmt numFmtId="167" formatCode="[$-F400]h:mm:ss\ AM/PM"/>
      <protection locked="0" hidden="0"/>
    </dxf>
    <dxf>
      <numFmt numFmtId="167" formatCode="[$-F400]h:mm:ss\ AM/PM"/>
      <protection locked="0" hidden="0"/>
    </dxf>
    <dxf>
      <protection locked="1" hidden="0"/>
    </dxf>
    <dxf>
      <font>
        <b val="0"/>
        <i val="0"/>
        <strike val="0"/>
        <condense val="0"/>
        <extend val="0"/>
        <outline val="0"/>
        <shadow val="0"/>
        <u val="none"/>
        <vertAlign val="baseline"/>
        <sz val="11"/>
        <color rgb="FFEACD4D"/>
        <name val="Trebuchet MS"/>
        <family val="2"/>
        <scheme val="minor"/>
      </font>
      <fill>
        <patternFill patternType="solid">
          <fgColor indexed="64"/>
          <bgColor rgb="FF003FA2"/>
        </patternFill>
      </fill>
      <alignment horizontal="general" vertical="top" textRotation="0" wrapText="0" indent="0" justifyLastLine="0" shrinkToFit="0" readingOrder="0"/>
      <protection locked="1" hidden="0"/>
    </dxf>
    <dxf>
      <numFmt numFmtId="2" formatCode="0.00"/>
      <protection locked="1" hidden="0"/>
    </dxf>
    <dxf>
      <numFmt numFmtId="2" formatCode="0.00"/>
      <protection locked="1" hidden="0"/>
    </dxf>
    <dxf>
      <numFmt numFmtId="2" formatCode="0.00"/>
      <protection locked="1" hidden="0"/>
    </dxf>
    <dxf>
      <numFmt numFmtId="25" formatCode="hh:mm"/>
      <protection locked="0" hidden="0"/>
    </dxf>
    <dxf>
      <numFmt numFmtId="167" formatCode="[$-F400]h:mm:ss\ AM/PM"/>
      <protection locked="0" hidden="0"/>
    </dxf>
    <dxf>
      <numFmt numFmtId="167" formatCode="[$-F400]h:mm:ss\ AM/PM"/>
      <protection locked="0" hidden="0"/>
    </dxf>
    <dxf>
      <protection locked="1" hidden="0"/>
    </dxf>
    <dxf>
      <font>
        <b val="0"/>
        <i val="0"/>
        <strike val="0"/>
        <condense val="0"/>
        <extend val="0"/>
        <outline val="0"/>
        <shadow val="0"/>
        <u val="none"/>
        <vertAlign val="baseline"/>
        <sz val="11"/>
        <color rgb="FFEACD4D"/>
        <name val="Trebuchet MS"/>
        <family val="2"/>
        <scheme val="minor"/>
      </font>
      <fill>
        <patternFill patternType="solid">
          <fgColor indexed="64"/>
          <bgColor rgb="FF003FA2"/>
        </patternFill>
      </fill>
      <alignment horizontal="general" vertical="top" textRotation="0" indent="0" justifyLastLine="0" shrinkToFit="0" readingOrder="0"/>
      <protection locked="1" hidden="0"/>
    </dxf>
    <dxf>
      <numFmt numFmtId="2" formatCode="0.00"/>
      <protection locked="1" hidden="0"/>
    </dxf>
    <dxf>
      <numFmt numFmtId="2" formatCode="0.00"/>
      <protection locked="1" hidden="0"/>
    </dxf>
    <dxf>
      <numFmt numFmtId="2" formatCode="0.00"/>
      <protection locked="1" hidden="0"/>
    </dxf>
    <dxf>
      <numFmt numFmtId="25" formatCode="hh:mm"/>
      <protection locked="0" hidden="0"/>
    </dxf>
    <dxf>
      <numFmt numFmtId="167" formatCode="[$-F400]h:mm:ss\ AM/PM"/>
      <protection locked="0" hidden="0"/>
    </dxf>
    <dxf>
      <numFmt numFmtId="167" formatCode="[$-F400]h:mm:ss\ AM/PM"/>
      <protection locked="0" hidden="0"/>
    </dxf>
    <dxf>
      <protection locked="1" hidden="0"/>
    </dxf>
    <dxf>
      <font>
        <b val="0"/>
        <i val="0"/>
        <strike val="0"/>
        <condense val="0"/>
        <extend val="0"/>
        <outline val="0"/>
        <shadow val="0"/>
        <u val="none"/>
        <vertAlign val="baseline"/>
        <sz val="11"/>
        <color rgb="FFEACD4D"/>
        <name val="Trebuchet MS"/>
        <family val="2"/>
        <scheme val="minor"/>
      </font>
      <fill>
        <patternFill patternType="solid">
          <fgColor indexed="64"/>
          <bgColor rgb="FF003FA2"/>
        </patternFill>
      </fill>
      <alignment horizontal="general" vertical="top" textRotation="0" indent="0" justifyLastLine="0" shrinkToFit="0" readingOrder="0"/>
      <protection locked="1" hidden="0"/>
    </dxf>
    <dxf>
      <numFmt numFmtId="2" formatCode="0.00"/>
      <protection locked="1" hidden="0"/>
    </dxf>
    <dxf>
      <numFmt numFmtId="2" formatCode="0.00"/>
      <protection locked="1" hidden="0"/>
    </dxf>
    <dxf>
      <numFmt numFmtId="2" formatCode="0.00"/>
      <protection locked="1" hidden="0"/>
    </dxf>
    <dxf>
      <numFmt numFmtId="25" formatCode="hh:mm"/>
      <protection locked="0" hidden="0"/>
    </dxf>
    <dxf>
      <numFmt numFmtId="167" formatCode="[$-F400]h:mm:ss\ AM/PM"/>
      <protection locked="0" hidden="0"/>
    </dxf>
    <dxf>
      <numFmt numFmtId="167" formatCode="[$-F400]h:mm:ss\ AM/PM"/>
      <protection locked="0" hidden="0"/>
    </dxf>
    <dxf>
      <protection locked="1" hidden="0"/>
    </dxf>
    <dxf>
      <font>
        <b val="0"/>
        <i val="0"/>
        <strike val="0"/>
        <condense val="0"/>
        <extend val="0"/>
        <outline val="0"/>
        <shadow val="0"/>
        <u val="none"/>
        <vertAlign val="baseline"/>
        <sz val="11"/>
        <color rgb="FFEACD4D"/>
        <name val="Trebuchet MS"/>
        <family val="2"/>
        <scheme val="minor"/>
      </font>
      <fill>
        <patternFill patternType="solid">
          <fgColor indexed="64"/>
          <bgColor rgb="FF003FA2"/>
        </patternFill>
      </fill>
      <alignment horizontal="general" vertical="top" textRotation="0" indent="0" justifyLastLine="0" shrinkToFit="0" readingOrder="0"/>
      <protection locked="1" hidden="0"/>
    </dxf>
    <dxf>
      <numFmt numFmtId="2" formatCode="0.00"/>
      <protection locked="1" hidden="0"/>
    </dxf>
    <dxf>
      <numFmt numFmtId="2" formatCode="0.00"/>
      <protection locked="1" hidden="0"/>
    </dxf>
    <dxf>
      <numFmt numFmtId="2" formatCode="0.00"/>
      <protection locked="1" hidden="0"/>
    </dxf>
    <dxf>
      <numFmt numFmtId="25" formatCode="hh:mm"/>
      <protection locked="0" hidden="0"/>
    </dxf>
    <dxf>
      <numFmt numFmtId="167" formatCode="[$-F400]h:mm:ss\ AM/PM"/>
      <protection locked="0" hidden="0"/>
    </dxf>
    <dxf>
      <numFmt numFmtId="167" formatCode="[$-F400]h:mm:ss\ AM/PM"/>
      <protection locked="0" hidden="0"/>
    </dxf>
    <dxf>
      <protection locked="1" hidden="0"/>
    </dxf>
    <dxf>
      <font>
        <b val="0"/>
        <i val="0"/>
        <strike val="0"/>
        <condense val="0"/>
        <extend val="0"/>
        <outline val="0"/>
        <shadow val="0"/>
        <u val="none"/>
        <vertAlign val="baseline"/>
        <sz val="11"/>
        <color rgb="FFEACD4D"/>
        <name val="Trebuchet MS"/>
        <family val="2"/>
        <scheme val="minor"/>
      </font>
      <fill>
        <patternFill patternType="solid">
          <fgColor indexed="64"/>
          <bgColor rgb="FF003FA2"/>
        </patternFill>
      </fill>
      <alignment horizontal="general" vertical="top" textRotation="0" indent="0" justifyLastLine="0" shrinkToFit="0" readingOrder="0"/>
      <protection locked="1" hidden="0"/>
    </dxf>
    <dxf>
      <numFmt numFmtId="2" formatCode="0.00"/>
      <protection locked="1" hidden="0"/>
    </dxf>
    <dxf>
      <numFmt numFmtId="2" formatCode="0.00"/>
      <protection locked="1" hidden="0"/>
    </dxf>
    <dxf>
      <numFmt numFmtId="2" formatCode="0.00"/>
      <protection locked="1" hidden="0"/>
    </dxf>
    <dxf>
      <numFmt numFmtId="25" formatCode="hh:mm"/>
      <protection locked="0" hidden="0"/>
    </dxf>
    <dxf>
      <numFmt numFmtId="167" formatCode="[$-F400]h:mm:ss\ AM/PM"/>
      <protection locked="0" hidden="0"/>
    </dxf>
    <dxf>
      <numFmt numFmtId="167" formatCode="[$-F400]h:mm:ss\ AM/PM"/>
      <protection locked="0" hidden="0"/>
    </dxf>
    <dxf>
      <protection locked="1" hidden="0"/>
    </dxf>
    <dxf>
      <font>
        <b val="0"/>
        <i val="0"/>
        <strike val="0"/>
        <condense val="0"/>
        <extend val="0"/>
        <outline val="0"/>
        <shadow val="0"/>
        <u val="none"/>
        <vertAlign val="baseline"/>
        <sz val="11"/>
        <color rgb="FFEACD4D"/>
        <name val="Trebuchet MS"/>
        <family val="2"/>
        <scheme val="minor"/>
      </font>
      <fill>
        <patternFill patternType="solid">
          <fgColor indexed="64"/>
          <bgColor rgb="FF003FA2"/>
        </patternFill>
      </fill>
      <alignment horizontal="general" vertical="top" textRotation="0" indent="0" justifyLastLine="0" shrinkToFit="0" readingOrder="0"/>
      <protection locked="1" hidden="0"/>
    </dxf>
    <dxf>
      <numFmt numFmtId="2" formatCode="0.00"/>
      <protection locked="1" hidden="0"/>
    </dxf>
    <dxf>
      <numFmt numFmtId="2" formatCode="0.00"/>
      <protection locked="1" hidden="0"/>
    </dxf>
    <dxf>
      <numFmt numFmtId="2" formatCode="0.00"/>
      <protection locked="1" hidden="0"/>
    </dxf>
    <dxf>
      <numFmt numFmtId="25" formatCode="hh:mm"/>
      <protection locked="0" hidden="0"/>
    </dxf>
    <dxf>
      <numFmt numFmtId="167" formatCode="[$-F400]h:mm:ss\ AM/PM"/>
      <protection locked="0" hidden="0"/>
    </dxf>
    <dxf>
      <numFmt numFmtId="167" formatCode="[$-F400]h:mm:ss\ AM/PM"/>
      <protection locked="0" hidden="0"/>
    </dxf>
    <dxf>
      <protection locked="1" hidden="0"/>
    </dxf>
    <dxf>
      <font>
        <b val="0"/>
        <i val="0"/>
        <strike val="0"/>
        <condense val="0"/>
        <extend val="0"/>
        <outline val="0"/>
        <shadow val="0"/>
        <u val="none"/>
        <vertAlign val="baseline"/>
        <sz val="11"/>
        <color rgb="FFEACD4D"/>
        <name val="Trebuchet MS"/>
        <family val="2"/>
        <scheme val="minor"/>
      </font>
      <fill>
        <patternFill patternType="solid">
          <fgColor indexed="64"/>
          <bgColor rgb="FF003FA2"/>
        </patternFill>
      </fill>
      <alignment horizontal="general" vertical="top" textRotation="0" indent="0" justifyLastLine="0" shrinkToFit="0" readingOrder="0"/>
      <protection locked="1" hidden="0"/>
    </dxf>
    <dxf>
      <numFmt numFmtId="2" formatCode="0.00"/>
      <protection locked="1" hidden="0"/>
    </dxf>
    <dxf>
      <numFmt numFmtId="2" formatCode="0.00"/>
      <protection locked="1" hidden="0"/>
    </dxf>
    <dxf>
      <numFmt numFmtId="2" formatCode="0.00"/>
      <protection locked="1" hidden="0"/>
    </dxf>
    <dxf>
      <protection locked="0" hidden="0"/>
    </dxf>
    <dxf>
      <numFmt numFmtId="167" formatCode="[$-F400]h:mm:ss\ AM/PM"/>
      <protection locked="0" hidden="0"/>
    </dxf>
    <dxf>
      <numFmt numFmtId="167" formatCode="[$-F400]h:mm:ss\ AM/PM"/>
      <protection locked="0" hidden="0"/>
    </dxf>
    <dxf>
      <protection locked="1" hidden="0"/>
    </dxf>
    <dxf>
      <font>
        <strike val="0"/>
        <outline val="0"/>
        <shadow val="0"/>
        <u val="none"/>
        <vertAlign val="baseline"/>
        <sz val="11"/>
        <color rgb="FFEACD4D"/>
        <name val="Trebuchet MS"/>
        <family val="2"/>
        <scheme val="minor"/>
      </font>
      <fill>
        <patternFill patternType="solid">
          <fgColor indexed="64"/>
          <bgColor rgb="FF003FA2"/>
        </patternFill>
      </fill>
      <alignment horizontal="general" vertical="top" textRotation="0" indent="0" justifyLastLine="0" shrinkToFit="0" readingOrder="0"/>
      <protection locked="1" hidden="0"/>
    </dxf>
    <dxf>
      <numFmt numFmtId="2" formatCode="0.00"/>
    </dxf>
    <dxf>
      <numFmt numFmtId="0" formatCode="General"/>
    </dxf>
    <dxf>
      <numFmt numFmtId="25" formatCode="hh:mm"/>
    </dxf>
    <dxf>
      <protection locked="0" hidden="0"/>
    </dxf>
    <dxf>
      <protection locked="0" hidden="0"/>
    </dxf>
    <dxf>
      <protection locked="0" hidden="0"/>
    </dxf>
    <dxf>
      <numFmt numFmtId="167" formatCode="[$-F400]h:mm:ss\ AM/PM"/>
      <protection locked="0" hidden="0"/>
    </dxf>
    <dxf>
      <numFmt numFmtId="167" formatCode="[$-F400]h:mm:ss\ AM/PM"/>
      <protection locked="0" hidden="0"/>
    </dxf>
    <dxf>
      <numFmt numFmtId="168" formatCode="yyyy\-mm\-dd;@"/>
      <protection locked="0" hidden="0"/>
    </dxf>
    <dxf>
      <numFmt numFmtId="0" formatCode="General"/>
    </dxf>
    <dxf>
      <font>
        <strike val="0"/>
        <outline val="0"/>
        <shadow val="0"/>
        <u val="none"/>
        <vertAlign val="baseline"/>
        <sz val="11"/>
        <color theme="0"/>
        <name val="Trebuchet MS"/>
        <family val="2"/>
        <scheme val="minor"/>
      </font>
      <fill>
        <patternFill patternType="none">
          <fgColor indexed="64"/>
          <bgColor auto="1"/>
        </patternFill>
      </fill>
    </dxf>
    <dxf>
      <font>
        <strike val="0"/>
        <outline val="0"/>
        <shadow val="0"/>
        <u val="none"/>
        <vertAlign val="baseline"/>
        <sz val="11"/>
        <color theme="0"/>
        <name val="Trebuchet MS"/>
        <family val="2"/>
        <scheme val="minor"/>
      </font>
      <fill>
        <patternFill patternType="none">
          <fgColor indexed="64"/>
          <bgColor auto="1"/>
        </patternFill>
      </fill>
    </dxf>
    <dxf>
      <font>
        <strike val="0"/>
        <outline val="0"/>
        <shadow val="0"/>
        <u val="none"/>
        <vertAlign val="baseline"/>
        <sz val="11"/>
        <color theme="0"/>
        <name val="Trebuchet MS"/>
        <family val="2"/>
        <scheme val="minor"/>
      </font>
      <fill>
        <patternFill patternType="none">
          <fgColor indexed="64"/>
          <bgColor auto="1"/>
        </patternFill>
      </fill>
    </dxf>
    <dxf>
      <font>
        <b val="0"/>
        <i val="0"/>
        <strike val="0"/>
        <condense val="0"/>
        <extend val="0"/>
        <outline val="0"/>
        <shadow val="0"/>
        <u val="none"/>
        <vertAlign val="baseline"/>
        <sz val="11"/>
        <color theme="0"/>
        <name val="Trebuchet MS"/>
        <family val="2"/>
        <scheme val="minor"/>
      </font>
      <fill>
        <patternFill patternType="none">
          <fgColor indexed="64"/>
          <bgColor indexed="65"/>
        </patternFill>
      </fill>
    </dxf>
    <dxf>
      <font>
        <strike val="0"/>
        <outline val="0"/>
        <shadow val="0"/>
        <u val="none"/>
        <vertAlign val="baseline"/>
        <sz val="11"/>
        <color theme="0"/>
        <name val="Trebuchet MS"/>
        <family val="2"/>
        <scheme val="minor"/>
      </font>
      <fill>
        <patternFill patternType="none">
          <fgColor indexed="64"/>
          <bgColor auto="1"/>
        </patternFill>
      </fill>
    </dxf>
    <dxf>
      <font>
        <strike val="0"/>
        <outline val="0"/>
        <shadow val="0"/>
        <u val="none"/>
        <vertAlign val="baseline"/>
        <sz val="11"/>
        <color theme="0"/>
        <name val="Trebuchet MS"/>
        <family val="2"/>
        <scheme val="minor"/>
      </font>
      <fill>
        <patternFill patternType="none">
          <fgColor indexed="64"/>
          <bgColor auto="1"/>
        </patternFill>
      </fill>
    </dxf>
    <dxf>
      <font>
        <strike val="0"/>
        <outline val="0"/>
        <shadow val="0"/>
        <u val="none"/>
        <vertAlign val="baseline"/>
        <sz val="11"/>
        <color theme="0"/>
        <name val="Trebuchet MS"/>
        <family val="2"/>
        <scheme val="minor"/>
      </font>
      <numFmt numFmtId="0" formatCode="General"/>
      <fill>
        <patternFill patternType="none">
          <fgColor indexed="64"/>
          <bgColor auto="1"/>
        </patternFill>
      </fill>
    </dxf>
    <dxf>
      <font>
        <strike val="0"/>
        <outline val="0"/>
        <shadow val="0"/>
        <u val="none"/>
        <vertAlign val="baseline"/>
        <sz val="11"/>
        <color theme="0"/>
        <name val="Trebuchet MS"/>
        <family val="2"/>
        <scheme val="minor"/>
      </font>
      <fill>
        <patternFill patternType="none">
          <fgColor indexed="64"/>
          <bgColor auto="1"/>
        </patternFill>
      </fill>
    </dxf>
    <dxf>
      <font>
        <strike val="0"/>
        <outline val="0"/>
        <shadow val="0"/>
        <u val="none"/>
        <vertAlign val="baseline"/>
        <sz val="11"/>
        <color theme="0"/>
        <name val="Trebuchet MS"/>
        <family val="2"/>
        <scheme val="minor"/>
      </font>
      <fill>
        <patternFill patternType="none">
          <fgColor indexed="64"/>
          <bgColor auto="1"/>
        </patternFill>
      </fill>
    </dxf>
    <dxf>
      <font>
        <strike val="0"/>
        <outline val="0"/>
        <shadow val="0"/>
        <u val="none"/>
        <vertAlign val="baseline"/>
        <sz val="11"/>
        <color theme="0"/>
        <name val="Trebuchet MS"/>
        <family val="2"/>
        <scheme val="minor"/>
      </font>
      <fill>
        <patternFill patternType="none">
          <fgColor indexed="64"/>
          <bgColor auto="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F1F2F5"/>
      <rgbColor rgb="00008080"/>
      <rgbColor rgb="00E4EAF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314265"/>
      <rgbColor rgb="00CCFFCC"/>
      <rgbColor rgb="00FFEECD"/>
      <rgbColor rgb="00D0D8E2"/>
      <rgbColor rgb="00FF99CC"/>
      <rgbColor rgb="00CC99FF"/>
      <rgbColor rgb="00FFCC99"/>
      <rgbColor rgb="003366FF"/>
      <rgbColor rgb="0033CCCC"/>
      <rgbColor rgb="0099CC00"/>
      <rgbColor rgb="00FFCC00"/>
      <rgbColor rgb="00FF9900"/>
      <rgbColor rgb="00FF6600"/>
      <rgbColor rgb="00717789"/>
      <rgbColor rgb="00969696"/>
      <rgbColor rgb="00003366"/>
      <rgbColor rgb="00339966"/>
      <rgbColor rgb="00003300"/>
      <rgbColor rgb="00333300"/>
      <rgbColor rgb="00993300"/>
      <rgbColor rgb="00993366"/>
      <rgbColor rgb="00333399"/>
      <rgbColor rgb="004B4B4B"/>
    </indexedColors>
    <mruColors>
      <color rgb="FFFF9999"/>
      <color rgb="FFEACD4D"/>
      <color rgb="FF003FA2"/>
      <color rgb="FF0058E6"/>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06/relationships/rdRichValue" Target="richData/rdrichvalue.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sharedStrings" Target="sharedStrings.xml"/><Relationship Id="rId20" Type="http://schemas.microsoft.com/office/2017/06/relationships/rdRichValueTypes" Target="richData/rdRichValueTyp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styles" Target="styles.xml"/><Relationship Id="rId23" Type="http://schemas.openxmlformats.org/officeDocument/2006/relationships/customXml" Target="../customXml/item2.xml"/><Relationship Id="rId10" Type="http://schemas.openxmlformats.org/officeDocument/2006/relationships/worksheet" Target="worksheets/sheet10.xml"/><Relationship Id="rId19" Type="http://schemas.microsoft.com/office/2017/06/relationships/rdRichValueStructure" Target="richData/rdrichvaluestructure.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xdr:from>
      <xdr:col>3</xdr:col>
      <xdr:colOff>676275</xdr:colOff>
      <xdr:row>6</xdr:row>
      <xdr:rowOff>13334</xdr:rowOff>
    </xdr:from>
    <xdr:to>
      <xdr:col>22</xdr:col>
      <xdr:colOff>504825</xdr:colOff>
      <xdr:row>57</xdr:row>
      <xdr:rowOff>19050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8820150" y="1394459"/>
          <a:ext cx="12487275" cy="10711816"/>
        </a:xfrm>
        <a:prstGeom prst="rect">
          <a:avLst/>
        </a:prstGeom>
        <a:solidFill>
          <a:srgbClr val="EACD4D"/>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solidFill>
                <a:schemeClr val="dk1"/>
              </a:solidFill>
              <a:effectLst/>
              <a:latin typeface="+mn-lt"/>
              <a:ea typeface="+mn-ea"/>
              <a:cs typeface="+mn-cs"/>
            </a:rPr>
            <a:t> </a:t>
          </a:r>
        </a:p>
        <a:p>
          <a:pPr marL="0" marR="0">
            <a:lnSpc>
              <a:spcPct val="107000"/>
            </a:lnSpc>
            <a:spcBef>
              <a:spcPts val="0"/>
            </a:spcBef>
            <a:spcAft>
              <a:spcPts val="800"/>
            </a:spcAft>
          </a:pPr>
          <a:r>
            <a:rPr lang="en-CA" sz="1100" b="1">
              <a:effectLst/>
              <a:latin typeface="Times New Roman" panose="02020603050405020304" pitchFamily="18" charset="0"/>
              <a:ea typeface="Calibri" panose="020F0502020204030204" pitchFamily="34" charset="0"/>
              <a:cs typeface="Times New Roman" panose="02020603050405020304" pitchFamily="18" charset="0"/>
            </a:rPr>
            <a:t>Getting Started</a:t>
          </a:r>
          <a:endParaRPr lang="en-CA" sz="1100">
            <a:effectLst/>
            <a:latin typeface="Times New Roman" panose="02020603050405020304" pitchFamily="18"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CA" sz="1100">
              <a:effectLst/>
              <a:latin typeface="Times New Roman" panose="02020603050405020304" pitchFamily="18" charset="0"/>
              <a:ea typeface="Calibri" panose="020F0502020204030204" pitchFamily="34" charset="0"/>
              <a:cs typeface="Times New Roman" panose="02020603050405020304" pitchFamily="18" charset="0"/>
            </a:rPr>
            <a:t>Begin in the box to the left and enter your name (optional) and then select your school board and school from the dropdown lists (optional). Next, select the number of terms or semesters in your school’s calendar and enter the first instructional day for each term. Now, enter the first and last operational day for the school year.  Does your calendar have any early dismissals? If so, answer ‘Yes’ and then select the number of timetable variants each term for the early dismissals.  Does your calendar use “extra days” that are different from the normal timetable? If so, answer “Yes” and then select the number of extra day variants each term.  Finally, select your timetable type. The types of timetables supported are</a:t>
          </a:r>
        </a:p>
        <a:p>
          <a:pPr marL="342900" marR="0" lvl="0" indent="-342900">
            <a:lnSpc>
              <a:spcPct val="107000"/>
            </a:lnSpc>
            <a:spcBef>
              <a:spcPts val="0"/>
            </a:spcBef>
            <a:spcAft>
              <a:spcPts val="800"/>
            </a:spcAft>
            <a:buFont typeface="Symbol" panose="05050102010706020507" pitchFamily="18" charset="2"/>
            <a:buChar char=""/>
            <a:tabLst>
              <a:tab pos="457200" algn="l"/>
            </a:tabLst>
          </a:pPr>
          <a:r>
            <a:rPr lang="en-CA" sz="1100">
              <a:effectLst/>
              <a:latin typeface="Times New Roman" panose="02020603050405020304" pitchFamily="18" charset="0"/>
              <a:ea typeface="Calibri" panose="020F0502020204030204" pitchFamily="34" charset="0"/>
              <a:cs typeface="Times New Roman" panose="02020603050405020304" pitchFamily="18" charset="0"/>
            </a:rPr>
            <a:t>Weekday rotation: the timetable is based around weekdays and restarts every Monday</a:t>
          </a:r>
        </a:p>
        <a:p>
          <a:pPr marL="342900" marR="0" lvl="0" indent="-342900">
            <a:lnSpc>
              <a:spcPct val="107000"/>
            </a:lnSpc>
            <a:spcBef>
              <a:spcPts val="0"/>
            </a:spcBef>
            <a:spcAft>
              <a:spcPts val="800"/>
            </a:spcAft>
            <a:buFont typeface="Symbol" panose="05050102010706020507" pitchFamily="18" charset="2"/>
            <a:buChar char=""/>
            <a:tabLst>
              <a:tab pos="457200" algn="l"/>
            </a:tabLst>
          </a:pPr>
          <a:r>
            <a:rPr lang="en-CA" sz="1100">
              <a:effectLst/>
              <a:latin typeface="Times New Roman" panose="02020603050405020304" pitchFamily="18" charset="0"/>
              <a:ea typeface="Calibri" panose="020F0502020204030204" pitchFamily="34" charset="0"/>
              <a:cs typeface="Times New Roman" panose="02020603050405020304" pitchFamily="18" charset="0"/>
            </a:rPr>
            <a:t>2-Day rotation</a:t>
          </a:r>
        </a:p>
        <a:p>
          <a:pPr marL="342900" marR="0" lvl="0" indent="-342900">
            <a:lnSpc>
              <a:spcPct val="107000"/>
            </a:lnSpc>
            <a:spcBef>
              <a:spcPts val="0"/>
            </a:spcBef>
            <a:spcAft>
              <a:spcPts val="800"/>
            </a:spcAft>
            <a:buFont typeface="Symbol" panose="05050102010706020507" pitchFamily="18" charset="2"/>
            <a:buChar char=""/>
            <a:tabLst>
              <a:tab pos="457200" algn="l"/>
            </a:tabLst>
          </a:pPr>
          <a:r>
            <a:rPr lang="en-CA" sz="1100">
              <a:effectLst/>
              <a:latin typeface="Times New Roman" panose="02020603050405020304" pitchFamily="18" charset="0"/>
              <a:ea typeface="Calibri" panose="020F0502020204030204" pitchFamily="34" charset="0"/>
              <a:cs typeface="Times New Roman" panose="02020603050405020304" pitchFamily="18" charset="0"/>
            </a:rPr>
            <a:t>3-Day rotation</a:t>
          </a:r>
        </a:p>
        <a:p>
          <a:pPr marL="342900" marR="0" lvl="0" indent="-342900">
            <a:lnSpc>
              <a:spcPct val="107000"/>
            </a:lnSpc>
            <a:spcBef>
              <a:spcPts val="0"/>
            </a:spcBef>
            <a:spcAft>
              <a:spcPts val="800"/>
            </a:spcAft>
            <a:buFont typeface="Symbol" panose="05050102010706020507" pitchFamily="18" charset="2"/>
            <a:buChar char=""/>
            <a:tabLst>
              <a:tab pos="457200" algn="l"/>
            </a:tabLst>
          </a:pPr>
          <a:r>
            <a:rPr lang="en-CA" sz="1100">
              <a:effectLst/>
              <a:latin typeface="Times New Roman" panose="02020603050405020304" pitchFamily="18" charset="0"/>
              <a:ea typeface="Calibri" panose="020F0502020204030204" pitchFamily="34" charset="0"/>
              <a:cs typeface="Times New Roman" panose="02020603050405020304" pitchFamily="18" charset="0"/>
            </a:rPr>
            <a:t>4-Day rotation</a:t>
          </a:r>
        </a:p>
        <a:p>
          <a:pPr marL="342900" marR="0" lvl="0" indent="-342900">
            <a:lnSpc>
              <a:spcPct val="107000"/>
            </a:lnSpc>
            <a:spcBef>
              <a:spcPts val="0"/>
            </a:spcBef>
            <a:spcAft>
              <a:spcPts val="800"/>
            </a:spcAft>
            <a:buFont typeface="Symbol" panose="05050102010706020507" pitchFamily="18" charset="2"/>
            <a:buChar char=""/>
            <a:tabLst>
              <a:tab pos="457200" algn="l"/>
            </a:tabLst>
          </a:pPr>
          <a:r>
            <a:rPr lang="en-CA" sz="1100">
              <a:effectLst/>
              <a:latin typeface="Times New Roman" panose="02020603050405020304" pitchFamily="18" charset="0"/>
              <a:ea typeface="Calibri" panose="020F0502020204030204" pitchFamily="34" charset="0"/>
              <a:cs typeface="Times New Roman" panose="02020603050405020304" pitchFamily="18" charset="0"/>
            </a:rPr>
            <a:t>5-Day rotation</a:t>
          </a:r>
        </a:p>
        <a:p>
          <a:pPr marL="342900" marR="0" lvl="0" indent="-342900">
            <a:lnSpc>
              <a:spcPct val="107000"/>
            </a:lnSpc>
            <a:spcBef>
              <a:spcPts val="0"/>
            </a:spcBef>
            <a:spcAft>
              <a:spcPts val="800"/>
            </a:spcAft>
            <a:buFont typeface="Symbol" panose="05050102010706020507" pitchFamily="18" charset="2"/>
            <a:buChar char=""/>
            <a:tabLst>
              <a:tab pos="457200" algn="l"/>
            </a:tabLst>
          </a:pPr>
          <a:r>
            <a:rPr lang="en-CA" sz="1100">
              <a:effectLst/>
              <a:latin typeface="Times New Roman" panose="02020603050405020304" pitchFamily="18" charset="0"/>
              <a:ea typeface="Calibri" panose="020F0502020204030204" pitchFamily="34" charset="0"/>
              <a:cs typeface="Times New Roman" panose="02020603050405020304" pitchFamily="18" charset="0"/>
            </a:rPr>
            <a:t>6-Day rotation</a:t>
          </a:r>
        </a:p>
        <a:p>
          <a:pPr marL="342900" marR="0" lvl="0" indent="-342900">
            <a:lnSpc>
              <a:spcPct val="107000"/>
            </a:lnSpc>
            <a:spcBef>
              <a:spcPts val="0"/>
            </a:spcBef>
            <a:spcAft>
              <a:spcPts val="800"/>
            </a:spcAft>
            <a:buFont typeface="Symbol" panose="05050102010706020507" pitchFamily="18" charset="2"/>
            <a:buChar char=""/>
            <a:tabLst>
              <a:tab pos="457200" algn="l"/>
            </a:tabLst>
          </a:pPr>
          <a:r>
            <a:rPr lang="en-CA" sz="1100">
              <a:effectLst/>
              <a:latin typeface="Times New Roman" panose="02020603050405020304" pitchFamily="18" charset="0"/>
              <a:ea typeface="Calibri" panose="020F0502020204030204" pitchFamily="34" charset="0"/>
              <a:cs typeface="Times New Roman" panose="02020603050405020304" pitchFamily="18" charset="0"/>
            </a:rPr>
            <a:t>10-Day</a:t>
          </a:r>
          <a:r>
            <a:rPr lang="en-CA" sz="1100" baseline="0">
              <a:effectLst/>
              <a:latin typeface="Times New Roman" panose="02020603050405020304" pitchFamily="18" charset="0"/>
              <a:ea typeface="Calibri" panose="020F0502020204030204" pitchFamily="34" charset="0"/>
              <a:cs typeface="Times New Roman" panose="02020603050405020304" pitchFamily="18" charset="0"/>
            </a:rPr>
            <a:t> rotation</a:t>
          </a:r>
          <a:r>
            <a:rPr lang="en-CA" sz="1100">
              <a:effectLst/>
              <a:latin typeface="Times New Roman" panose="02020603050405020304" pitchFamily="18" charset="0"/>
              <a:ea typeface="Calibri" panose="020F0502020204030204" pitchFamily="34" charset="0"/>
              <a:cs typeface="Times New Roman" panose="02020603050405020304" pitchFamily="18" charset="0"/>
            </a:rPr>
            <a:t> </a:t>
          </a:r>
        </a:p>
        <a:p>
          <a:pPr marL="0" marR="0">
            <a:lnSpc>
              <a:spcPct val="107000"/>
            </a:lnSpc>
            <a:spcBef>
              <a:spcPts val="0"/>
            </a:spcBef>
            <a:spcAft>
              <a:spcPts val="800"/>
            </a:spcAft>
          </a:pPr>
          <a:r>
            <a:rPr lang="en-CA" sz="1100">
              <a:effectLst/>
              <a:latin typeface="Times New Roman" panose="02020603050405020304" pitchFamily="18" charset="0"/>
              <a:ea typeface="Calibri" panose="020F0502020204030204" pitchFamily="34" charset="0"/>
              <a:cs typeface="Times New Roman" panose="02020603050405020304" pitchFamily="18" charset="0"/>
            </a:rPr>
            <a:t>Enter dates in the following format: YYYY-MM-DD, for example August 29, 2023 would be entered as 2023-08-29. Depending on settings in Excel on your computer, you may be able to  enter dates as Month Day, Year (August 29, 2023). When the message above changes to "Ready" in a green background, you are ready to move on. If the message says "Missing Information" on a red background, then you are missing a key piece of information in the table to the left.</a:t>
          </a:r>
        </a:p>
        <a:p>
          <a:pPr marL="0" marR="0">
            <a:lnSpc>
              <a:spcPct val="107000"/>
            </a:lnSpc>
            <a:spcBef>
              <a:spcPts val="0"/>
            </a:spcBef>
            <a:spcAft>
              <a:spcPts val="800"/>
            </a:spcAft>
          </a:pPr>
          <a:r>
            <a:rPr lang="en-CA" sz="1100" b="1">
              <a:effectLst/>
              <a:latin typeface="Times New Roman" panose="02020603050405020304" pitchFamily="18" charset="0"/>
              <a:ea typeface="Calibri" panose="020F0502020204030204" pitchFamily="34" charset="0"/>
              <a:cs typeface="Times New Roman" panose="02020603050405020304" pitchFamily="18" charset="0"/>
            </a:rPr>
            <a:t>Calendar Setup</a:t>
          </a:r>
          <a:endParaRPr lang="en-CA" sz="1100">
            <a:effectLst/>
            <a:latin typeface="Times New Roman" panose="02020603050405020304" pitchFamily="18"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CA" sz="1100">
              <a:effectLst/>
              <a:latin typeface="Times New Roman" panose="02020603050405020304" pitchFamily="18" charset="0"/>
              <a:ea typeface="Calibri" panose="020F0502020204030204" pitchFamily="34" charset="0"/>
              <a:cs typeface="Times New Roman" panose="02020603050405020304" pitchFamily="18" charset="0"/>
            </a:rPr>
            <a:t>For each month, enter days that are exceptions to the usual instructional programming (operational (no students), closed (non-operational), early dismissal, or "extra days"). To do so, click into that date and then click the down arrow for a drop-down menu. Select the type of non-instructional day. If there is a stretch of contiguous days that are non-instructional, such as winter break, you can click the bottom right of the first cell and drag to the right to fill the rest of the days. You don’t need to enter instructional days – those are inferred from the exceptions.  If you need to erase a</a:t>
          </a:r>
          <a:r>
            <a:rPr lang="en-CA" sz="1100" baseline="0">
              <a:effectLst/>
              <a:latin typeface="Times New Roman" panose="02020603050405020304" pitchFamily="18" charset="0"/>
              <a:ea typeface="Calibri" panose="020F0502020204030204" pitchFamily="34" charset="0"/>
              <a:cs typeface="Times New Roman" panose="02020603050405020304" pitchFamily="18" charset="0"/>
            </a:rPr>
            <a:t> calendar entry, simply select the cell and hit "delete" on your keyboard.</a:t>
          </a:r>
          <a:endParaRPr lang="en-CA" sz="1100">
            <a:effectLst/>
            <a:latin typeface="Times New Roman" panose="02020603050405020304" pitchFamily="18"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CA" sz="1100" b="1">
              <a:effectLst/>
              <a:latin typeface="Times New Roman" panose="02020603050405020304" pitchFamily="18" charset="0"/>
              <a:ea typeface="Calibri" panose="020F0502020204030204" pitchFamily="34" charset="0"/>
              <a:cs typeface="Times New Roman" panose="02020603050405020304" pitchFamily="18" charset="0"/>
            </a:rPr>
            <a:t>Timetable Setup</a:t>
          </a:r>
          <a:endParaRPr lang="en-CA" sz="1100">
            <a:effectLst/>
            <a:latin typeface="Times New Roman" panose="02020603050405020304" pitchFamily="18"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CA" sz="1100">
              <a:effectLst/>
              <a:latin typeface="Times New Roman" panose="02020603050405020304" pitchFamily="18" charset="0"/>
              <a:ea typeface="Calibri" panose="020F0502020204030204" pitchFamily="34" charset="0"/>
              <a:cs typeface="Times New Roman" panose="02020603050405020304" pitchFamily="18" charset="0"/>
            </a:rPr>
            <a:t>Now set up your timetable for each day in your timetable rotation. If you are on a weekday rotation, you will need to fill out all five weekdays. If you are on a 3-day rotation, you only need to fill out days 1, 2, and 3. A 4-day rotation requires filling out days 1 to 4, and so on. You will need to do this for each term. Scroll down to</a:t>
          </a:r>
          <a:r>
            <a:rPr lang="en-CA" sz="1100" baseline="0">
              <a:effectLst/>
              <a:latin typeface="Times New Roman" panose="02020603050405020304" pitchFamily="18" charset="0"/>
              <a:ea typeface="Calibri" panose="020F0502020204030204" pitchFamily="34" charset="0"/>
              <a:cs typeface="Times New Roman" panose="02020603050405020304" pitchFamily="18" charset="0"/>
            </a:rPr>
            <a:t> see the timetables for early dismissals and extra days.</a:t>
          </a:r>
          <a:endParaRPr lang="en-CA" sz="1100">
            <a:effectLst/>
            <a:latin typeface="Times New Roman" panose="02020603050405020304" pitchFamily="18"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CA" sz="1100">
              <a:effectLst/>
              <a:latin typeface="Times New Roman" panose="02020603050405020304" pitchFamily="18" charset="0"/>
              <a:ea typeface="Calibri" panose="020F0502020204030204" pitchFamily="34" charset="0"/>
              <a:cs typeface="Times New Roman" panose="02020603050405020304" pitchFamily="18" charset="0"/>
            </a:rPr>
            <a:t>When entering start and end times, be sure to enter them as times (such as 8:15). Also, times need to be entered using a 24 hour clock so that 1:30 PM is entered as 13:30. The elapsed times shown are in minutes.</a:t>
          </a:r>
        </a:p>
        <a:p>
          <a:pPr marL="0" marR="0">
            <a:lnSpc>
              <a:spcPct val="107000"/>
            </a:lnSpc>
            <a:spcBef>
              <a:spcPts val="0"/>
            </a:spcBef>
            <a:spcAft>
              <a:spcPts val="800"/>
            </a:spcAft>
          </a:pPr>
          <a:r>
            <a:rPr lang="en-CA" sz="1100">
              <a:effectLst/>
              <a:latin typeface="Times New Roman" panose="02020603050405020304" pitchFamily="18" charset="0"/>
              <a:ea typeface="Calibri" panose="020F0502020204030204" pitchFamily="34" charset="0"/>
              <a:cs typeface="Times New Roman" panose="02020603050405020304" pitchFamily="18" charset="0"/>
            </a:rPr>
            <a:t>If you have similar time tables from one term to the next, you can copy and paste from another timetable. </a:t>
          </a:r>
        </a:p>
        <a:p>
          <a:pPr marL="0" marR="0">
            <a:lnSpc>
              <a:spcPct val="107000"/>
            </a:lnSpc>
            <a:spcBef>
              <a:spcPts val="0"/>
            </a:spcBef>
            <a:spcAft>
              <a:spcPts val="800"/>
            </a:spcAft>
          </a:pPr>
          <a:r>
            <a:rPr lang="en-CA" sz="1100" b="1">
              <a:effectLst/>
              <a:latin typeface="Times New Roman" panose="02020603050405020304" pitchFamily="18" charset="0"/>
              <a:ea typeface="Calibri" panose="020F0502020204030204" pitchFamily="34" charset="0"/>
              <a:cs typeface="Times New Roman" panose="02020603050405020304" pitchFamily="18" charset="0"/>
            </a:rPr>
            <a:t>Early Dismissals and Extra Days</a:t>
          </a:r>
          <a:endParaRPr lang="en-CA" sz="1100">
            <a:effectLst/>
            <a:latin typeface="Times New Roman" panose="02020603050405020304" pitchFamily="18"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CA" sz="1100">
              <a:effectLst/>
              <a:latin typeface="Times New Roman" panose="02020603050405020304" pitchFamily="18" charset="0"/>
              <a:ea typeface="Calibri" panose="020F0502020204030204" pitchFamily="34" charset="0"/>
              <a:cs typeface="Times New Roman" panose="02020603050405020304" pitchFamily="18" charset="0"/>
            </a:rPr>
            <a:t>If your calendar has early dismissal days, you will need to set up a timetable for those days. If all early dismissal days follow the same timetable, then you only need to fill out one timetable for early dismissals. However, if there are multiple early dismissal timetables, you will need to create a timetable for each one. </a:t>
          </a:r>
        </a:p>
        <a:p>
          <a:pPr marL="0" marR="0">
            <a:lnSpc>
              <a:spcPct val="107000"/>
            </a:lnSpc>
            <a:spcBef>
              <a:spcPts val="0"/>
            </a:spcBef>
            <a:spcAft>
              <a:spcPts val="800"/>
            </a:spcAft>
          </a:pPr>
          <a:r>
            <a:rPr lang="en-CA" sz="1100" b="1">
              <a:effectLst/>
              <a:latin typeface="Times New Roman" panose="02020603050405020304" pitchFamily="18" charset="0"/>
              <a:ea typeface="Calibri" panose="020F0502020204030204" pitchFamily="34" charset="0"/>
              <a:cs typeface="Times New Roman" panose="02020603050405020304" pitchFamily="18" charset="0"/>
            </a:rPr>
            <a:t>Meetings</a:t>
          </a:r>
          <a:endParaRPr lang="en-CA" sz="1100">
            <a:effectLst/>
            <a:latin typeface="Times New Roman" panose="02020603050405020304" pitchFamily="18"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CA" sz="1100">
              <a:effectLst/>
              <a:latin typeface="Times New Roman" panose="02020603050405020304" pitchFamily="18" charset="0"/>
              <a:ea typeface="Calibri" panose="020F0502020204030204" pitchFamily="34" charset="0"/>
              <a:cs typeface="Times New Roman" panose="02020603050405020304" pitchFamily="18" charset="0"/>
            </a:rPr>
            <a:t>If you have meetings that occur as a regular part of your timetable, then schedule them in your timetables. However, if you have regularly scheduled meetings, such as the second Monday of each month, you have a staff meeting at 4:00, then enter it in the Exceptions tab.</a:t>
          </a:r>
        </a:p>
        <a:p>
          <a:pPr marL="0" marR="0">
            <a:lnSpc>
              <a:spcPct val="107000"/>
            </a:lnSpc>
            <a:spcBef>
              <a:spcPts val="0"/>
            </a:spcBef>
            <a:spcAft>
              <a:spcPts val="800"/>
            </a:spcAft>
          </a:pPr>
          <a:r>
            <a:rPr lang="en-CA" sz="1100" b="1">
              <a:effectLst/>
              <a:latin typeface="Times New Roman" panose="02020603050405020304" pitchFamily="18" charset="0"/>
              <a:ea typeface="Calibri" panose="020F0502020204030204" pitchFamily="34" charset="0"/>
              <a:cs typeface="Times New Roman" panose="02020603050405020304" pitchFamily="18" charset="0"/>
            </a:rPr>
            <a:t>Exceptions</a:t>
          </a:r>
          <a:endParaRPr lang="en-CA" sz="1100">
            <a:effectLst/>
            <a:latin typeface="Times New Roman" panose="02020603050405020304" pitchFamily="18"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CA" sz="1100">
              <a:effectLst/>
              <a:latin typeface="Times New Roman" panose="02020603050405020304" pitchFamily="18" charset="0"/>
              <a:ea typeface="Calibri" panose="020F0502020204030204" pitchFamily="34" charset="0"/>
              <a:cs typeface="Times New Roman" panose="02020603050405020304" pitchFamily="18" charset="0"/>
            </a:rPr>
            <a:t>Invariably things will come up during the year. You will end up covering a class for someone or doing additional supervision here and there, emergent meetings, etc. Enter these in the Exceptions tab. Enter the date, the start and end times and the type of activity.</a:t>
          </a:r>
        </a:p>
        <a:p>
          <a:pPr marL="0" marR="0">
            <a:lnSpc>
              <a:spcPct val="107000"/>
            </a:lnSpc>
            <a:spcBef>
              <a:spcPts val="0"/>
            </a:spcBef>
            <a:spcAft>
              <a:spcPts val="800"/>
            </a:spcAft>
          </a:pPr>
          <a:r>
            <a:rPr lang="en-CA" sz="1100" b="1">
              <a:effectLst/>
              <a:latin typeface="Times New Roman" panose="02020603050405020304" pitchFamily="18" charset="0"/>
              <a:ea typeface="Calibri" panose="020F0502020204030204" pitchFamily="34" charset="0"/>
              <a:cs typeface="Times New Roman" panose="02020603050405020304" pitchFamily="18" charset="0"/>
            </a:rPr>
            <a:t>Interpreting Your Results</a:t>
          </a:r>
          <a:endParaRPr lang="en-CA" sz="1100">
            <a:effectLst/>
            <a:latin typeface="Times New Roman" panose="02020603050405020304" pitchFamily="18"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CA" sz="1100">
              <a:effectLst/>
              <a:latin typeface="Times New Roman" panose="02020603050405020304" pitchFamily="18" charset="0"/>
              <a:ea typeface="Calibri" panose="020F0502020204030204" pitchFamily="34" charset="0"/>
              <a:cs typeface="Times New Roman" panose="02020603050405020304" pitchFamily="18" charset="0"/>
            </a:rPr>
            <a:t>After you have filled in your timetable and set up the calendar, the results appear in the "Detailed Summary" tab. This lists the total of instructional time, non-instructional assigned time, and total assigned time for the year.</a:t>
          </a:r>
        </a:p>
        <a:p>
          <a:pPr marL="0" marR="0">
            <a:lnSpc>
              <a:spcPct val="107000"/>
            </a:lnSpc>
            <a:spcBef>
              <a:spcPts val="0"/>
            </a:spcBef>
            <a:spcAft>
              <a:spcPts val="800"/>
            </a:spcAft>
          </a:pPr>
          <a:r>
            <a:rPr lang="en-CA" sz="1100" b="1">
              <a:effectLst/>
              <a:latin typeface="Times New Roman" panose="02020603050405020304" pitchFamily="18" charset="0"/>
              <a:ea typeface="Calibri" panose="020F0502020204030204" pitchFamily="34" charset="0"/>
              <a:cs typeface="Times New Roman" panose="02020603050405020304" pitchFamily="18" charset="0"/>
            </a:rPr>
            <a:t>Next Steps</a:t>
          </a:r>
          <a:endParaRPr lang="en-CA" sz="1100">
            <a:effectLst/>
            <a:latin typeface="Times New Roman" panose="02020603050405020304" pitchFamily="18"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CA" sz="1100">
              <a:effectLst/>
              <a:latin typeface="Times New Roman" panose="02020603050405020304" pitchFamily="18" charset="0"/>
              <a:ea typeface="Calibri" panose="020F0502020204030204" pitchFamily="34" charset="0"/>
              <a:cs typeface="Times New Roman" panose="02020603050405020304" pitchFamily="18" charset="0"/>
            </a:rPr>
            <a:t>If you would like to help Teacher Employment Services keep tabs on school boards, please email your completed spreadsheet to twdata@ata.ab.ca with the subject line "TIME CALCULATOR". We will use this to crowd source information about assignable times across the province. Be sure that your school board and school are indicated on page 1.</a:t>
          </a:r>
        </a:p>
        <a:p>
          <a:pPr marL="0" marR="0">
            <a:lnSpc>
              <a:spcPct val="107000"/>
            </a:lnSpc>
            <a:spcBef>
              <a:spcPts val="0"/>
            </a:spcBef>
            <a:spcAft>
              <a:spcPts val="800"/>
            </a:spcAft>
          </a:pPr>
          <a:r>
            <a:rPr lang="en-CA" sz="1100">
              <a:effectLst/>
              <a:latin typeface="Times New Roman" panose="02020603050405020304" pitchFamily="18" charset="0"/>
              <a:ea typeface="Calibri" panose="020F0502020204030204" pitchFamily="34" charset="0"/>
              <a:cs typeface="Times New Roman" panose="02020603050405020304" pitchFamily="18" charset="0"/>
            </a:rPr>
            <a:t> </a:t>
          </a:r>
        </a:p>
      </xdr:txBody>
    </xdr:sp>
    <xdr:clientData/>
  </xdr:twoCellAnchor>
  <xdr:twoCellAnchor editAs="oneCell">
    <xdr:from>
      <xdr:col>0</xdr:col>
      <xdr:colOff>0</xdr:colOff>
      <xdr:row>0</xdr:row>
      <xdr:rowOff>0</xdr:rowOff>
    </xdr:from>
    <xdr:to>
      <xdr:col>1</xdr:col>
      <xdr:colOff>4017645</xdr:colOff>
      <xdr:row>4</xdr:row>
      <xdr:rowOff>95250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0" y="0"/>
          <a:ext cx="5143500" cy="10287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5</xdr:col>
      <xdr:colOff>668655</xdr:colOff>
      <xdr:row>7</xdr:row>
      <xdr:rowOff>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352425" y="361950"/>
          <a:ext cx="4716780" cy="904875"/>
        </a:xfrm>
        <a:prstGeom prst="rect">
          <a:avLst/>
        </a:prstGeom>
      </xdr:spPr>
    </xdr:pic>
    <xdr:clientData/>
  </xdr:twoCellAnchor>
  <xdr:twoCellAnchor>
    <xdr:from>
      <xdr:col>1</xdr:col>
      <xdr:colOff>38100</xdr:colOff>
      <xdr:row>30</xdr:row>
      <xdr:rowOff>190501</xdr:rowOff>
    </xdr:from>
    <xdr:to>
      <xdr:col>9</xdr:col>
      <xdr:colOff>1247775</xdr:colOff>
      <xdr:row>34</xdr:row>
      <xdr:rowOff>47625</xdr:rowOff>
    </xdr:to>
    <xdr:sp macro="" textlink="">
      <xdr:nvSpPr>
        <xdr:cNvPr id="2" name="TextBox 1">
          <a:extLst>
            <a:ext uri="{FF2B5EF4-FFF2-40B4-BE49-F238E27FC236}">
              <a16:creationId xmlns:a16="http://schemas.microsoft.com/office/drawing/2014/main" id="{EC9C704F-045F-25B3-257A-89A9C9C66789}"/>
            </a:ext>
          </a:extLst>
        </xdr:cNvPr>
        <xdr:cNvSpPr txBox="1"/>
      </xdr:nvSpPr>
      <xdr:spPr>
        <a:xfrm>
          <a:off x="428625" y="6772276"/>
          <a:ext cx="13106400" cy="695324"/>
        </a:xfrm>
        <a:prstGeom prst="rect">
          <a:avLst/>
        </a:prstGeom>
        <a:solidFill>
          <a:srgbClr val="EACD4D"/>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CA" sz="1100" b="0">
              <a:solidFill>
                <a:schemeClr val="dk1"/>
              </a:solidFill>
              <a:effectLst/>
              <a:latin typeface="Times New Roman" panose="02020603050405020304" pitchFamily="18" charset="0"/>
              <a:ea typeface="+mn-ea"/>
              <a:cs typeface="Times New Roman" panose="02020603050405020304" pitchFamily="18" charset="0"/>
            </a:rPr>
            <a:t>If you</a:t>
          </a:r>
          <a:r>
            <a:rPr lang="en-CA" sz="1100" b="0" baseline="0">
              <a:solidFill>
                <a:schemeClr val="dk1"/>
              </a:solidFill>
              <a:effectLst/>
              <a:latin typeface="Times New Roman" panose="02020603050405020304" pitchFamily="18" charset="0"/>
              <a:ea typeface="+mn-ea"/>
              <a:cs typeface="Times New Roman" panose="02020603050405020304" pitchFamily="18" charset="0"/>
            </a:rPr>
            <a:t> would like to help Teacher Employment Services keep tabs on school boards, please email your completed spreadsheet to twdata@ata.ab.ca with the subject line "TIME CALCULATOR". We will use this to crowd source information about assignable times across the province. Be sure that your school board and school are indicated on page 1.</a:t>
          </a:r>
          <a:endParaRPr lang="en-CA">
            <a:effectLst/>
            <a:latin typeface="Times New Roman" panose="02020603050405020304" pitchFamily="18" charset="0"/>
            <a:cs typeface="Times New Roman" panose="02020603050405020304" pitchFamily="18" charset="0"/>
          </a:endParaRPr>
        </a:p>
        <a:p>
          <a:endParaRPr lang="en-CA"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15239</xdr:colOff>
      <xdr:row>2</xdr:row>
      <xdr:rowOff>24765</xdr:rowOff>
    </xdr:from>
    <xdr:to>
      <xdr:col>16</xdr:col>
      <xdr:colOff>528239</xdr:colOff>
      <xdr:row>26</xdr:row>
      <xdr:rowOff>38100</xdr:rowOff>
    </xdr:to>
    <xdr:sp macro="" textlink="">
      <xdr:nvSpPr>
        <xdr:cNvPr id="2" name="TextBox 1">
          <a:extLst>
            <a:ext uri="{FF2B5EF4-FFF2-40B4-BE49-F238E27FC236}">
              <a16:creationId xmlns:a16="http://schemas.microsoft.com/office/drawing/2014/main" id="{3E74CBC9-115A-54B9-1D58-6EF32DEF6FEC}"/>
            </a:ext>
          </a:extLst>
        </xdr:cNvPr>
        <xdr:cNvSpPr txBox="1"/>
      </xdr:nvSpPr>
      <xdr:spPr>
        <a:xfrm>
          <a:off x="624839" y="596265"/>
          <a:ext cx="9657000" cy="40366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i="0" u="none" strike="noStrike" baseline="0">
              <a:solidFill>
                <a:schemeClr val="dk1"/>
              </a:solidFill>
              <a:latin typeface="Times New Roman" panose="02020603050405020304" pitchFamily="18" charset="0"/>
              <a:ea typeface="+mn-ea"/>
              <a:cs typeface="Times New Roman" panose="02020603050405020304" pitchFamily="18" charset="0"/>
            </a:rPr>
            <a:t>Collective Agreement Language Pertaining to Assignable Time</a:t>
          </a:r>
        </a:p>
        <a:p>
          <a:r>
            <a:rPr lang="en-CA" sz="1100" b="0" i="0" u="none" strike="noStrike" baseline="0">
              <a:solidFill>
                <a:schemeClr val="dk1"/>
              </a:solidFill>
              <a:latin typeface="Times New Roman" panose="02020603050405020304" pitchFamily="18" charset="0"/>
              <a:ea typeface="+mn-ea"/>
              <a:cs typeface="Times New Roman" panose="02020603050405020304" pitchFamily="18" charset="0"/>
            </a:rPr>
            <a:t>8.2 Assignable Time Definition</a:t>
          </a:r>
        </a:p>
        <a:p>
          <a:r>
            <a:rPr lang="en-CA" sz="1100" b="0" i="0" u="none" strike="noStrike" baseline="0">
              <a:solidFill>
                <a:schemeClr val="dk1"/>
              </a:solidFill>
              <a:latin typeface="Times New Roman" panose="02020603050405020304" pitchFamily="18" charset="0"/>
              <a:ea typeface="+mn-ea"/>
              <a:cs typeface="Times New Roman" panose="02020603050405020304" pitchFamily="18" charset="0"/>
            </a:rPr>
            <a:t>8.2.1 Assigned Time is defined as the amount of time that Employers/School Divisions assign teachers and within which they require teachers to fulfill various professional duties and responsibilities including but not limited to: </a:t>
          </a:r>
        </a:p>
        <a:p>
          <a:r>
            <a:rPr lang="en-CA" sz="1100" b="0" i="0" u="none" strike="noStrike" baseline="0">
              <a:solidFill>
                <a:schemeClr val="dk1"/>
              </a:solidFill>
              <a:latin typeface="Times New Roman" panose="02020603050405020304" pitchFamily="18" charset="0"/>
              <a:ea typeface="+mn-ea"/>
              <a:cs typeface="Times New Roman" panose="02020603050405020304" pitchFamily="18" charset="0"/>
            </a:rPr>
            <a:t>a) operational days (including teachers’ convention) </a:t>
          </a:r>
        </a:p>
        <a:p>
          <a:r>
            <a:rPr lang="en-CA" sz="1100" b="0" i="0" u="none" strike="noStrike" baseline="0">
              <a:solidFill>
                <a:schemeClr val="dk1"/>
              </a:solidFill>
              <a:latin typeface="Times New Roman" panose="02020603050405020304" pitchFamily="18" charset="0"/>
              <a:ea typeface="+mn-ea"/>
              <a:cs typeface="Times New Roman" panose="02020603050405020304" pitchFamily="18" charset="0"/>
            </a:rPr>
            <a:t>b) instruction</a:t>
          </a:r>
        </a:p>
        <a:p>
          <a:r>
            <a:rPr lang="en-CA" sz="1100" b="0" i="0" u="none" strike="noStrike" baseline="0">
              <a:solidFill>
                <a:schemeClr val="dk1"/>
              </a:solidFill>
              <a:latin typeface="Times New Roman" panose="02020603050405020304" pitchFamily="18" charset="0"/>
              <a:ea typeface="+mn-ea"/>
              <a:cs typeface="Times New Roman" panose="02020603050405020304" pitchFamily="18" charset="0"/>
            </a:rPr>
            <a:t>c) supervision, including before and after classes, transition time between classes, recesses and lunch breaks </a:t>
          </a:r>
        </a:p>
        <a:p>
          <a:r>
            <a:rPr lang="en-CA" sz="1100" b="0" i="0" u="none" strike="noStrike" baseline="0">
              <a:solidFill>
                <a:schemeClr val="dk1"/>
              </a:solidFill>
              <a:latin typeface="Times New Roman" panose="02020603050405020304" pitchFamily="18" charset="0"/>
              <a:ea typeface="+mn-ea"/>
              <a:cs typeface="Times New Roman" panose="02020603050405020304" pitchFamily="18" charset="0"/>
            </a:rPr>
            <a:t>d) parent teacher interviews and meetings </a:t>
          </a:r>
        </a:p>
        <a:p>
          <a:r>
            <a:rPr lang="en-CA" sz="1100" b="0" i="0" u="none" strike="noStrike" baseline="0">
              <a:solidFill>
                <a:schemeClr val="dk1"/>
              </a:solidFill>
              <a:latin typeface="Times New Roman" panose="02020603050405020304" pitchFamily="18" charset="0"/>
              <a:ea typeface="+mn-ea"/>
              <a:cs typeface="Times New Roman" panose="02020603050405020304" pitchFamily="18" charset="0"/>
            </a:rPr>
            <a:t>e) Employer/School Division and school directed professional development, time assigned to teacher professional development, and travel as defined in Clause 8.2.3 </a:t>
          </a:r>
        </a:p>
        <a:p>
          <a:r>
            <a:rPr lang="en-CA" sz="1100" b="0" i="0" u="none" strike="noStrike" baseline="0">
              <a:solidFill>
                <a:schemeClr val="dk1"/>
              </a:solidFill>
              <a:latin typeface="Times New Roman" panose="02020603050405020304" pitchFamily="18" charset="0"/>
              <a:ea typeface="+mn-ea"/>
              <a:cs typeface="Times New Roman" panose="02020603050405020304" pitchFamily="18" charset="0"/>
            </a:rPr>
            <a:t>f) staff meetings</a:t>
          </a:r>
        </a:p>
        <a:p>
          <a:r>
            <a:rPr lang="en-CA" sz="1100" b="0" i="0" u="none" strike="noStrike" baseline="0">
              <a:solidFill>
                <a:schemeClr val="dk1"/>
              </a:solidFill>
              <a:latin typeface="Times New Roman" panose="02020603050405020304" pitchFamily="18" charset="0"/>
              <a:ea typeface="+mn-ea"/>
              <a:cs typeface="Times New Roman" panose="02020603050405020304" pitchFamily="18" charset="0"/>
            </a:rPr>
            <a:t>g) time assigned before and at the end of the school day </a:t>
          </a:r>
        </a:p>
        <a:p>
          <a:r>
            <a:rPr lang="en-CA" sz="1100" b="0" i="0" u="none" strike="noStrike" baseline="0">
              <a:solidFill>
                <a:schemeClr val="dk1"/>
              </a:solidFill>
              <a:latin typeface="Times New Roman" panose="02020603050405020304" pitchFamily="18" charset="0"/>
              <a:ea typeface="+mn-ea"/>
              <a:cs typeface="Times New Roman" panose="02020603050405020304" pitchFamily="18" charset="0"/>
            </a:rPr>
            <a:t>h) other activities that are specified by the Employer/School Division to occur at a particular time and place within a reasonable work day.</a:t>
          </a:r>
        </a:p>
        <a:p>
          <a:endParaRPr lang="en-CA" sz="1100" b="0" i="0" u="none" strike="noStrike" baseline="0">
            <a:solidFill>
              <a:schemeClr val="dk1"/>
            </a:solidFill>
            <a:latin typeface="Times New Roman" panose="02020603050405020304" pitchFamily="18" charset="0"/>
            <a:ea typeface="+mn-ea"/>
            <a:cs typeface="Times New Roman" panose="02020603050405020304" pitchFamily="18" charset="0"/>
          </a:endParaRPr>
        </a:p>
        <a:p>
          <a:r>
            <a:rPr lang="en-CA" sz="1100" b="0" i="0" u="none" strike="noStrike" baseline="0">
              <a:solidFill>
                <a:schemeClr val="dk1"/>
              </a:solidFill>
              <a:latin typeface="Times New Roman" panose="02020603050405020304" pitchFamily="18" charset="0"/>
              <a:ea typeface="+mn-ea"/>
              <a:cs typeface="Times New Roman" panose="02020603050405020304" pitchFamily="18" charset="0"/>
            </a:rPr>
            <a:t>8.2.2 Teachers have professional obligations under the Education Act and regulations made pursuant to the Education Act, as well as the Teaching Quality Standard, which may extend beyond what is assigned by Employers/School Divisions. Teachers have discretion, to be exercised reasonably, as to when they carry out their professional responsibilities that extend beyond their assigned time. </a:t>
          </a:r>
        </a:p>
        <a:p>
          <a:endParaRPr lang="en-CA" sz="1100" b="0" i="0" u="none" strike="noStrike" baseline="0">
            <a:solidFill>
              <a:schemeClr val="dk1"/>
            </a:solidFill>
            <a:latin typeface="Times New Roman" panose="02020603050405020304" pitchFamily="18" charset="0"/>
            <a:ea typeface="+mn-ea"/>
            <a:cs typeface="Times New Roman" panose="02020603050405020304" pitchFamily="18" charset="0"/>
          </a:endParaRPr>
        </a:p>
        <a:p>
          <a:r>
            <a:rPr lang="en-CA" sz="1100" b="0" i="0" u="none" strike="noStrike" baseline="0">
              <a:solidFill>
                <a:schemeClr val="dk1"/>
              </a:solidFill>
              <a:latin typeface="Times New Roman" panose="02020603050405020304" pitchFamily="18" charset="0"/>
              <a:ea typeface="+mn-ea"/>
              <a:cs typeface="Times New Roman" panose="02020603050405020304" pitchFamily="18" charset="0"/>
            </a:rPr>
            <a:t>8.2.3 Time spent traveling to and from professional development opportunities identified in 8.2.1 (e) will not be considered in the calculation of a teacher’s assignable time if:</a:t>
          </a:r>
        </a:p>
        <a:p>
          <a:r>
            <a:rPr lang="en-CA" sz="1100" b="0" i="0" u="none" strike="noStrike" baseline="0">
              <a:solidFill>
                <a:schemeClr val="dk1"/>
              </a:solidFill>
              <a:latin typeface="Times New Roman" panose="02020603050405020304" pitchFamily="18" charset="0"/>
              <a:ea typeface="+mn-ea"/>
              <a:cs typeface="Times New Roman" panose="02020603050405020304" pitchFamily="18" charset="0"/>
            </a:rPr>
            <a:t>a) the teacher is being provided any other pay, allowances or a per diem for that travel time (excluding any compensation provided for mileage). </a:t>
          </a:r>
        </a:p>
        <a:p>
          <a:r>
            <a:rPr lang="en-CA" sz="1100" b="0" i="0" u="none" strike="noStrike" baseline="0">
              <a:solidFill>
                <a:schemeClr val="dk1"/>
              </a:solidFill>
              <a:latin typeface="Times New Roman" panose="02020603050405020304" pitchFamily="18" charset="0"/>
              <a:ea typeface="+mn-ea"/>
              <a:cs typeface="Times New Roman" panose="02020603050405020304" pitchFamily="18" charset="0"/>
            </a:rPr>
            <a:t>b) the actual distance required to travel for the purposes of such professional development does not exceed the teachers’ regular commute to their regular place of work by more than eighty (80) kilometers. In such instances, assignable time will be calculated as one quarter (1/4) of an hour for every twenty (20) kilometers traveled in excess of the eighty (80) kilometer threshold. </a:t>
          </a:r>
        </a:p>
        <a:p>
          <a:r>
            <a:rPr lang="en-CA" sz="1100" b="0" i="0" u="none" strike="noStrike" baseline="0">
              <a:solidFill>
                <a:schemeClr val="dk1"/>
              </a:solidFill>
              <a:latin typeface="Times New Roman" panose="02020603050405020304" pitchFamily="18" charset="0"/>
              <a:ea typeface="+mn-ea"/>
              <a:cs typeface="Times New Roman" panose="02020603050405020304" pitchFamily="18" charset="0"/>
            </a:rPr>
            <a:t>c) the time is spent traveling to and from the teacher’s annual convention.</a:t>
          </a:r>
        </a:p>
        <a:p>
          <a:endParaRPr lang="en-CA" sz="1100"/>
        </a:p>
      </xdr:txBody>
    </xdr:sp>
    <xdr:clientData/>
  </xdr:twoCellAnchor>
  <xdr:twoCellAnchor>
    <xdr:from>
      <xdr:col>1</xdr:col>
      <xdr:colOff>19049</xdr:colOff>
      <xdr:row>27</xdr:row>
      <xdr:rowOff>15240</xdr:rowOff>
    </xdr:from>
    <xdr:to>
      <xdr:col>16</xdr:col>
      <xdr:colOff>532049</xdr:colOff>
      <xdr:row>63</xdr:row>
      <xdr:rowOff>99060</xdr:rowOff>
    </xdr:to>
    <xdr:sp macro="" textlink="">
      <xdr:nvSpPr>
        <xdr:cNvPr id="3" name="TextBox 2">
          <a:extLst>
            <a:ext uri="{FF2B5EF4-FFF2-40B4-BE49-F238E27FC236}">
              <a16:creationId xmlns:a16="http://schemas.microsoft.com/office/drawing/2014/main" id="{B1968695-0E83-F241-22DA-882487E3A8C5}"/>
            </a:ext>
          </a:extLst>
        </xdr:cNvPr>
        <xdr:cNvSpPr txBox="1"/>
      </xdr:nvSpPr>
      <xdr:spPr>
        <a:xfrm>
          <a:off x="628649" y="4998720"/>
          <a:ext cx="9657000" cy="6667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7000"/>
            </a:lnSpc>
            <a:spcAft>
              <a:spcPts val="800"/>
            </a:spcAft>
          </a:pPr>
          <a:r>
            <a:rPr lang="en-CA" sz="1100" b="1">
              <a:effectLst/>
              <a:latin typeface="Times New Roman" panose="02020603050405020304" pitchFamily="18" charset="0"/>
              <a:ea typeface="Calibri" panose="020F0502020204030204" pitchFamily="34" charset="0"/>
              <a:cs typeface="Times New Roman" panose="02020603050405020304" pitchFamily="18" charset="0"/>
            </a:rPr>
            <a:t>Please note that your Instructional Time is INCLUDED in your Assigned time, it is NOT separate from it.</a:t>
          </a:r>
          <a:endParaRPr lang="en-CA" sz="1100">
            <a:effectLst/>
            <a:latin typeface="Times New Roman" panose="02020603050405020304" pitchFamily="18" charset="0"/>
            <a:ea typeface="Calibri" panose="020F0502020204030204" pitchFamily="34" charset="0"/>
            <a:cs typeface="Times New Roman" panose="02020603050405020304" pitchFamily="18" charset="0"/>
          </a:endParaRPr>
        </a:p>
        <a:p>
          <a:pPr>
            <a:lnSpc>
              <a:spcPct val="107000"/>
            </a:lnSpc>
            <a:spcAft>
              <a:spcPts val="800"/>
            </a:spcAft>
          </a:pPr>
          <a:r>
            <a:rPr lang="en-CA" sz="1100" b="1">
              <a:effectLst/>
              <a:latin typeface="Times New Roman" panose="02020603050405020304" pitchFamily="18" charset="0"/>
              <a:ea typeface="Calibri" panose="020F0502020204030204" pitchFamily="34" charset="0"/>
              <a:cs typeface="Times New Roman" panose="02020603050405020304" pitchFamily="18" charset="0"/>
            </a:rPr>
            <a:t>Definition of Instruction: Early Childhood Services</a:t>
          </a:r>
          <a:endParaRPr lang="en-CA" sz="1100">
            <a:effectLst/>
            <a:latin typeface="Times New Roman" panose="02020603050405020304" pitchFamily="18" charset="0"/>
            <a:ea typeface="Calibri" panose="020F0502020204030204" pitchFamily="34" charset="0"/>
            <a:cs typeface="Times New Roman" panose="02020603050405020304" pitchFamily="18" charset="0"/>
          </a:endParaRPr>
        </a:p>
        <a:p>
          <a:pPr>
            <a:lnSpc>
              <a:spcPct val="107000"/>
            </a:lnSpc>
            <a:spcAft>
              <a:spcPts val="800"/>
            </a:spcAft>
          </a:pPr>
          <a:r>
            <a:rPr lang="en-CA" sz="1100">
              <a:effectLst/>
              <a:latin typeface="Times New Roman" panose="02020603050405020304" pitchFamily="18" charset="0"/>
              <a:ea typeface="Calibri" panose="020F0502020204030204" pitchFamily="34" charset="0"/>
              <a:cs typeface="Times New Roman" panose="02020603050405020304" pitchFamily="18" charset="0"/>
            </a:rPr>
            <a:t>Instruction is the process in which Alberta certificated teachers take responsibility for ensuring that learning activities for children are directed toward achieving the outcomes of approved programs of study and/or individualized program plans through </a:t>
          </a:r>
        </a:p>
        <a:p>
          <a:pPr marL="342900" lvl="0" indent="-342900">
            <a:lnSpc>
              <a:spcPct val="107000"/>
            </a:lnSpc>
            <a:buFont typeface="Symbol" panose="05050102010706020507" pitchFamily="18" charset="2"/>
            <a:buChar char=""/>
          </a:pPr>
          <a:r>
            <a:rPr lang="en-CA" sz="1100">
              <a:effectLst/>
              <a:latin typeface="Times New Roman" panose="02020603050405020304" pitchFamily="18" charset="0"/>
              <a:ea typeface="Calibri" panose="020F0502020204030204" pitchFamily="34" charset="0"/>
              <a:cs typeface="Times New Roman" panose="02020603050405020304" pitchFamily="18" charset="0"/>
            </a:rPr>
            <a:t>face-to-face interaction with children for the purpose of teaching and assessing children’s achievement of outcomes, and/or </a:t>
          </a:r>
        </a:p>
        <a:p>
          <a:pPr marL="342900" lvl="0" indent="-342900">
            <a:lnSpc>
              <a:spcPct val="107000"/>
            </a:lnSpc>
            <a:spcAft>
              <a:spcPts val="800"/>
            </a:spcAft>
            <a:buFont typeface="Symbol" panose="05050102010706020507" pitchFamily="18" charset="2"/>
            <a:buChar char=""/>
          </a:pPr>
          <a:r>
            <a:rPr lang="en-CA" sz="1100">
              <a:effectLst/>
              <a:latin typeface="Times New Roman" panose="02020603050405020304" pitchFamily="18" charset="0"/>
              <a:ea typeface="Calibri" panose="020F0502020204030204" pitchFamily="34" charset="0"/>
              <a:cs typeface="Times New Roman" panose="02020603050405020304" pitchFamily="18" charset="0"/>
            </a:rPr>
            <a:t>interaction with children who are engaged in classroom learning in a Kindergarten, preschool, playschool, daycare or child-care setting</a:t>
          </a:r>
        </a:p>
        <a:p>
          <a:pPr>
            <a:lnSpc>
              <a:spcPct val="107000"/>
            </a:lnSpc>
            <a:spcAft>
              <a:spcPts val="800"/>
            </a:spcAft>
          </a:pPr>
          <a:r>
            <a:rPr lang="en-CA" sz="1100" b="1">
              <a:effectLst/>
              <a:latin typeface="Times New Roman" panose="02020603050405020304" pitchFamily="18" charset="0"/>
              <a:ea typeface="Calibri" panose="020F0502020204030204" pitchFamily="34" charset="0"/>
              <a:cs typeface="Times New Roman" panose="02020603050405020304" pitchFamily="18" charset="0"/>
            </a:rPr>
            <a:t>Instructional Time: Early Childhood Services</a:t>
          </a:r>
          <a:endParaRPr lang="en-CA" sz="1100">
            <a:effectLst/>
            <a:latin typeface="Times New Roman" panose="02020603050405020304" pitchFamily="18" charset="0"/>
            <a:ea typeface="Calibri" panose="020F0502020204030204" pitchFamily="34" charset="0"/>
            <a:cs typeface="Times New Roman" panose="02020603050405020304" pitchFamily="18" charset="0"/>
          </a:endParaRPr>
        </a:p>
        <a:p>
          <a:pPr>
            <a:lnSpc>
              <a:spcPct val="107000"/>
            </a:lnSpc>
            <a:spcAft>
              <a:spcPts val="800"/>
            </a:spcAft>
          </a:pPr>
          <a:r>
            <a:rPr lang="en-CA" sz="1100">
              <a:effectLst/>
              <a:latin typeface="Times New Roman" panose="02020603050405020304" pitchFamily="18" charset="0"/>
              <a:ea typeface="Calibri" panose="020F0502020204030204" pitchFamily="34" charset="0"/>
              <a:cs typeface="Times New Roman" panose="02020603050405020304" pitchFamily="18" charset="0"/>
            </a:rPr>
            <a:t>Instructional time includes time scheduled for the purposes of instruction and other activities for children where direct child–teacher interaction and supervision are maintained.</a:t>
          </a:r>
        </a:p>
        <a:p>
          <a:pPr>
            <a:lnSpc>
              <a:spcPct val="107000"/>
            </a:lnSpc>
            <a:spcAft>
              <a:spcPts val="800"/>
            </a:spcAft>
          </a:pPr>
          <a:r>
            <a:rPr lang="en-CA" sz="1100">
              <a:effectLst/>
              <a:latin typeface="Times New Roman" panose="02020603050405020304" pitchFamily="18" charset="0"/>
              <a:ea typeface="Calibri" panose="020F0502020204030204" pitchFamily="34" charset="0"/>
              <a:cs typeface="Times New Roman" panose="02020603050405020304" pitchFamily="18" charset="0"/>
            </a:rPr>
            <a:t>Instructional time does not include</a:t>
          </a:r>
        </a:p>
        <a:p>
          <a:pPr marL="342900" lvl="0" indent="-342900">
            <a:lnSpc>
              <a:spcPct val="107000"/>
            </a:lnSpc>
            <a:buFont typeface="Symbol" panose="05050102010706020507" pitchFamily="18" charset="2"/>
            <a:buChar char=""/>
          </a:pPr>
          <a:r>
            <a:rPr lang="en-CA" sz="1100">
              <a:effectLst/>
              <a:latin typeface="Times New Roman" panose="02020603050405020304" pitchFamily="18" charset="0"/>
              <a:ea typeface="Calibri" panose="020F0502020204030204" pitchFamily="34" charset="0"/>
              <a:cs typeface="Times New Roman" panose="02020603050405020304" pitchFamily="18" charset="0"/>
            </a:rPr>
            <a:t>teacher convention days</a:t>
          </a:r>
        </a:p>
        <a:p>
          <a:pPr marL="342900" lvl="0" indent="-342900">
            <a:lnSpc>
              <a:spcPct val="107000"/>
            </a:lnSpc>
            <a:buFont typeface="Symbol" panose="05050102010706020507" pitchFamily="18" charset="2"/>
            <a:buChar char=""/>
          </a:pPr>
          <a:r>
            <a:rPr lang="en-CA" sz="1100">
              <a:effectLst/>
              <a:latin typeface="Times New Roman" panose="02020603050405020304" pitchFamily="18" charset="0"/>
              <a:ea typeface="Calibri" panose="020F0502020204030204" pitchFamily="34" charset="0"/>
              <a:cs typeface="Times New Roman" panose="02020603050405020304" pitchFamily="18" charset="0"/>
            </a:rPr>
            <a:t>professional development days</a:t>
          </a:r>
        </a:p>
        <a:p>
          <a:pPr marL="342900" lvl="0" indent="-342900">
            <a:lnSpc>
              <a:spcPct val="107000"/>
            </a:lnSpc>
            <a:buFont typeface="Symbol" panose="05050102010706020507" pitchFamily="18" charset="2"/>
            <a:buChar char=""/>
          </a:pPr>
          <a:r>
            <a:rPr lang="en-CA" sz="1100">
              <a:effectLst/>
              <a:latin typeface="Times New Roman" panose="02020603050405020304" pitchFamily="18" charset="0"/>
              <a:ea typeface="Calibri" panose="020F0502020204030204" pitchFamily="34" charset="0"/>
              <a:cs typeface="Times New Roman" panose="02020603050405020304" pitchFamily="18" charset="0"/>
            </a:rPr>
            <a:t>teacher planning days</a:t>
          </a:r>
        </a:p>
        <a:p>
          <a:pPr marL="342900" lvl="0" indent="-342900">
            <a:lnSpc>
              <a:spcPct val="107000"/>
            </a:lnSpc>
            <a:buFont typeface="Symbol" panose="05050102010706020507" pitchFamily="18" charset="2"/>
            <a:buChar char=""/>
          </a:pPr>
          <a:r>
            <a:rPr lang="en-CA" sz="1100">
              <a:effectLst/>
              <a:latin typeface="Times New Roman" panose="02020603050405020304" pitchFamily="18" charset="0"/>
              <a:ea typeface="Calibri" panose="020F0502020204030204" pitchFamily="34" charset="0"/>
              <a:cs typeface="Times New Roman" panose="02020603050405020304" pitchFamily="18" charset="0"/>
            </a:rPr>
            <a:t>staff meetings</a:t>
          </a:r>
        </a:p>
        <a:p>
          <a:pPr marL="342900" lvl="0" indent="-342900">
            <a:lnSpc>
              <a:spcPct val="107000"/>
            </a:lnSpc>
            <a:buFont typeface="Symbol" panose="05050102010706020507" pitchFamily="18" charset="2"/>
            <a:buChar char=""/>
          </a:pPr>
          <a:r>
            <a:rPr lang="en-CA" sz="1100">
              <a:effectLst/>
              <a:latin typeface="Times New Roman" panose="02020603050405020304" pitchFamily="18" charset="0"/>
              <a:ea typeface="Calibri" panose="020F0502020204030204" pitchFamily="34" charset="0"/>
              <a:cs typeface="Times New Roman" panose="02020603050405020304" pitchFamily="18" charset="0"/>
            </a:rPr>
            <a:t>statutory and school authority–declared holidays</a:t>
          </a:r>
        </a:p>
        <a:p>
          <a:pPr marL="342900" lvl="0" indent="-342900">
            <a:lnSpc>
              <a:spcPct val="107000"/>
            </a:lnSpc>
            <a:buFont typeface="Symbol" panose="05050102010706020507" pitchFamily="18" charset="2"/>
            <a:buChar char=""/>
          </a:pPr>
          <a:r>
            <a:rPr lang="en-CA" sz="1100">
              <a:effectLst/>
              <a:latin typeface="Times New Roman" panose="02020603050405020304" pitchFamily="18" charset="0"/>
              <a:ea typeface="Calibri" panose="020F0502020204030204" pitchFamily="34" charset="0"/>
              <a:cs typeface="Times New Roman" panose="02020603050405020304" pitchFamily="18" charset="0"/>
            </a:rPr>
            <a:t>lunch breaks</a:t>
          </a:r>
        </a:p>
        <a:p>
          <a:pPr marL="342900" lvl="0" indent="-342900">
            <a:lnSpc>
              <a:spcPct val="107000"/>
            </a:lnSpc>
            <a:buFont typeface="Symbol" panose="05050102010706020507" pitchFamily="18" charset="2"/>
            <a:buChar char=""/>
          </a:pPr>
          <a:r>
            <a:rPr lang="en-CA" sz="1100">
              <a:effectLst/>
              <a:latin typeface="Times New Roman" panose="02020603050405020304" pitchFamily="18" charset="0"/>
              <a:ea typeface="Calibri" panose="020F0502020204030204" pitchFamily="34" charset="0"/>
              <a:cs typeface="Times New Roman" panose="02020603050405020304" pitchFamily="18" charset="0"/>
            </a:rPr>
            <a:t>recesses</a:t>
          </a:r>
        </a:p>
        <a:p>
          <a:pPr marL="342900" lvl="0" indent="-342900">
            <a:lnSpc>
              <a:spcPct val="107000"/>
            </a:lnSpc>
            <a:spcAft>
              <a:spcPts val="800"/>
            </a:spcAft>
            <a:buFont typeface="Symbol" panose="05050102010706020507" pitchFamily="18" charset="2"/>
            <a:buChar char=""/>
          </a:pPr>
          <a:r>
            <a:rPr lang="en-CA" sz="1100">
              <a:effectLst/>
              <a:latin typeface="Times New Roman" panose="02020603050405020304" pitchFamily="18" charset="0"/>
              <a:ea typeface="Calibri" panose="020F0502020204030204" pitchFamily="34" charset="0"/>
              <a:cs typeface="Times New Roman" panose="02020603050405020304" pitchFamily="18" charset="0"/>
            </a:rPr>
            <a:t>time taken for the registration of children</a:t>
          </a:r>
        </a:p>
        <a:p>
          <a:pPr>
            <a:lnSpc>
              <a:spcPct val="107000"/>
            </a:lnSpc>
            <a:spcAft>
              <a:spcPts val="800"/>
            </a:spcAft>
          </a:pPr>
          <a:r>
            <a:rPr lang="en-CA" sz="1100" b="1">
              <a:effectLst/>
              <a:latin typeface="Times New Roman" panose="02020603050405020304" pitchFamily="18" charset="0"/>
              <a:ea typeface="Calibri" panose="020F0502020204030204" pitchFamily="34" charset="0"/>
              <a:cs typeface="Times New Roman" panose="02020603050405020304" pitchFamily="18" charset="0"/>
            </a:rPr>
            <a:t>Teacher-Directed Instructional Time: Early Childhood Services</a:t>
          </a:r>
          <a:endParaRPr lang="en-CA" sz="1100">
            <a:effectLst/>
            <a:latin typeface="Times New Roman" panose="02020603050405020304" pitchFamily="18" charset="0"/>
            <a:ea typeface="Calibri" panose="020F0502020204030204" pitchFamily="34" charset="0"/>
            <a:cs typeface="Times New Roman" panose="02020603050405020304" pitchFamily="18" charset="0"/>
          </a:endParaRPr>
        </a:p>
        <a:p>
          <a:pPr>
            <a:lnSpc>
              <a:spcPct val="107000"/>
            </a:lnSpc>
            <a:spcAft>
              <a:spcPts val="800"/>
            </a:spcAft>
          </a:pPr>
          <a:r>
            <a:rPr lang="en-CA" sz="1100">
              <a:effectLst/>
              <a:latin typeface="Times New Roman" panose="02020603050405020304" pitchFamily="18" charset="0"/>
              <a:ea typeface="Calibri" panose="020F0502020204030204" pitchFamily="34" charset="0"/>
              <a:cs typeface="Times New Roman" panose="02020603050405020304" pitchFamily="18" charset="0"/>
            </a:rPr>
            <a:t>For ECS programming for children diagnosed with severe disabilities or severe language delay and moderate language delay, teacher-directed instruction may include</a:t>
          </a:r>
        </a:p>
        <a:p>
          <a:pPr marL="342900" lvl="0" indent="-342900">
            <a:lnSpc>
              <a:spcPct val="107000"/>
            </a:lnSpc>
            <a:buFont typeface="Symbol" panose="05050102010706020507" pitchFamily="18" charset="2"/>
            <a:buChar char=""/>
          </a:pPr>
          <a:r>
            <a:rPr lang="en-CA" sz="1100">
              <a:effectLst/>
              <a:latin typeface="Times New Roman" panose="02020603050405020304" pitchFamily="18" charset="0"/>
              <a:ea typeface="Calibri" panose="020F0502020204030204" pitchFamily="34" charset="0"/>
              <a:cs typeface="Times New Roman" panose="02020603050405020304" pitchFamily="18" charset="0"/>
            </a:rPr>
            <a:t>IPP/ISP development</a:t>
          </a:r>
        </a:p>
        <a:p>
          <a:pPr marL="342900" lvl="0" indent="-342900">
            <a:lnSpc>
              <a:spcPct val="107000"/>
            </a:lnSpc>
            <a:buFont typeface="Symbol" panose="05050102010706020507" pitchFamily="18" charset="2"/>
            <a:buChar char=""/>
          </a:pPr>
          <a:r>
            <a:rPr lang="en-CA" sz="1100">
              <a:effectLst/>
              <a:latin typeface="Times New Roman" panose="02020603050405020304" pitchFamily="18" charset="0"/>
              <a:ea typeface="Calibri" panose="020F0502020204030204" pitchFamily="34" charset="0"/>
              <a:cs typeface="Times New Roman" panose="02020603050405020304" pitchFamily="18" charset="0"/>
            </a:rPr>
            <a:t>lesson planning</a:t>
          </a:r>
        </a:p>
        <a:p>
          <a:pPr marL="342900" lvl="0" indent="-342900">
            <a:lnSpc>
              <a:spcPct val="107000"/>
            </a:lnSpc>
            <a:buFont typeface="Symbol" panose="05050102010706020507" pitchFamily="18" charset="2"/>
            <a:buChar char=""/>
          </a:pPr>
          <a:r>
            <a:rPr lang="en-CA" sz="1100">
              <a:effectLst/>
              <a:latin typeface="Times New Roman" panose="02020603050405020304" pitchFamily="18" charset="0"/>
              <a:ea typeface="Calibri" panose="020F0502020204030204" pitchFamily="34" charset="0"/>
              <a:cs typeface="Times New Roman" panose="02020603050405020304" pitchFamily="18" charset="0"/>
            </a:rPr>
            <a:t>assessment of child's learning</a:t>
          </a:r>
        </a:p>
        <a:p>
          <a:pPr marL="342900" lvl="0" indent="-342900">
            <a:lnSpc>
              <a:spcPct val="107000"/>
            </a:lnSpc>
            <a:buFont typeface="Symbol" panose="05050102010706020507" pitchFamily="18" charset="2"/>
            <a:buChar char=""/>
          </a:pPr>
          <a:r>
            <a:rPr lang="en-CA" sz="1100">
              <a:effectLst/>
              <a:latin typeface="Times New Roman" panose="02020603050405020304" pitchFamily="18" charset="0"/>
              <a:ea typeface="Calibri" panose="020F0502020204030204" pitchFamily="34" charset="0"/>
              <a:cs typeface="Times New Roman" panose="02020603050405020304" pitchFamily="18" charset="0"/>
            </a:rPr>
            <a:t>reporting progress to parents</a:t>
          </a:r>
        </a:p>
        <a:p>
          <a:pPr marL="342900" lvl="0" indent="-342900">
            <a:lnSpc>
              <a:spcPct val="107000"/>
            </a:lnSpc>
            <a:buFont typeface="Symbol" panose="05050102010706020507" pitchFamily="18" charset="2"/>
            <a:buChar char=""/>
          </a:pPr>
          <a:r>
            <a:rPr lang="en-CA" sz="1100">
              <a:effectLst/>
              <a:latin typeface="Times New Roman" panose="02020603050405020304" pitchFamily="18" charset="0"/>
              <a:ea typeface="Calibri" panose="020F0502020204030204" pitchFamily="34" charset="0"/>
              <a:cs typeface="Times New Roman" panose="02020603050405020304" pitchFamily="18" charset="0"/>
            </a:rPr>
            <a:t>liaison and coordination of IPP/ISP activities with playschool, preschool, etc. staff</a:t>
          </a:r>
        </a:p>
        <a:p>
          <a:pPr marL="342900" lvl="0" indent="-342900">
            <a:lnSpc>
              <a:spcPct val="107000"/>
            </a:lnSpc>
            <a:buFont typeface="Symbol" panose="05050102010706020507" pitchFamily="18" charset="2"/>
            <a:buChar char=""/>
          </a:pPr>
          <a:r>
            <a:rPr lang="en-CA" sz="1100">
              <a:effectLst/>
              <a:latin typeface="Times New Roman" panose="02020603050405020304" pitchFamily="18" charset="0"/>
              <a:ea typeface="Calibri" panose="020F0502020204030204" pitchFamily="34" charset="0"/>
              <a:cs typeface="Times New Roman" panose="02020603050405020304" pitchFamily="18" charset="0"/>
            </a:rPr>
            <a:t>transition planning for following school year</a:t>
          </a:r>
        </a:p>
        <a:p>
          <a:pPr marL="342900" lvl="0" indent="-342900">
            <a:lnSpc>
              <a:spcPct val="107000"/>
            </a:lnSpc>
            <a:buFont typeface="Symbol" panose="05050102010706020507" pitchFamily="18" charset="2"/>
            <a:buChar char=""/>
          </a:pPr>
          <a:r>
            <a:rPr lang="en-CA" sz="1100">
              <a:effectLst/>
              <a:latin typeface="Times New Roman" panose="02020603050405020304" pitchFamily="18" charset="0"/>
              <a:ea typeface="Calibri" panose="020F0502020204030204" pitchFamily="34" charset="0"/>
              <a:cs typeface="Times New Roman" panose="02020603050405020304" pitchFamily="18" charset="0"/>
            </a:rPr>
            <a:t>individual sessions with parents and their child</a:t>
          </a:r>
        </a:p>
        <a:p>
          <a:pPr marL="342900" lvl="0" indent="-342900">
            <a:lnSpc>
              <a:spcPct val="107000"/>
            </a:lnSpc>
            <a:spcAft>
              <a:spcPts val="800"/>
            </a:spcAft>
            <a:buFont typeface="Symbol" panose="05050102010706020507" pitchFamily="18" charset="2"/>
            <a:buChar char=""/>
          </a:pPr>
          <a:r>
            <a:rPr lang="en-CA" sz="1100">
              <a:effectLst/>
              <a:latin typeface="Times New Roman" panose="02020603050405020304" pitchFamily="18" charset="0"/>
              <a:ea typeface="Calibri" panose="020F0502020204030204" pitchFamily="34" charset="0"/>
              <a:cs typeface="Times New Roman" panose="02020603050405020304" pitchFamily="18" charset="0"/>
            </a:rPr>
            <a:t>coordination of direct and/or consultative services from therapists in support of the child's IPP/ISP goals</a:t>
          </a:r>
        </a:p>
        <a:p>
          <a:pPr>
            <a:lnSpc>
              <a:spcPct val="107000"/>
            </a:lnSpc>
            <a:spcAft>
              <a:spcPts val="800"/>
            </a:spcAft>
          </a:pPr>
          <a:r>
            <a:rPr lang="en-CA" sz="1100">
              <a:effectLst/>
              <a:latin typeface="Times New Roman" panose="02020603050405020304" pitchFamily="18" charset="0"/>
              <a:ea typeface="Calibri" panose="020F0502020204030204" pitchFamily="34" charset="0"/>
              <a:cs typeface="Times New Roman" panose="02020603050405020304" pitchFamily="18" charset="0"/>
            </a:rPr>
            <a:t>Other instructional activities may include visits to the child's home to coach parents and caregivers on specific skill/strategies related to the child’s learning, or, demonstration of child learning in child-parent-teacher conferences as a means of reporting the results of the teacher’s evaluation of the child.</a:t>
          </a:r>
        </a:p>
        <a:p>
          <a:pPr>
            <a:lnSpc>
              <a:spcPct val="107000"/>
            </a:lnSpc>
            <a:spcAft>
              <a:spcPts val="800"/>
            </a:spcAft>
          </a:pPr>
          <a:r>
            <a:rPr lang="en-CA" sz="1100">
              <a:effectLst/>
              <a:latin typeface="Times New Roman" panose="02020603050405020304" pitchFamily="18" charset="0"/>
              <a:ea typeface="Calibri" panose="020F0502020204030204" pitchFamily="34" charset="0"/>
              <a:cs typeface="Times New Roman" panose="02020603050405020304" pitchFamily="18" charset="0"/>
            </a:rPr>
            <a:t> </a:t>
          </a:r>
        </a:p>
        <a:p>
          <a:endParaRPr lang="en-CA" sz="1100"/>
        </a:p>
      </xdr:txBody>
    </xdr:sp>
    <xdr:clientData/>
  </xdr:twoCellAnchor>
  <xdr:twoCellAnchor>
    <xdr:from>
      <xdr:col>1</xdr:col>
      <xdr:colOff>34290</xdr:colOff>
      <xdr:row>66</xdr:row>
      <xdr:rowOff>104775</xdr:rowOff>
    </xdr:from>
    <xdr:to>
      <xdr:col>16</xdr:col>
      <xdr:colOff>547290</xdr:colOff>
      <xdr:row>92</xdr:row>
      <xdr:rowOff>45720</xdr:rowOff>
    </xdr:to>
    <xdr:sp macro="" textlink="">
      <xdr:nvSpPr>
        <xdr:cNvPr id="4" name="TextBox 3">
          <a:extLst>
            <a:ext uri="{FF2B5EF4-FFF2-40B4-BE49-F238E27FC236}">
              <a16:creationId xmlns:a16="http://schemas.microsoft.com/office/drawing/2014/main" id="{23A6DDC4-4C2B-4E56-DC09-6AB5711F6153}"/>
            </a:ext>
          </a:extLst>
        </xdr:cNvPr>
        <xdr:cNvSpPr txBox="1"/>
      </xdr:nvSpPr>
      <xdr:spPr>
        <a:xfrm>
          <a:off x="643890" y="12220575"/>
          <a:ext cx="9657000" cy="4695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7000"/>
            </a:lnSpc>
            <a:spcAft>
              <a:spcPts val="800"/>
            </a:spcAft>
          </a:pPr>
          <a:r>
            <a:rPr lang="en-CA" sz="1100" b="1">
              <a:effectLst/>
              <a:latin typeface="Times New Roman" panose="02020603050405020304" pitchFamily="18" charset="0"/>
              <a:ea typeface="Calibri" panose="020F0502020204030204" pitchFamily="34" charset="0"/>
              <a:cs typeface="Times New Roman" panose="02020603050405020304" pitchFamily="18" charset="0"/>
            </a:rPr>
            <a:t>Definition of Instruction: Grade 1 to Grade 9</a:t>
          </a:r>
          <a:endParaRPr lang="en-CA" sz="1100">
            <a:effectLst/>
            <a:latin typeface="Times New Roman" panose="02020603050405020304" pitchFamily="18" charset="0"/>
            <a:ea typeface="Calibri" panose="020F0502020204030204" pitchFamily="34" charset="0"/>
            <a:cs typeface="Times New Roman" panose="02020603050405020304" pitchFamily="18" charset="0"/>
          </a:endParaRPr>
        </a:p>
        <a:p>
          <a:pPr>
            <a:lnSpc>
              <a:spcPct val="107000"/>
            </a:lnSpc>
            <a:spcAft>
              <a:spcPts val="800"/>
            </a:spcAft>
          </a:pPr>
          <a:r>
            <a:rPr lang="en-CA" sz="1100">
              <a:effectLst/>
              <a:latin typeface="Times New Roman" panose="02020603050405020304" pitchFamily="18" charset="0"/>
              <a:ea typeface="Calibri" panose="020F0502020204030204" pitchFamily="34" charset="0"/>
              <a:cs typeface="Times New Roman" panose="02020603050405020304" pitchFamily="18" charset="0"/>
            </a:rPr>
            <a:t>Instruction is the process in which Alberta certificated teachers take responsibility for ensuring that learning activities for students are directed toward achieving the outcomes of approved programs of study and/or individualized program plans through</a:t>
          </a:r>
        </a:p>
        <a:p>
          <a:pPr marL="342900" lvl="0" indent="-342900">
            <a:lnSpc>
              <a:spcPct val="107000"/>
            </a:lnSpc>
            <a:buFont typeface="Symbol" panose="05050102010706020507" pitchFamily="18" charset="2"/>
            <a:buChar char=""/>
          </a:pPr>
          <a:r>
            <a:rPr lang="en-CA" sz="1100">
              <a:effectLst/>
              <a:latin typeface="Times New Roman" panose="02020603050405020304" pitchFamily="18" charset="0"/>
              <a:ea typeface="Calibri" panose="020F0502020204030204" pitchFamily="34" charset="0"/>
              <a:cs typeface="Times New Roman" panose="02020603050405020304" pitchFamily="18" charset="0"/>
            </a:rPr>
            <a:t>interaction with students, either face-to-face or through technology, for the purpose of teaching and assessing student achievement of outcomes, and/or</a:t>
          </a:r>
        </a:p>
        <a:p>
          <a:pPr marL="342900" lvl="0" indent="-342900">
            <a:lnSpc>
              <a:spcPct val="107000"/>
            </a:lnSpc>
            <a:buFont typeface="Symbol" panose="05050102010706020507" pitchFamily="18" charset="2"/>
            <a:buChar char=""/>
          </a:pPr>
          <a:r>
            <a:rPr lang="en-CA" sz="1100">
              <a:effectLst/>
              <a:latin typeface="Times New Roman" panose="02020603050405020304" pitchFamily="18" charset="0"/>
              <a:ea typeface="Calibri" panose="020F0502020204030204" pitchFamily="34" charset="0"/>
              <a:cs typeface="Times New Roman" panose="02020603050405020304" pitchFamily="18" charset="0"/>
            </a:rPr>
            <a:t>interaction with students who are engaged in classroom learning, independent study, online education and/or distance education, and/or</a:t>
          </a:r>
        </a:p>
        <a:p>
          <a:pPr marL="342900" lvl="0" indent="-342900">
            <a:lnSpc>
              <a:spcPct val="107000"/>
            </a:lnSpc>
            <a:spcAft>
              <a:spcPts val="800"/>
            </a:spcAft>
            <a:buFont typeface="Symbol" panose="05050102010706020507" pitchFamily="18" charset="2"/>
            <a:buChar char=""/>
          </a:pPr>
          <a:r>
            <a:rPr lang="en-CA" sz="1100">
              <a:effectLst/>
              <a:latin typeface="Times New Roman" panose="02020603050405020304" pitchFamily="18" charset="0"/>
              <a:ea typeface="Calibri" panose="020F0502020204030204" pitchFamily="34" charset="0"/>
              <a:cs typeface="Times New Roman" panose="02020603050405020304" pitchFamily="18" charset="0"/>
            </a:rPr>
            <a:t>supervision of student workplace learning</a:t>
          </a:r>
        </a:p>
        <a:p>
          <a:pPr>
            <a:lnSpc>
              <a:spcPct val="107000"/>
            </a:lnSpc>
            <a:spcAft>
              <a:spcPts val="800"/>
            </a:spcAft>
          </a:pPr>
          <a:r>
            <a:rPr lang="en-CA" sz="1100" b="1">
              <a:effectLst/>
              <a:latin typeface="Times New Roman" panose="02020603050405020304" pitchFamily="18" charset="0"/>
              <a:ea typeface="Calibri" panose="020F0502020204030204" pitchFamily="34" charset="0"/>
              <a:cs typeface="Times New Roman" panose="02020603050405020304" pitchFamily="18" charset="0"/>
            </a:rPr>
            <a:t>Instructional Time: Grade 1 to Grade 9</a:t>
          </a:r>
          <a:endParaRPr lang="en-CA" sz="1100">
            <a:effectLst/>
            <a:latin typeface="Times New Roman" panose="02020603050405020304" pitchFamily="18" charset="0"/>
            <a:ea typeface="Calibri" panose="020F0502020204030204" pitchFamily="34" charset="0"/>
            <a:cs typeface="Times New Roman" panose="02020603050405020304" pitchFamily="18" charset="0"/>
          </a:endParaRPr>
        </a:p>
        <a:p>
          <a:pPr>
            <a:lnSpc>
              <a:spcPct val="107000"/>
            </a:lnSpc>
            <a:spcAft>
              <a:spcPts val="800"/>
            </a:spcAft>
          </a:pPr>
          <a:r>
            <a:rPr lang="en-CA" sz="1100">
              <a:effectLst/>
              <a:latin typeface="Times New Roman" panose="02020603050405020304" pitchFamily="18" charset="0"/>
              <a:ea typeface="Calibri" panose="020F0502020204030204" pitchFamily="34" charset="0"/>
              <a:cs typeface="Times New Roman" panose="02020603050405020304" pitchFamily="18" charset="0"/>
            </a:rPr>
            <a:t>Instructional time includes time scheduled for purposes of instruction, examinations/testing and other student activities where direct student–teacher interaction and supervision are maintained.</a:t>
          </a:r>
        </a:p>
        <a:p>
          <a:pPr>
            <a:lnSpc>
              <a:spcPct val="107000"/>
            </a:lnSpc>
            <a:spcAft>
              <a:spcPts val="800"/>
            </a:spcAft>
          </a:pPr>
          <a:r>
            <a:rPr lang="en-CA" sz="1100">
              <a:effectLst/>
              <a:latin typeface="Times New Roman" panose="02020603050405020304" pitchFamily="18" charset="0"/>
              <a:ea typeface="Calibri" panose="020F0502020204030204" pitchFamily="34" charset="0"/>
              <a:cs typeface="Times New Roman" panose="02020603050405020304" pitchFamily="18" charset="0"/>
            </a:rPr>
            <a:t>Instructional time does not include</a:t>
          </a:r>
        </a:p>
        <a:p>
          <a:pPr marL="342900" lvl="0" indent="-342900">
            <a:lnSpc>
              <a:spcPct val="107000"/>
            </a:lnSpc>
            <a:buFont typeface="Symbol" panose="05050102010706020507" pitchFamily="18" charset="2"/>
            <a:buChar char=""/>
          </a:pPr>
          <a:r>
            <a:rPr lang="en-CA" sz="1100">
              <a:effectLst/>
              <a:latin typeface="Times New Roman" panose="02020603050405020304" pitchFamily="18" charset="0"/>
              <a:ea typeface="Calibri" panose="020F0502020204030204" pitchFamily="34" charset="0"/>
              <a:cs typeface="Times New Roman" panose="02020603050405020304" pitchFamily="18" charset="0"/>
            </a:rPr>
            <a:t>teacher convention days</a:t>
          </a:r>
        </a:p>
        <a:p>
          <a:pPr marL="342900" lvl="0" indent="-342900">
            <a:lnSpc>
              <a:spcPct val="107000"/>
            </a:lnSpc>
            <a:buFont typeface="Symbol" panose="05050102010706020507" pitchFamily="18" charset="2"/>
            <a:buChar char=""/>
          </a:pPr>
          <a:r>
            <a:rPr lang="en-CA" sz="1100">
              <a:effectLst/>
              <a:latin typeface="Times New Roman" panose="02020603050405020304" pitchFamily="18" charset="0"/>
              <a:ea typeface="Calibri" panose="020F0502020204030204" pitchFamily="34" charset="0"/>
              <a:cs typeface="Times New Roman" panose="02020603050405020304" pitchFamily="18" charset="0"/>
            </a:rPr>
            <a:t>professional development days</a:t>
          </a:r>
        </a:p>
        <a:p>
          <a:pPr marL="342900" lvl="0" indent="-342900">
            <a:lnSpc>
              <a:spcPct val="107000"/>
            </a:lnSpc>
            <a:buFont typeface="Symbol" panose="05050102010706020507" pitchFamily="18" charset="2"/>
            <a:buChar char=""/>
          </a:pPr>
          <a:r>
            <a:rPr lang="en-CA" sz="1100">
              <a:effectLst/>
              <a:latin typeface="Times New Roman" panose="02020603050405020304" pitchFamily="18" charset="0"/>
              <a:ea typeface="Calibri" panose="020F0502020204030204" pitchFamily="34" charset="0"/>
              <a:cs typeface="Times New Roman" panose="02020603050405020304" pitchFamily="18" charset="0"/>
            </a:rPr>
            <a:t>parent–teacher interview days</a:t>
          </a:r>
        </a:p>
        <a:p>
          <a:pPr marL="342900" lvl="0" indent="-342900">
            <a:lnSpc>
              <a:spcPct val="107000"/>
            </a:lnSpc>
            <a:buFont typeface="Symbol" panose="05050102010706020507" pitchFamily="18" charset="2"/>
            <a:buChar char=""/>
          </a:pPr>
          <a:r>
            <a:rPr lang="en-CA" sz="1100">
              <a:effectLst/>
              <a:latin typeface="Times New Roman" panose="02020603050405020304" pitchFamily="18" charset="0"/>
              <a:ea typeface="Calibri" panose="020F0502020204030204" pitchFamily="34" charset="0"/>
              <a:cs typeface="Times New Roman" panose="02020603050405020304" pitchFamily="18" charset="0"/>
            </a:rPr>
            <a:t>teacher planning days</a:t>
          </a:r>
        </a:p>
        <a:p>
          <a:pPr marL="342900" lvl="0" indent="-342900">
            <a:lnSpc>
              <a:spcPct val="107000"/>
            </a:lnSpc>
            <a:buFont typeface="Symbol" panose="05050102010706020507" pitchFamily="18" charset="2"/>
            <a:buChar char=""/>
          </a:pPr>
          <a:r>
            <a:rPr lang="en-CA" sz="1100">
              <a:effectLst/>
              <a:latin typeface="Times New Roman" panose="02020603050405020304" pitchFamily="18" charset="0"/>
              <a:ea typeface="Calibri" panose="020F0502020204030204" pitchFamily="34" charset="0"/>
              <a:cs typeface="Times New Roman" panose="02020603050405020304" pitchFamily="18" charset="0"/>
            </a:rPr>
            <a:t>staff meetings</a:t>
          </a:r>
        </a:p>
        <a:p>
          <a:pPr marL="342900" lvl="0" indent="-342900">
            <a:lnSpc>
              <a:spcPct val="107000"/>
            </a:lnSpc>
            <a:buFont typeface="Symbol" panose="05050102010706020507" pitchFamily="18" charset="2"/>
            <a:buChar char=""/>
          </a:pPr>
          <a:r>
            <a:rPr lang="en-CA" sz="1100">
              <a:effectLst/>
              <a:latin typeface="Times New Roman" panose="02020603050405020304" pitchFamily="18" charset="0"/>
              <a:ea typeface="Calibri" panose="020F0502020204030204" pitchFamily="34" charset="0"/>
              <a:cs typeface="Times New Roman" panose="02020603050405020304" pitchFamily="18" charset="0"/>
            </a:rPr>
            <a:t>statutory and school authority–declared holidays</a:t>
          </a:r>
        </a:p>
        <a:p>
          <a:pPr marL="342900" lvl="0" indent="-342900">
            <a:lnSpc>
              <a:spcPct val="107000"/>
            </a:lnSpc>
            <a:buFont typeface="Symbol" panose="05050102010706020507" pitchFamily="18" charset="2"/>
            <a:buChar char=""/>
          </a:pPr>
          <a:r>
            <a:rPr lang="en-CA" sz="1100">
              <a:effectLst/>
              <a:latin typeface="Times New Roman" panose="02020603050405020304" pitchFamily="18" charset="0"/>
              <a:ea typeface="Calibri" panose="020F0502020204030204" pitchFamily="34" charset="0"/>
              <a:cs typeface="Times New Roman" panose="02020603050405020304" pitchFamily="18" charset="0"/>
            </a:rPr>
            <a:t>lunch breaks</a:t>
          </a:r>
        </a:p>
        <a:p>
          <a:pPr marL="342900" lvl="0" indent="-342900">
            <a:lnSpc>
              <a:spcPct val="107000"/>
            </a:lnSpc>
            <a:buFont typeface="Symbol" panose="05050102010706020507" pitchFamily="18" charset="2"/>
            <a:buChar char=""/>
          </a:pPr>
          <a:r>
            <a:rPr lang="en-CA" sz="1100">
              <a:effectLst/>
              <a:latin typeface="Times New Roman" panose="02020603050405020304" pitchFamily="18" charset="0"/>
              <a:ea typeface="Calibri" panose="020F0502020204030204" pitchFamily="34" charset="0"/>
              <a:cs typeface="Times New Roman" panose="02020603050405020304" pitchFamily="18" charset="0"/>
            </a:rPr>
            <a:t>breaks between classes</a:t>
          </a:r>
        </a:p>
        <a:p>
          <a:pPr marL="342900" lvl="0" indent="-342900">
            <a:lnSpc>
              <a:spcPct val="107000"/>
            </a:lnSpc>
            <a:buFont typeface="Symbol" panose="05050102010706020507" pitchFamily="18" charset="2"/>
            <a:buChar char=""/>
          </a:pPr>
          <a:r>
            <a:rPr lang="en-CA" sz="1100">
              <a:effectLst/>
              <a:latin typeface="Times New Roman" panose="02020603050405020304" pitchFamily="18" charset="0"/>
              <a:ea typeface="Calibri" panose="020F0502020204030204" pitchFamily="34" charset="0"/>
              <a:cs typeface="Times New Roman" panose="02020603050405020304" pitchFamily="18" charset="0"/>
            </a:rPr>
            <a:t>recesses</a:t>
          </a:r>
        </a:p>
        <a:p>
          <a:pPr marL="342900" lvl="0" indent="-342900">
            <a:lnSpc>
              <a:spcPct val="107000"/>
            </a:lnSpc>
            <a:buFont typeface="Symbol" panose="05050102010706020507" pitchFamily="18" charset="2"/>
            <a:buChar char=""/>
          </a:pPr>
          <a:r>
            <a:rPr lang="en-CA" sz="1100">
              <a:effectLst/>
              <a:latin typeface="Times New Roman" panose="02020603050405020304" pitchFamily="18" charset="0"/>
              <a:ea typeface="Calibri" panose="020F0502020204030204" pitchFamily="34" charset="0"/>
              <a:cs typeface="Times New Roman" panose="02020603050405020304" pitchFamily="18" charset="0"/>
            </a:rPr>
            <a:t>time taken for the registration of students</a:t>
          </a:r>
        </a:p>
        <a:p>
          <a:pPr marL="342900" lvl="0" indent="-342900">
            <a:lnSpc>
              <a:spcPct val="107000"/>
            </a:lnSpc>
            <a:buFont typeface="Symbol" panose="05050102010706020507" pitchFamily="18" charset="2"/>
            <a:buChar char=""/>
          </a:pPr>
          <a:r>
            <a:rPr lang="en-CA" sz="1100">
              <a:effectLst/>
              <a:latin typeface="Times New Roman" panose="02020603050405020304" pitchFamily="18" charset="0"/>
              <a:ea typeface="Calibri" panose="020F0502020204030204" pitchFamily="34" charset="0"/>
              <a:cs typeface="Times New Roman" panose="02020603050405020304" pitchFamily="18" charset="0"/>
            </a:rPr>
            <a:t>extracurricular activities</a:t>
          </a:r>
        </a:p>
        <a:p>
          <a:endParaRPr lang="en-CA" sz="1100"/>
        </a:p>
      </xdr:txBody>
    </xdr:sp>
    <xdr:clientData/>
  </xdr:twoCellAnchor>
  <xdr:twoCellAnchor>
    <xdr:from>
      <xdr:col>1</xdr:col>
      <xdr:colOff>22860</xdr:colOff>
      <xdr:row>93</xdr:row>
      <xdr:rowOff>13336</xdr:rowOff>
    </xdr:from>
    <xdr:to>
      <xdr:col>16</xdr:col>
      <xdr:colOff>535860</xdr:colOff>
      <xdr:row>120</xdr:row>
      <xdr:rowOff>22860</xdr:rowOff>
    </xdr:to>
    <xdr:sp macro="" textlink="">
      <xdr:nvSpPr>
        <xdr:cNvPr id="5" name="TextBox 4">
          <a:extLst>
            <a:ext uri="{FF2B5EF4-FFF2-40B4-BE49-F238E27FC236}">
              <a16:creationId xmlns:a16="http://schemas.microsoft.com/office/drawing/2014/main" id="{3021E71A-1966-EEC7-538C-EC1DD492CEB5}"/>
            </a:ext>
          </a:extLst>
        </xdr:cNvPr>
        <xdr:cNvSpPr txBox="1"/>
      </xdr:nvSpPr>
      <xdr:spPr>
        <a:xfrm>
          <a:off x="632460" y="17066896"/>
          <a:ext cx="9657000" cy="49472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7000"/>
            </a:lnSpc>
            <a:spcAft>
              <a:spcPts val="800"/>
            </a:spcAft>
          </a:pPr>
          <a:r>
            <a:rPr lang="en-CA" sz="1100" b="1">
              <a:effectLst/>
              <a:latin typeface="Times New Roman" panose="02020603050405020304" pitchFamily="18" charset="0"/>
              <a:ea typeface="Calibri" panose="020F0502020204030204" pitchFamily="34" charset="0"/>
              <a:cs typeface="Times New Roman" panose="02020603050405020304" pitchFamily="18" charset="0"/>
            </a:rPr>
            <a:t>Definition of Instruction: Grade 10 to Grade 12</a:t>
          </a:r>
          <a:endParaRPr lang="en-CA" sz="1100">
            <a:effectLst/>
            <a:latin typeface="Times New Roman" panose="02020603050405020304" pitchFamily="18" charset="0"/>
            <a:ea typeface="Calibri" panose="020F0502020204030204" pitchFamily="34" charset="0"/>
            <a:cs typeface="Times New Roman" panose="02020603050405020304" pitchFamily="18" charset="0"/>
          </a:endParaRPr>
        </a:p>
        <a:p>
          <a:pPr>
            <a:lnSpc>
              <a:spcPct val="107000"/>
            </a:lnSpc>
            <a:spcAft>
              <a:spcPts val="800"/>
            </a:spcAft>
          </a:pPr>
          <a:r>
            <a:rPr lang="en-CA" sz="1100">
              <a:effectLst/>
              <a:latin typeface="Times New Roman" panose="02020603050405020304" pitchFamily="18" charset="0"/>
              <a:ea typeface="Calibri" panose="020F0502020204030204" pitchFamily="34" charset="0"/>
              <a:cs typeface="Times New Roman" panose="02020603050405020304" pitchFamily="18" charset="0"/>
            </a:rPr>
            <a:t>Instruction is the process in which Alberta certificated teachers take responsibility for ensuring that learning activities for students are directed toward achieving the outcomes of approved programs of study and/or individualized program plans/instructional support plans through</a:t>
          </a:r>
        </a:p>
        <a:p>
          <a:pPr marL="342900" lvl="0" indent="-342900">
            <a:lnSpc>
              <a:spcPct val="107000"/>
            </a:lnSpc>
            <a:buFont typeface="Symbol" panose="05050102010706020507" pitchFamily="18" charset="2"/>
            <a:buChar char=""/>
          </a:pPr>
          <a:r>
            <a:rPr lang="en-CA" sz="1100">
              <a:effectLst/>
              <a:latin typeface="Times New Roman" panose="02020603050405020304" pitchFamily="18" charset="0"/>
              <a:ea typeface="Calibri" panose="020F0502020204030204" pitchFamily="34" charset="0"/>
              <a:cs typeface="Times New Roman" panose="02020603050405020304" pitchFamily="18" charset="0"/>
            </a:rPr>
            <a:t>interaction with students, either face-to-face or through technology, for the purpose of teaching and assessing student achievement of outcomes, and/or</a:t>
          </a:r>
        </a:p>
        <a:p>
          <a:pPr marL="342900" lvl="0" indent="-342900">
            <a:lnSpc>
              <a:spcPct val="107000"/>
            </a:lnSpc>
            <a:buFont typeface="Symbol" panose="05050102010706020507" pitchFamily="18" charset="2"/>
            <a:buChar char=""/>
          </a:pPr>
          <a:r>
            <a:rPr lang="en-CA" sz="1100">
              <a:effectLst/>
              <a:latin typeface="Times New Roman" panose="02020603050405020304" pitchFamily="18" charset="0"/>
              <a:ea typeface="Calibri" panose="020F0502020204030204" pitchFamily="34" charset="0"/>
              <a:cs typeface="Times New Roman" panose="02020603050405020304" pitchFamily="18" charset="0"/>
            </a:rPr>
            <a:t>interaction with students who are engaged in classroom learning, independent study, online education and/or distance education, and/or</a:t>
          </a:r>
        </a:p>
        <a:p>
          <a:pPr marL="342900" lvl="0" indent="-342900">
            <a:lnSpc>
              <a:spcPct val="107000"/>
            </a:lnSpc>
            <a:spcAft>
              <a:spcPts val="800"/>
            </a:spcAft>
            <a:buFont typeface="Symbol" panose="05050102010706020507" pitchFamily="18" charset="2"/>
            <a:buChar char=""/>
          </a:pPr>
          <a:r>
            <a:rPr lang="en-CA" sz="1100">
              <a:effectLst/>
              <a:latin typeface="Times New Roman" panose="02020603050405020304" pitchFamily="18" charset="0"/>
              <a:ea typeface="Calibri" panose="020F0502020204030204" pitchFamily="34" charset="0"/>
              <a:cs typeface="Times New Roman" panose="02020603050405020304" pitchFamily="18" charset="0"/>
            </a:rPr>
            <a:t>supervision of student workplace learning</a:t>
          </a:r>
        </a:p>
        <a:p>
          <a:pPr>
            <a:lnSpc>
              <a:spcPct val="107000"/>
            </a:lnSpc>
            <a:spcAft>
              <a:spcPts val="800"/>
            </a:spcAft>
          </a:pPr>
          <a:r>
            <a:rPr lang="en-CA" sz="1100" b="1">
              <a:effectLst/>
              <a:latin typeface="Times New Roman" panose="02020603050405020304" pitchFamily="18" charset="0"/>
              <a:ea typeface="Calibri" panose="020F0502020204030204" pitchFamily="34" charset="0"/>
              <a:cs typeface="Times New Roman" panose="02020603050405020304" pitchFamily="18" charset="0"/>
            </a:rPr>
            <a:t>Instructional Time: Grade 10 to Grade 12</a:t>
          </a:r>
          <a:endParaRPr lang="en-CA" sz="1100">
            <a:effectLst/>
            <a:latin typeface="Times New Roman" panose="02020603050405020304" pitchFamily="18" charset="0"/>
            <a:ea typeface="Calibri" panose="020F0502020204030204" pitchFamily="34" charset="0"/>
            <a:cs typeface="Times New Roman" panose="02020603050405020304" pitchFamily="18" charset="0"/>
          </a:endParaRPr>
        </a:p>
        <a:p>
          <a:pPr>
            <a:lnSpc>
              <a:spcPct val="107000"/>
            </a:lnSpc>
            <a:spcAft>
              <a:spcPts val="800"/>
            </a:spcAft>
          </a:pPr>
          <a:r>
            <a:rPr lang="en-CA" sz="1100">
              <a:effectLst/>
              <a:latin typeface="Times New Roman" panose="02020603050405020304" pitchFamily="18" charset="0"/>
              <a:ea typeface="Calibri" panose="020F0502020204030204" pitchFamily="34" charset="0"/>
              <a:cs typeface="Times New Roman" panose="02020603050405020304" pitchFamily="18" charset="0"/>
            </a:rPr>
            <a:t>Instructional time includes time scheduled for purposes of instruction, examinations/testing and other student activities where direct student–teacher interaction and supervision are maintained.</a:t>
          </a:r>
        </a:p>
        <a:p>
          <a:pPr>
            <a:lnSpc>
              <a:spcPct val="107000"/>
            </a:lnSpc>
            <a:spcAft>
              <a:spcPts val="800"/>
            </a:spcAft>
          </a:pPr>
          <a:r>
            <a:rPr lang="en-CA" sz="1100">
              <a:effectLst/>
              <a:latin typeface="Times New Roman" panose="02020603050405020304" pitchFamily="18" charset="0"/>
              <a:ea typeface="Calibri" panose="020F0502020204030204" pitchFamily="34" charset="0"/>
              <a:cs typeface="Times New Roman" panose="02020603050405020304" pitchFamily="18" charset="0"/>
            </a:rPr>
            <a:t>Instructional time does not include</a:t>
          </a:r>
        </a:p>
        <a:p>
          <a:pPr marL="342900" lvl="0" indent="-342900">
            <a:lnSpc>
              <a:spcPct val="107000"/>
            </a:lnSpc>
            <a:buFont typeface="Symbol" panose="05050102010706020507" pitchFamily="18" charset="2"/>
            <a:buChar char=""/>
          </a:pPr>
          <a:r>
            <a:rPr lang="en-CA" sz="1100">
              <a:effectLst/>
              <a:latin typeface="Times New Roman" panose="02020603050405020304" pitchFamily="18" charset="0"/>
              <a:ea typeface="Calibri" panose="020F0502020204030204" pitchFamily="34" charset="0"/>
              <a:cs typeface="Times New Roman" panose="02020603050405020304" pitchFamily="18" charset="0"/>
            </a:rPr>
            <a:t>teacher convention days</a:t>
          </a:r>
        </a:p>
        <a:p>
          <a:pPr marL="342900" lvl="0" indent="-342900">
            <a:lnSpc>
              <a:spcPct val="107000"/>
            </a:lnSpc>
            <a:buFont typeface="Symbol" panose="05050102010706020507" pitchFamily="18" charset="2"/>
            <a:buChar char=""/>
          </a:pPr>
          <a:r>
            <a:rPr lang="en-CA" sz="1100">
              <a:effectLst/>
              <a:latin typeface="Times New Roman" panose="02020603050405020304" pitchFamily="18" charset="0"/>
              <a:ea typeface="Calibri" panose="020F0502020204030204" pitchFamily="34" charset="0"/>
              <a:cs typeface="Times New Roman" panose="02020603050405020304" pitchFamily="18" charset="0"/>
            </a:rPr>
            <a:t>professional development days</a:t>
          </a:r>
        </a:p>
        <a:p>
          <a:pPr marL="342900" lvl="0" indent="-342900">
            <a:lnSpc>
              <a:spcPct val="107000"/>
            </a:lnSpc>
            <a:buFont typeface="Symbol" panose="05050102010706020507" pitchFamily="18" charset="2"/>
            <a:buChar char=""/>
          </a:pPr>
          <a:r>
            <a:rPr lang="en-CA" sz="1100">
              <a:effectLst/>
              <a:latin typeface="Times New Roman" panose="02020603050405020304" pitchFamily="18" charset="0"/>
              <a:ea typeface="Calibri" panose="020F0502020204030204" pitchFamily="34" charset="0"/>
              <a:cs typeface="Times New Roman" panose="02020603050405020304" pitchFamily="18" charset="0"/>
            </a:rPr>
            <a:t>parent–teacher interview days</a:t>
          </a:r>
        </a:p>
        <a:p>
          <a:pPr marL="342900" lvl="0" indent="-342900">
            <a:lnSpc>
              <a:spcPct val="107000"/>
            </a:lnSpc>
            <a:buFont typeface="Symbol" panose="05050102010706020507" pitchFamily="18" charset="2"/>
            <a:buChar char=""/>
          </a:pPr>
          <a:r>
            <a:rPr lang="en-CA" sz="1100">
              <a:effectLst/>
              <a:latin typeface="Times New Roman" panose="02020603050405020304" pitchFamily="18" charset="0"/>
              <a:ea typeface="Calibri" panose="020F0502020204030204" pitchFamily="34" charset="0"/>
              <a:cs typeface="Times New Roman" panose="02020603050405020304" pitchFamily="18" charset="0"/>
            </a:rPr>
            <a:t>teacher planning days</a:t>
          </a:r>
        </a:p>
        <a:p>
          <a:pPr marL="342900" lvl="0" indent="-342900">
            <a:lnSpc>
              <a:spcPct val="107000"/>
            </a:lnSpc>
            <a:buFont typeface="Symbol" panose="05050102010706020507" pitchFamily="18" charset="2"/>
            <a:buChar char=""/>
          </a:pPr>
          <a:r>
            <a:rPr lang="en-CA" sz="1100">
              <a:effectLst/>
              <a:latin typeface="Times New Roman" panose="02020603050405020304" pitchFamily="18" charset="0"/>
              <a:ea typeface="Calibri" panose="020F0502020204030204" pitchFamily="34" charset="0"/>
              <a:cs typeface="Times New Roman" panose="02020603050405020304" pitchFamily="18" charset="0"/>
            </a:rPr>
            <a:t>staff meetings</a:t>
          </a:r>
        </a:p>
        <a:p>
          <a:pPr marL="342900" lvl="0" indent="-342900">
            <a:lnSpc>
              <a:spcPct val="107000"/>
            </a:lnSpc>
            <a:buFont typeface="Symbol" panose="05050102010706020507" pitchFamily="18" charset="2"/>
            <a:buChar char=""/>
          </a:pPr>
          <a:r>
            <a:rPr lang="en-CA" sz="1100">
              <a:effectLst/>
              <a:latin typeface="Times New Roman" panose="02020603050405020304" pitchFamily="18" charset="0"/>
              <a:ea typeface="Calibri" panose="020F0502020204030204" pitchFamily="34" charset="0"/>
              <a:cs typeface="Times New Roman" panose="02020603050405020304" pitchFamily="18" charset="0"/>
            </a:rPr>
            <a:t>statutory and school authority–declared holidays</a:t>
          </a:r>
        </a:p>
        <a:p>
          <a:pPr marL="342900" lvl="0" indent="-342900">
            <a:lnSpc>
              <a:spcPct val="107000"/>
            </a:lnSpc>
            <a:buFont typeface="Symbol" panose="05050102010706020507" pitchFamily="18" charset="2"/>
            <a:buChar char=""/>
          </a:pPr>
          <a:r>
            <a:rPr lang="en-CA" sz="1100">
              <a:effectLst/>
              <a:latin typeface="Times New Roman" panose="02020603050405020304" pitchFamily="18" charset="0"/>
              <a:ea typeface="Calibri" panose="020F0502020204030204" pitchFamily="34" charset="0"/>
              <a:cs typeface="Times New Roman" panose="02020603050405020304" pitchFamily="18" charset="0"/>
            </a:rPr>
            <a:t>lunch breaks</a:t>
          </a:r>
        </a:p>
        <a:p>
          <a:pPr marL="342900" lvl="0" indent="-342900">
            <a:lnSpc>
              <a:spcPct val="107000"/>
            </a:lnSpc>
            <a:buFont typeface="Symbol" panose="05050102010706020507" pitchFamily="18" charset="2"/>
            <a:buChar char=""/>
          </a:pPr>
          <a:r>
            <a:rPr lang="en-CA" sz="1100">
              <a:effectLst/>
              <a:latin typeface="Times New Roman" panose="02020603050405020304" pitchFamily="18" charset="0"/>
              <a:ea typeface="Calibri" panose="020F0502020204030204" pitchFamily="34" charset="0"/>
              <a:cs typeface="Times New Roman" panose="02020603050405020304" pitchFamily="18" charset="0"/>
            </a:rPr>
            <a:t>breaks between classes</a:t>
          </a:r>
        </a:p>
        <a:p>
          <a:pPr marL="342900" lvl="0" indent="-342900">
            <a:lnSpc>
              <a:spcPct val="107000"/>
            </a:lnSpc>
            <a:buFont typeface="Symbol" panose="05050102010706020507" pitchFamily="18" charset="2"/>
            <a:buChar char=""/>
          </a:pPr>
          <a:r>
            <a:rPr lang="en-CA" sz="1100">
              <a:effectLst/>
              <a:latin typeface="Times New Roman" panose="02020603050405020304" pitchFamily="18" charset="0"/>
              <a:ea typeface="Calibri" panose="020F0502020204030204" pitchFamily="34" charset="0"/>
              <a:cs typeface="Times New Roman" panose="02020603050405020304" pitchFamily="18" charset="0"/>
            </a:rPr>
            <a:t>supervised study halls</a:t>
          </a:r>
        </a:p>
        <a:p>
          <a:pPr marL="342900" lvl="0" indent="-342900">
            <a:lnSpc>
              <a:spcPct val="107000"/>
            </a:lnSpc>
            <a:buFont typeface="Symbol" panose="05050102010706020507" pitchFamily="18" charset="2"/>
            <a:buChar char=""/>
          </a:pPr>
          <a:r>
            <a:rPr lang="en-CA" sz="1100">
              <a:effectLst/>
              <a:latin typeface="Times New Roman" panose="02020603050405020304" pitchFamily="18" charset="0"/>
              <a:ea typeface="Calibri" panose="020F0502020204030204" pitchFamily="34" charset="0"/>
              <a:cs typeface="Times New Roman" panose="02020603050405020304" pitchFamily="18" charset="0"/>
            </a:rPr>
            <a:t>time taken for the registration of students</a:t>
          </a:r>
        </a:p>
        <a:p>
          <a:pPr marL="342900" lvl="0" indent="-342900">
            <a:lnSpc>
              <a:spcPct val="107000"/>
            </a:lnSpc>
            <a:buFont typeface="Symbol" panose="05050102010706020507" pitchFamily="18" charset="2"/>
            <a:buChar char=""/>
          </a:pPr>
          <a:r>
            <a:rPr lang="en-CA" sz="1100">
              <a:effectLst/>
              <a:latin typeface="Times New Roman" panose="02020603050405020304" pitchFamily="18" charset="0"/>
              <a:ea typeface="Calibri" panose="020F0502020204030204" pitchFamily="34" charset="0"/>
              <a:cs typeface="Times New Roman" panose="02020603050405020304" pitchFamily="18" charset="0"/>
            </a:rPr>
            <a:t>extracurricular activities</a:t>
          </a:r>
        </a:p>
        <a:p>
          <a:pPr marL="342900" lvl="0" indent="-342900">
            <a:lnSpc>
              <a:spcPct val="107000"/>
            </a:lnSpc>
            <a:spcAft>
              <a:spcPts val="800"/>
            </a:spcAft>
            <a:buFont typeface="Symbol" panose="05050102010706020507" pitchFamily="18" charset="2"/>
            <a:buChar char=""/>
          </a:pPr>
          <a:r>
            <a:rPr lang="en-CA" sz="1100">
              <a:effectLst/>
              <a:latin typeface="Times New Roman" panose="02020603050405020304" pitchFamily="18" charset="0"/>
              <a:ea typeface="Calibri" panose="020F0502020204030204" pitchFamily="34" charset="0"/>
              <a:cs typeface="Times New Roman" panose="02020603050405020304" pitchFamily="18" charset="0"/>
            </a:rPr>
            <a:t>graduation/commencement rehearsals and ceremonies</a:t>
          </a:r>
        </a:p>
        <a:p>
          <a:endParaRPr lang="en-CA"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723900</xdr:colOff>
      <xdr:row>5</xdr:row>
      <xdr:rowOff>19050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123825" y="0"/>
          <a:ext cx="5143500" cy="1028700"/>
        </a:xfrm>
        <a:prstGeom prst="rect">
          <a:avLst/>
        </a:prstGeom>
      </xdr:spPr>
    </xdr:pic>
    <xdr:clientData/>
  </xdr:twoCellAnchor>
  <xdr:twoCellAnchor>
    <xdr:from>
      <xdr:col>1</xdr:col>
      <xdr:colOff>9525</xdr:colOff>
      <xdr:row>5</xdr:row>
      <xdr:rowOff>66675</xdr:rowOff>
    </xdr:from>
    <xdr:to>
      <xdr:col>7</xdr:col>
      <xdr:colOff>1409700</xdr:colOff>
      <xdr:row>8</xdr:row>
      <xdr:rowOff>9525</xdr:rowOff>
    </xdr:to>
    <xdr:sp macro="" textlink="">
      <xdr:nvSpPr>
        <xdr:cNvPr id="2" name="TextBox 1">
          <a:extLst>
            <a:ext uri="{FF2B5EF4-FFF2-40B4-BE49-F238E27FC236}">
              <a16:creationId xmlns:a16="http://schemas.microsoft.com/office/drawing/2014/main" id="{64CA9919-CDC6-7280-1574-D38D2A062834}"/>
            </a:ext>
          </a:extLst>
        </xdr:cNvPr>
        <xdr:cNvSpPr txBox="1"/>
      </xdr:nvSpPr>
      <xdr:spPr>
        <a:xfrm>
          <a:off x="133350" y="1114425"/>
          <a:ext cx="10134600" cy="5715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latin typeface="Times New Roman" panose="02020603050405020304" pitchFamily="18" charset="0"/>
              <a:cs typeface="Times New Roman" panose="02020603050405020304" pitchFamily="18" charset="0"/>
            </a:rPr>
            <a:t>Identify</a:t>
          </a:r>
          <a:r>
            <a:rPr lang="en-CA" sz="1100" baseline="0">
              <a:latin typeface="Times New Roman" panose="02020603050405020304" pitchFamily="18" charset="0"/>
              <a:cs typeface="Times New Roman" panose="02020603050405020304" pitchFamily="18" charset="0"/>
            </a:rPr>
            <a:t> each non-instructional day by selecting the down arrow and scrolling down to the appropriate type of day. If you make a mistake and need to remove an entry, simply select it and hit delete on your keyboard.</a:t>
          </a:r>
          <a:endParaRPr lang="en-CA" sz="1100">
            <a:latin typeface="Times New Roman" panose="02020603050405020304" pitchFamily="18" charset="0"/>
            <a:cs typeface="Times New Roman" panose="02020603050405020304" pitchFamily="18"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685799</xdr:colOff>
      <xdr:row>5</xdr:row>
      <xdr:rowOff>0</xdr:rowOff>
    </xdr:from>
    <xdr:to>
      <xdr:col>11</xdr:col>
      <xdr:colOff>9524</xdr:colOff>
      <xdr:row>10</xdr:row>
      <xdr:rowOff>9525</xdr:rowOff>
    </xdr:to>
    <xdr:sp macro="" textlink="">
      <xdr:nvSpPr>
        <xdr:cNvPr id="2" name="TextBox 1">
          <a:extLst>
            <a:ext uri="{FF2B5EF4-FFF2-40B4-BE49-F238E27FC236}">
              <a16:creationId xmlns:a16="http://schemas.microsoft.com/office/drawing/2014/main" id="{50431A1A-FED5-41B5-96C7-EE365EDE1AAA}"/>
            </a:ext>
          </a:extLst>
        </xdr:cNvPr>
        <xdr:cNvSpPr txBox="1"/>
      </xdr:nvSpPr>
      <xdr:spPr>
        <a:xfrm>
          <a:off x="685799" y="209550"/>
          <a:ext cx="9915525" cy="1057275"/>
        </a:xfrm>
        <a:prstGeom prst="rect">
          <a:avLst/>
        </a:prstGeom>
        <a:solidFill>
          <a:srgbClr val="EACD4D"/>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i="0" u="none" strike="noStrike">
              <a:solidFill>
                <a:schemeClr val="dk1"/>
              </a:solidFill>
              <a:effectLst/>
              <a:latin typeface="Times New Roman" panose="02020603050405020304" pitchFamily="18" charset="0"/>
              <a:ea typeface="+mn-ea"/>
              <a:cs typeface="Times New Roman" panose="02020603050405020304" pitchFamily="18" charset="0"/>
            </a:rPr>
            <a:t>Instructions</a:t>
          </a:r>
          <a:r>
            <a:rPr lang="en-CA" b="1">
              <a:latin typeface="Times New Roman" panose="02020603050405020304" pitchFamily="18" charset="0"/>
              <a:cs typeface="Times New Roman" panose="02020603050405020304" pitchFamily="18" charset="0"/>
            </a:rPr>
            <a:t> </a:t>
          </a:r>
          <a:br>
            <a:rPr lang="en-CA" b="1">
              <a:latin typeface="Times New Roman" panose="02020603050405020304" pitchFamily="18" charset="0"/>
              <a:cs typeface="Times New Roman" panose="02020603050405020304" pitchFamily="18" charset="0"/>
            </a:rPr>
          </a:br>
          <a:r>
            <a:rPr lang="en-CA" b="0">
              <a:latin typeface="Times New Roman" panose="02020603050405020304" pitchFamily="18" charset="0"/>
              <a:cs typeface="Times New Roman" panose="02020603050405020304" pitchFamily="18" charset="0"/>
            </a:rPr>
            <a:t>Use</a:t>
          </a:r>
          <a:r>
            <a:rPr lang="en-CA" b="0" baseline="0">
              <a:latin typeface="Times New Roman" panose="02020603050405020304" pitchFamily="18" charset="0"/>
              <a:cs typeface="Times New Roman" panose="02020603050405020304" pitchFamily="18" charset="0"/>
            </a:rPr>
            <a:t> this page to keep track of extra things that come up during the year. This could include (but is not limited to) covering a colleague's class, covering supervision duties for a colleague, an emergent meeting that comes up, periodic regularly scheduled meetings, etc.  </a:t>
          </a:r>
          <a:r>
            <a:rPr lang="en-CA" sz="1100" b="0" i="0" u="none" strike="noStrike">
              <a:solidFill>
                <a:schemeClr val="dk1"/>
              </a:solidFill>
              <a:effectLst/>
              <a:latin typeface="Times New Roman" panose="02020603050405020304" pitchFamily="18" charset="0"/>
              <a:ea typeface="+mn-ea"/>
              <a:cs typeface="Times New Roman" panose="02020603050405020304" pitchFamily="18" charset="0"/>
            </a:rPr>
            <a:t>Enter the date, the start and end time for each activity on each day in the tables below. Next, select the activity type from the drop down menu in the Activity cell.</a:t>
          </a:r>
          <a:r>
            <a:rPr lang="en-CA">
              <a:latin typeface="Times New Roman" panose="02020603050405020304" pitchFamily="18" charset="0"/>
              <a:cs typeface="Times New Roman" panose="02020603050405020304" pitchFamily="18" charset="0"/>
            </a:rPr>
            <a:t>  Enter the</a:t>
          </a:r>
          <a:r>
            <a:rPr lang="en-CA" baseline="0">
              <a:latin typeface="Times New Roman" panose="02020603050405020304" pitchFamily="18" charset="0"/>
              <a:cs typeface="Times New Roman" panose="02020603050405020304" pitchFamily="18" charset="0"/>
            </a:rPr>
            <a:t> times using the 24:00 hour format. For example, 1:30 PM is entered as 13:30. </a:t>
          </a:r>
          <a:r>
            <a:rPr lang="en-CA" sz="1100" baseline="0">
              <a:solidFill>
                <a:schemeClr val="dk1"/>
              </a:solidFill>
              <a:effectLst/>
              <a:latin typeface="Times New Roman" panose="02020603050405020304" pitchFamily="18" charset="0"/>
              <a:ea typeface="+mn-ea"/>
              <a:cs typeface="Times New Roman" panose="02020603050405020304" pitchFamily="18" charset="0"/>
            </a:rPr>
            <a:t>Alternatively, you can enter it as 1:30 PM (including the PM is necessary)</a:t>
          </a:r>
          <a:endParaRPr lang="en-CA" sz="1100">
            <a:latin typeface="Times New Roman" panose="02020603050405020304" pitchFamily="18" charset="0"/>
            <a:cs typeface="Times New Roman" panose="02020603050405020304" pitchFamily="18" charset="0"/>
          </a:endParaRPr>
        </a:p>
      </xdr:txBody>
    </xdr:sp>
    <xdr:clientData/>
  </xdr:twoCellAnchor>
  <xdr:twoCellAnchor editAs="oneCell">
    <xdr:from>
      <xdr:col>0</xdr:col>
      <xdr:colOff>0</xdr:colOff>
      <xdr:row>0</xdr:row>
      <xdr:rowOff>0</xdr:rowOff>
    </xdr:from>
    <xdr:to>
      <xdr:col>5</xdr:col>
      <xdr:colOff>1215390</xdr:colOff>
      <xdr:row>5</xdr:row>
      <xdr:rowOff>1905</xdr:rowOff>
    </xdr:to>
    <xdr:pic>
      <xdr:nvPicPr>
        <xdr:cNvPr id="4" name="Picture 3">
          <a:extLst>
            <a:ext uri="{FF2B5EF4-FFF2-40B4-BE49-F238E27FC236}">
              <a16:creationId xmlns:a16="http://schemas.microsoft.com/office/drawing/2014/main" id="{B03AA5B8-F738-4B83-B41D-BF910180ACF6}"/>
            </a:ext>
          </a:extLst>
        </xdr:cNvPr>
        <xdr:cNvPicPr>
          <a:picLocks noChangeAspect="1"/>
        </xdr:cNvPicPr>
      </xdr:nvPicPr>
      <xdr:blipFill>
        <a:blip xmlns:r="http://schemas.openxmlformats.org/officeDocument/2006/relationships" r:embed="rId1"/>
        <a:stretch>
          <a:fillRect/>
        </a:stretch>
      </xdr:blipFill>
      <xdr:spPr>
        <a:xfrm>
          <a:off x="0" y="0"/>
          <a:ext cx="5273040" cy="10382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5</xdr:col>
      <xdr:colOff>72390</xdr:colOff>
      <xdr:row>5</xdr:row>
      <xdr:rowOff>19050</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stretch>
          <a:fillRect/>
        </a:stretch>
      </xdr:blipFill>
      <xdr:spPr>
        <a:xfrm>
          <a:off x="0" y="28575"/>
          <a:ext cx="5143500" cy="1028700"/>
        </a:xfrm>
        <a:prstGeom prst="rect">
          <a:avLst/>
        </a:prstGeom>
      </xdr:spPr>
    </xdr:pic>
    <xdr:clientData/>
  </xdr:twoCellAnchor>
  <xdr:twoCellAnchor>
    <xdr:from>
      <xdr:col>1</xdr:col>
      <xdr:colOff>0</xdr:colOff>
      <xdr:row>5</xdr:row>
      <xdr:rowOff>0</xdr:rowOff>
    </xdr:from>
    <xdr:to>
      <xdr:col>9</xdr:col>
      <xdr:colOff>781050</xdr:colOff>
      <xdr:row>10</xdr:row>
      <xdr:rowOff>190499</xdr:rowOff>
    </xdr:to>
    <xdr:sp macro="" textlink="">
      <xdr:nvSpPr>
        <xdr:cNvPr id="3" name="TextBox 2">
          <a:extLst>
            <a:ext uri="{FF2B5EF4-FFF2-40B4-BE49-F238E27FC236}">
              <a16:creationId xmlns:a16="http://schemas.microsoft.com/office/drawing/2014/main" id="{E565F289-DEC7-4DBF-AAB9-DE63876E1C3E}"/>
            </a:ext>
          </a:extLst>
        </xdr:cNvPr>
        <xdr:cNvSpPr txBox="1"/>
      </xdr:nvSpPr>
      <xdr:spPr>
        <a:xfrm>
          <a:off x="685800" y="1047750"/>
          <a:ext cx="9829800" cy="1238249"/>
        </a:xfrm>
        <a:prstGeom prst="rect">
          <a:avLst/>
        </a:prstGeom>
        <a:solidFill>
          <a:srgbClr val="EACD4D"/>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i="0" u="none" strike="noStrike">
              <a:solidFill>
                <a:schemeClr val="dk1"/>
              </a:solidFill>
              <a:effectLst/>
              <a:latin typeface="+mn-lt"/>
              <a:ea typeface="+mn-ea"/>
              <a:cs typeface="+mn-cs"/>
            </a:rPr>
            <a:t>Instructions</a:t>
          </a:r>
          <a:r>
            <a:rPr lang="en-CA" b="1"/>
            <a:t> </a:t>
          </a:r>
          <a:br>
            <a:rPr lang="en-CA" b="1"/>
          </a:br>
          <a:r>
            <a:rPr lang="en-CA" sz="1100" b="0" i="0" u="none" strike="noStrike">
              <a:solidFill>
                <a:schemeClr val="dk1"/>
              </a:solidFill>
              <a:effectLst/>
              <a:latin typeface="+mn-lt"/>
              <a:ea typeface="+mn-ea"/>
              <a:cs typeface="+mn-cs"/>
            </a:rPr>
            <a:t>Enter the start and end time for each activity on each day in the tables below. Next, select the activity type from the drop down menu in the Activity cell.</a:t>
          </a:r>
          <a:r>
            <a:rPr lang="en-CA"/>
            <a:t>  Enter the</a:t>
          </a:r>
          <a:r>
            <a:rPr lang="en-CA" baseline="0"/>
            <a:t> times using the 24:00 hour format. For example, 1:30 PM is entered as 13:30. </a:t>
          </a:r>
          <a:r>
            <a:rPr lang="en-CA" sz="1100" baseline="0">
              <a:solidFill>
                <a:schemeClr val="dk1"/>
              </a:solidFill>
              <a:effectLst/>
              <a:latin typeface="+mn-lt"/>
              <a:ea typeface="+mn-ea"/>
              <a:cs typeface="+mn-cs"/>
            </a:rPr>
            <a:t>Alternatively, you can enter it as 1:30 PM (including the PM is necessary) </a:t>
          </a:r>
        </a:p>
        <a:p>
          <a:endParaRPr lang="en-CA">
            <a:effectLst/>
          </a:endParaRPr>
        </a:p>
        <a:p>
          <a:r>
            <a:rPr lang="en-CA" sz="1100" b="1" baseline="0">
              <a:solidFill>
                <a:schemeClr val="dk1"/>
              </a:solidFill>
              <a:effectLst/>
              <a:latin typeface="+mn-lt"/>
              <a:ea typeface="+mn-ea"/>
              <a:cs typeface="+mn-cs"/>
            </a:rPr>
            <a:t>SCROLL DOWN FOR THE EARLY DISMISSAL AND EXTRA DAY TIMETABLES</a:t>
          </a:r>
          <a:endParaRPr lang="en-CA">
            <a:effectLst/>
          </a:endParaRPr>
        </a:p>
        <a:p>
          <a:endParaRPr lang="en-CA"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5</xdr:row>
      <xdr:rowOff>1</xdr:rowOff>
    </xdr:from>
    <xdr:to>
      <xdr:col>9</xdr:col>
      <xdr:colOff>762000</xdr:colOff>
      <xdr:row>10</xdr:row>
      <xdr:rowOff>190500</xdr:rowOff>
    </xdr:to>
    <xdr:sp macro="" textlink="">
      <xdr:nvSpPr>
        <xdr:cNvPr id="2" name="TextBox 1">
          <a:extLst>
            <a:ext uri="{FF2B5EF4-FFF2-40B4-BE49-F238E27FC236}">
              <a16:creationId xmlns:a16="http://schemas.microsoft.com/office/drawing/2014/main" id="{458A4659-9ACB-4967-97A7-E1EB7884C1CA}"/>
            </a:ext>
          </a:extLst>
        </xdr:cNvPr>
        <xdr:cNvSpPr txBox="1"/>
      </xdr:nvSpPr>
      <xdr:spPr>
        <a:xfrm>
          <a:off x="685800" y="1047751"/>
          <a:ext cx="9829800" cy="1238249"/>
        </a:xfrm>
        <a:prstGeom prst="rect">
          <a:avLst/>
        </a:prstGeom>
        <a:solidFill>
          <a:srgbClr val="EACD4D"/>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i="0" u="none" strike="noStrike">
              <a:solidFill>
                <a:schemeClr val="dk1"/>
              </a:solidFill>
              <a:effectLst/>
              <a:latin typeface="+mn-lt"/>
              <a:ea typeface="+mn-ea"/>
              <a:cs typeface="+mn-cs"/>
            </a:rPr>
            <a:t>Instructions</a:t>
          </a:r>
          <a:r>
            <a:rPr lang="en-CA" b="1"/>
            <a:t> </a:t>
          </a:r>
          <a:br>
            <a:rPr lang="en-CA" b="1"/>
          </a:br>
          <a:r>
            <a:rPr lang="en-CA" sz="1100" b="0" i="0" u="none" strike="noStrike">
              <a:solidFill>
                <a:schemeClr val="dk1"/>
              </a:solidFill>
              <a:effectLst/>
              <a:latin typeface="+mn-lt"/>
              <a:ea typeface="+mn-ea"/>
              <a:cs typeface="+mn-cs"/>
            </a:rPr>
            <a:t>Enter the start and end time for each activity on each day in the tables below. Next, select the activity type from the drop down menu in the Activity cell.</a:t>
          </a:r>
          <a:r>
            <a:rPr lang="en-CA"/>
            <a:t>  Enter the</a:t>
          </a:r>
          <a:r>
            <a:rPr lang="en-CA" baseline="0"/>
            <a:t> times using the 24:00 hour format. For example, 1:30 PM is entered as 13:30. </a:t>
          </a:r>
          <a:r>
            <a:rPr lang="en-CA" sz="1100" baseline="0">
              <a:solidFill>
                <a:schemeClr val="dk1"/>
              </a:solidFill>
              <a:effectLst/>
              <a:latin typeface="+mn-lt"/>
              <a:ea typeface="+mn-ea"/>
              <a:cs typeface="+mn-cs"/>
            </a:rPr>
            <a:t>Alternatively, you can enter it as 1:30 PM (including the PM is necessary) </a:t>
          </a:r>
        </a:p>
        <a:p>
          <a:endParaRPr lang="en-CA">
            <a:effectLst/>
          </a:endParaRPr>
        </a:p>
        <a:p>
          <a:r>
            <a:rPr lang="en-CA" sz="1100" b="1" baseline="0">
              <a:solidFill>
                <a:schemeClr val="dk1"/>
              </a:solidFill>
              <a:effectLst/>
              <a:latin typeface="+mn-lt"/>
              <a:ea typeface="+mn-ea"/>
              <a:cs typeface="+mn-cs"/>
            </a:rPr>
            <a:t>SCROLL DOWN FOR THE EARLY DISMISSAL AND EXTRA DAY TIMETABLES</a:t>
          </a:r>
          <a:endParaRPr lang="en-CA">
            <a:effectLst/>
          </a:endParaRPr>
        </a:p>
        <a:p>
          <a:endParaRPr lang="en-CA" sz="1100"/>
        </a:p>
      </xdr:txBody>
    </xdr:sp>
    <xdr:clientData/>
  </xdr:twoCellAnchor>
  <xdr:twoCellAnchor editAs="oneCell">
    <xdr:from>
      <xdr:col>0</xdr:col>
      <xdr:colOff>0</xdr:colOff>
      <xdr:row>0</xdr:row>
      <xdr:rowOff>28575</xdr:rowOff>
    </xdr:from>
    <xdr:to>
      <xdr:col>5</xdr:col>
      <xdr:colOff>76200</xdr:colOff>
      <xdr:row>5</xdr:row>
      <xdr:rowOff>19050</xdr:rowOff>
    </xdr:to>
    <xdr:pic>
      <xdr:nvPicPr>
        <xdr:cNvPr id="3" name="Picture 2">
          <a:extLst>
            <a:ext uri="{FF2B5EF4-FFF2-40B4-BE49-F238E27FC236}">
              <a16:creationId xmlns:a16="http://schemas.microsoft.com/office/drawing/2014/main" id="{1FE56ABE-647D-41E4-A9F7-64A44BDA4781}"/>
            </a:ext>
          </a:extLst>
        </xdr:cNvPr>
        <xdr:cNvPicPr>
          <a:picLocks noChangeAspect="1"/>
        </xdr:cNvPicPr>
      </xdr:nvPicPr>
      <xdr:blipFill>
        <a:blip xmlns:r="http://schemas.openxmlformats.org/officeDocument/2006/relationships" r:embed="rId1"/>
        <a:stretch>
          <a:fillRect/>
        </a:stretch>
      </xdr:blipFill>
      <xdr:spPr>
        <a:xfrm>
          <a:off x="0" y="28575"/>
          <a:ext cx="5143500" cy="103441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5</xdr:col>
      <xdr:colOff>38100</xdr:colOff>
      <xdr:row>5</xdr:row>
      <xdr:rowOff>15240</xdr:rowOff>
    </xdr:to>
    <xdr:pic>
      <xdr:nvPicPr>
        <xdr:cNvPr id="3" name="Picture 2">
          <a:extLst>
            <a:ext uri="{FF2B5EF4-FFF2-40B4-BE49-F238E27FC236}">
              <a16:creationId xmlns:a16="http://schemas.microsoft.com/office/drawing/2014/main" id="{2FB0D326-A2AB-417F-843F-2C0032D9C585}"/>
            </a:ext>
          </a:extLst>
        </xdr:cNvPr>
        <xdr:cNvPicPr>
          <a:picLocks noChangeAspect="1"/>
        </xdr:cNvPicPr>
      </xdr:nvPicPr>
      <xdr:blipFill>
        <a:blip xmlns:r="http://schemas.openxmlformats.org/officeDocument/2006/relationships" r:embed="rId1"/>
        <a:stretch>
          <a:fillRect/>
        </a:stretch>
      </xdr:blipFill>
      <xdr:spPr>
        <a:xfrm>
          <a:off x="0" y="28575"/>
          <a:ext cx="5143500" cy="1034415"/>
        </a:xfrm>
        <a:prstGeom prst="rect">
          <a:avLst/>
        </a:prstGeom>
      </xdr:spPr>
    </xdr:pic>
    <xdr:clientData/>
  </xdr:twoCellAnchor>
  <xdr:twoCellAnchor>
    <xdr:from>
      <xdr:col>1</xdr:col>
      <xdr:colOff>0</xdr:colOff>
      <xdr:row>5</xdr:row>
      <xdr:rowOff>0</xdr:rowOff>
    </xdr:from>
    <xdr:to>
      <xdr:col>9</xdr:col>
      <xdr:colOff>762000</xdr:colOff>
      <xdr:row>10</xdr:row>
      <xdr:rowOff>190499</xdr:rowOff>
    </xdr:to>
    <xdr:sp macro="" textlink="">
      <xdr:nvSpPr>
        <xdr:cNvPr id="4" name="TextBox 3">
          <a:extLst>
            <a:ext uri="{FF2B5EF4-FFF2-40B4-BE49-F238E27FC236}">
              <a16:creationId xmlns:a16="http://schemas.microsoft.com/office/drawing/2014/main" id="{7E1EB059-CBF8-4987-815A-D4FC7E304D3B}"/>
            </a:ext>
          </a:extLst>
        </xdr:cNvPr>
        <xdr:cNvSpPr txBox="1"/>
      </xdr:nvSpPr>
      <xdr:spPr>
        <a:xfrm>
          <a:off x="685800" y="1047750"/>
          <a:ext cx="9829800" cy="1238249"/>
        </a:xfrm>
        <a:prstGeom prst="rect">
          <a:avLst/>
        </a:prstGeom>
        <a:solidFill>
          <a:srgbClr val="EACD4D"/>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i="0" u="none" strike="noStrike">
              <a:solidFill>
                <a:schemeClr val="dk1"/>
              </a:solidFill>
              <a:effectLst/>
              <a:latin typeface="+mn-lt"/>
              <a:ea typeface="+mn-ea"/>
              <a:cs typeface="+mn-cs"/>
            </a:rPr>
            <a:t>Instructions</a:t>
          </a:r>
          <a:r>
            <a:rPr lang="en-CA" b="1"/>
            <a:t> </a:t>
          </a:r>
          <a:br>
            <a:rPr lang="en-CA" b="1"/>
          </a:br>
          <a:r>
            <a:rPr lang="en-CA" sz="1100" b="0" i="0" u="none" strike="noStrike">
              <a:solidFill>
                <a:schemeClr val="dk1"/>
              </a:solidFill>
              <a:effectLst/>
              <a:latin typeface="+mn-lt"/>
              <a:ea typeface="+mn-ea"/>
              <a:cs typeface="+mn-cs"/>
            </a:rPr>
            <a:t>Enter the start and end time for each activity on each day in the tables below. Next, select the activity type from the drop down menu in the Activity cell.</a:t>
          </a:r>
          <a:r>
            <a:rPr lang="en-CA"/>
            <a:t>  Enter the</a:t>
          </a:r>
          <a:r>
            <a:rPr lang="en-CA" baseline="0"/>
            <a:t> times using the 24:00 hour format. For example, 1:30 PM is entered as 13:30. </a:t>
          </a:r>
          <a:r>
            <a:rPr lang="en-CA" sz="1100" baseline="0">
              <a:solidFill>
                <a:schemeClr val="dk1"/>
              </a:solidFill>
              <a:effectLst/>
              <a:latin typeface="+mn-lt"/>
              <a:ea typeface="+mn-ea"/>
              <a:cs typeface="+mn-cs"/>
            </a:rPr>
            <a:t>Alternatively, you can enter it as 1:30 PM (including the PM is necessary) </a:t>
          </a:r>
        </a:p>
        <a:p>
          <a:endParaRPr lang="en-CA">
            <a:effectLst/>
          </a:endParaRPr>
        </a:p>
        <a:p>
          <a:r>
            <a:rPr lang="en-CA" sz="1100" b="1" baseline="0">
              <a:solidFill>
                <a:schemeClr val="dk1"/>
              </a:solidFill>
              <a:effectLst/>
              <a:latin typeface="+mn-lt"/>
              <a:ea typeface="+mn-ea"/>
              <a:cs typeface="+mn-cs"/>
            </a:rPr>
            <a:t>SCROLL DOWN FOR THE EARLY DISMISSAL AND EXTRA DAY TIMETABLES</a:t>
          </a:r>
          <a:endParaRPr lang="en-CA">
            <a:effectLst/>
          </a:endParaRPr>
        </a:p>
        <a:p>
          <a:endParaRPr lang="en-CA"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5</xdr:col>
      <xdr:colOff>186690</xdr:colOff>
      <xdr:row>5</xdr:row>
      <xdr:rowOff>15240</xdr:rowOff>
    </xdr:to>
    <xdr:pic>
      <xdr:nvPicPr>
        <xdr:cNvPr id="3" name="Picture 2">
          <a:extLst>
            <a:ext uri="{FF2B5EF4-FFF2-40B4-BE49-F238E27FC236}">
              <a16:creationId xmlns:a16="http://schemas.microsoft.com/office/drawing/2014/main" id="{D9ABA43E-4F4F-4A93-BE6F-5561129AB82D}"/>
            </a:ext>
          </a:extLst>
        </xdr:cNvPr>
        <xdr:cNvPicPr>
          <a:picLocks noChangeAspect="1"/>
        </xdr:cNvPicPr>
      </xdr:nvPicPr>
      <xdr:blipFill>
        <a:blip xmlns:r="http://schemas.openxmlformats.org/officeDocument/2006/relationships" r:embed="rId1"/>
        <a:stretch>
          <a:fillRect/>
        </a:stretch>
      </xdr:blipFill>
      <xdr:spPr>
        <a:xfrm>
          <a:off x="0" y="28575"/>
          <a:ext cx="5143500" cy="1034415"/>
        </a:xfrm>
        <a:prstGeom prst="rect">
          <a:avLst/>
        </a:prstGeom>
      </xdr:spPr>
    </xdr:pic>
    <xdr:clientData/>
  </xdr:twoCellAnchor>
  <xdr:twoCellAnchor>
    <xdr:from>
      <xdr:col>1</xdr:col>
      <xdr:colOff>0</xdr:colOff>
      <xdr:row>5</xdr:row>
      <xdr:rowOff>0</xdr:rowOff>
    </xdr:from>
    <xdr:to>
      <xdr:col>9</xdr:col>
      <xdr:colOff>762000</xdr:colOff>
      <xdr:row>10</xdr:row>
      <xdr:rowOff>190499</xdr:rowOff>
    </xdr:to>
    <xdr:sp macro="" textlink="">
      <xdr:nvSpPr>
        <xdr:cNvPr id="4" name="TextBox 3">
          <a:extLst>
            <a:ext uri="{FF2B5EF4-FFF2-40B4-BE49-F238E27FC236}">
              <a16:creationId xmlns:a16="http://schemas.microsoft.com/office/drawing/2014/main" id="{A9988274-B11E-498A-A1AC-22AA2866C9A5}"/>
            </a:ext>
          </a:extLst>
        </xdr:cNvPr>
        <xdr:cNvSpPr txBox="1"/>
      </xdr:nvSpPr>
      <xdr:spPr>
        <a:xfrm>
          <a:off x="685800" y="1047750"/>
          <a:ext cx="9829800" cy="1238249"/>
        </a:xfrm>
        <a:prstGeom prst="rect">
          <a:avLst/>
        </a:prstGeom>
        <a:solidFill>
          <a:srgbClr val="EACD4D"/>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i="0" u="none" strike="noStrike">
              <a:solidFill>
                <a:schemeClr val="dk1"/>
              </a:solidFill>
              <a:effectLst/>
              <a:latin typeface="+mn-lt"/>
              <a:ea typeface="+mn-ea"/>
              <a:cs typeface="+mn-cs"/>
            </a:rPr>
            <a:t>Instructions</a:t>
          </a:r>
          <a:r>
            <a:rPr lang="en-CA" b="1"/>
            <a:t> </a:t>
          </a:r>
          <a:br>
            <a:rPr lang="en-CA" b="1"/>
          </a:br>
          <a:r>
            <a:rPr lang="en-CA" sz="1100" b="0" i="0" u="none" strike="noStrike">
              <a:solidFill>
                <a:schemeClr val="dk1"/>
              </a:solidFill>
              <a:effectLst/>
              <a:latin typeface="+mn-lt"/>
              <a:ea typeface="+mn-ea"/>
              <a:cs typeface="+mn-cs"/>
            </a:rPr>
            <a:t>Enter the start and end time for each activity on each day in the tables below. Next, select the activity type from the drop down menu in the Activity cell.</a:t>
          </a:r>
          <a:r>
            <a:rPr lang="en-CA"/>
            <a:t>  Enter the</a:t>
          </a:r>
          <a:r>
            <a:rPr lang="en-CA" baseline="0"/>
            <a:t> times using the 24:00 hour format. For example, 1:30 PM is entered as 13:30. </a:t>
          </a:r>
          <a:r>
            <a:rPr lang="en-CA" sz="1100" baseline="0">
              <a:solidFill>
                <a:schemeClr val="dk1"/>
              </a:solidFill>
              <a:effectLst/>
              <a:latin typeface="+mn-lt"/>
              <a:ea typeface="+mn-ea"/>
              <a:cs typeface="+mn-cs"/>
            </a:rPr>
            <a:t>Alternatively, you can enter it as 1:30 PM (including the PM is necessary) </a:t>
          </a:r>
        </a:p>
        <a:p>
          <a:endParaRPr lang="en-CA">
            <a:effectLst/>
          </a:endParaRPr>
        </a:p>
        <a:p>
          <a:r>
            <a:rPr lang="en-CA" sz="1100" b="1" baseline="0">
              <a:solidFill>
                <a:schemeClr val="dk1"/>
              </a:solidFill>
              <a:effectLst/>
              <a:latin typeface="+mn-lt"/>
              <a:ea typeface="+mn-ea"/>
              <a:cs typeface="+mn-cs"/>
            </a:rPr>
            <a:t>SCROLL DOWN FOR THE EARLY DISMISSAL AND EXTRA DAY TIMETABLES</a:t>
          </a:r>
          <a:endParaRPr lang="en-CA">
            <a:effectLst/>
          </a:endParaRPr>
        </a:p>
        <a:p>
          <a:endParaRPr lang="en-CA"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304800</xdr:colOff>
      <xdr:row>0</xdr:row>
      <xdr:rowOff>104775</xdr:rowOff>
    </xdr:from>
    <xdr:to>
      <xdr:col>19</xdr:col>
      <xdr:colOff>285750</xdr:colOff>
      <xdr:row>16</xdr:row>
      <xdr:rowOff>152400</xdr:rowOff>
    </xdr:to>
    <xdr:sp macro="" textlink="">
      <xdr:nvSpPr>
        <xdr:cNvPr id="2" name="TextBox 1">
          <a:extLst>
            <a:ext uri="{FF2B5EF4-FFF2-40B4-BE49-F238E27FC236}">
              <a16:creationId xmlns:a16="http://schemas.microsoft.com/office/drawing/2014/main" id="{FFD3EE1B-BFBD-013F-9016-70CFAE66FDFC}"/>
            </a:ext>
          </a:extLst>
        </xdr:cNvPr>
        <xdr:cNvSpPr txBox="1"/>
      </xdr:nvSpPr>
      <xdr:spPr>
        <a:xfrm>
          <a:off x="304800" y="104775"/>
          <a:ext cx="15278100" cy="3400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t>This is the sheet that does all the "heavy lifting" for the calculations. The first table below (D20:F464) simply transposes each set of rows in the calendar</a:t>
          </a:r>
          <a:r>
            <a:rPr lang="en-CA" sz="1100" baseline="0"/>
            <a:t> tables into a pair of one dimensional arrays (one for the date and one for the activity). The column called "Valid" determines if the date is a valid date for calcuations. The criteria are:</a:t>
          </a:r>
        </a:p>
        <a:p>
          <a:r>
            <a:rPr lang="en-CA" sz="1100" baseline="0"/>
            <a:t>- Between the first and last operational day</a:t>
          </a:r>
        </a:p>
        <a:p>
          <a:r>
            <a:rPr lang="en-CA" sz="1100" baseline="0"/>
            <a:t>- In the reference month. That is, only entries from the August calendar that are in August count.</a:t>
          </a:r>
        </a:p>
        <a:p>
          <a:r>
            <a:rPr lang="en-CA" sz="1100" baseline="0"/>
            <a:t>- Not listed as "Closed (non-operational)</a:t>
          </a:r>
        </a:p>
        <a:p>
          <a:endParaRPr lang="en-CA" sz="1100" baseline="0"/>
        </a:p>
        <a:p>
          <a:r>
            <a:rPr lang="en-CA" sz="1100" baseline="0"/>
            <a:t>The value in the "Valid" column is then used as a criteria in the filter function in cell J21. The second table, beginning on J20, only contains operational days (instructional, operational (no students), early dismissal.</a:t>
          </a:r>
          <a:endParaRPr lang="en-CA"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15</xdr:col>
      <xdr:colOff>190501</xdr:colOff>
      <xdr:row>22</xdr:row>
      <xdr:rowOff>26670</xdr:rowOff>
    </xdr:from>
    <xdr:to>
      <xdr:col>19</xdr:col>
      <xdr:colOff>276226</xdr:colOff>
      <xdr:row>28</xdr:row>
      <xdr:rowOff>66675</xdr:rowOff>
    </xdr:to>
    <xdr:sp macro="" textlink="">
      <xdr:nvSpPr>
        <xdr:cNvPr id="2" name="TextBox 1">
          <a:extLst>
            <a:ext uri="{FF2B5EF4-FFF2-40B4-BE49-F238E27FC236}">
              <a16:creationId xmlns:a16="http://schemas.microsoft.com/office/drawing/2014/main" id="{600511D5-697E-710A-1EFC-95EFDF701A89}"/>
            </a:ext>
          </a:extLst>
        </xdr:cNvPr>
        <xdr:cNvSpPr txBox="1"/>
      </xdr:nvSpPr>
      <xdr:spPr>
        <a:xfrm>
          <a:off x="13763626" y="4008120"/>
          <a:ext cx="2524125" cy="11353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t>The dynamic lists in this</a:t>
          </a:r>
          <a:r>
            <a:rPr lang="en-CA" sz="1100" baseline="0"/>
            <a:t> box are used to actually populate dropdown lists on the calendar page as well as the timetables pages.</a:t>
          </a:r>
          <a:endParaRPr lang="en-CA" sz="1100"/>
        </a:p>
      </xdr:txBody>
    </xdr:sp>
    <xdr:clientData/>
  </xdr:twoCellAnchor>
  <xdr:twoCellAnchor>
    <xdr:from>
      <xdr:col>0</xdr:col>
      <xdr:colOff>666750</xdr:colOff>
      <xdr:row>36</xdr:row>
      <xdr:rowOff>0</xdr:rowOff>
    </xdr:from>
    <xdr:to>
      <xdr:col>3</xdr:col>
      <xdr:colOff>228600</xdr:colOff>
      <xdr:row>54</xdr:row>
      <xdr:rowOff>142875</xdr:rowOff>
    </xdr:to>
    <xdr:sp macro="" textlink="">
      <xdr:nvSpPr>
        <xdr:cNvPr id="3" name="TextBox 2">
          <a:extLst>
            <a:ext uri="{FF2B5EF4-FFF2-40B4-BE49-F238E27FC236}">
              <a16:creationId xmlns:a16="http://schemas.microsoft.com/office/drawing/2014/main" id="{44561490-DA64-098F-6CA9-018FC7900379}"/>
            </a:ext>
          </a:extLst>
        </xdr:cNvPr>
        <xdr:cNvSpPr txBox="1"/>
      </xdr:nvSpPr>
      <xdr:spPr>
        <a:xfrm>
          <a:off x="666750" y="6305550"/>
          <a:ext cx="2314575" cy="3914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t>The</a:t>
          </a:r>
          <a:r>
            <a:rPr lang="en-CA" sz="1100" baseline="0"/>
            <a:t> table above lists the types of possible days to use in the calendar. When the user selects whether or not there are early dismissals or extra days and the number of timetables for each, the second column in the table is set to either 1 or 0. For example, if they select early dismissal = yes and 2 timetable variants, there will be a 1 beside Early Dismissal 1 and Early Dismissal 2 but a 0 beside Early Dismissal 3.</a:t>
          </a:r>
        </a:p>
        <a:p>
          <a:endParaRPr lang="en-CA" sz="1100" baseline="0"/>
        </a:p>
        <a:p>
          <a:r>
            <a:rPr lang="en-CA" sz="1100" baseline="0"/>
            <a:t>That is then used with the filter function inside of the unique function to generate the list immediately above. That list is used to feed the dropdown list for setting day types in the calendar setup.</a:t>
          </a:r>
          <a:endParaRPr lang="en-CA" sz="1100"/>
        </a:p>
      </xdr:txBody>
    </xdr:sp>
    <xdr:clientData/>
  </xdr:twoCellAnchor>
  <xdr:twoCellAnchor>
    <xdr:from>
      <xdr:col>5</xdr:col>
      <xdr:colOff>0</xdr:colOff>
      <xdr:row>36</xdr:row>
      <xdr:rowOff>0</xdr:rowOff>
    </xdr:from>
    <xdr:to>
      <xdr:col>7</xdr:col>
      <xdr:colOff>247650</xdr:colOff>
      <xdr:row>54</xdr:row>
      <xdr:rowOff>142875</xdr:rowOff>
    </xdr:to>
    <xdr:sp macro="" textlink="">
      <xdr:nvSpPr>
        <xdr:cNvPr id="4" name="TextBox 3">
          <a:extLst>
            <a:ext uri="{FF2B5EF4-FFF2-40B4-BE49-F238E27FC236}">
              <a16:creationId xmlns:a16="http://schemas.microsoft.com/office/drawing/2014/main" id="{E272EA31-8D1C-4704-A2C4-9674C29FAC86}"/>
            </a:ext>
          </a:extLst>
        </xdr:cNvPr>
        <xdr:cNvSpPr txBox="1"/>
      </xdr:nvSpPr>
      <xdr:spPr>
        <a:xfrm>
          <a:off x="4819650" y="6305550"/>
          <a:ext cx="2638425" cy="3914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t>The table above</a:t>
          </a:r>
          <a:r>
            <a:rPr lang="en-CA" sz="1100" baseline="0"/>
            <a:t> lists the various activities that can be assigned to times in the timetable setup. To add new activities, simply add the activity name to the bottom of the table, then assign a classification number to it. 0 means "unassigned", 1 is "instruction" and 2 is "non-instruction assigned time".</a:t>
          </a:r>
        </a:p>
        <a:p>
          <a:endParaRPr lang="en-CA" sz="1100" baseline="0"/>
        </a:p>
        <a:p>
          <a:r>
            <a:rPr lang="en-CA" sz="1100" baseline="0"/>
            <a:t>The list immediately above is generated from the table above using the UNIQUE() function.</a:t>
          </a:r>
        </a:p>
      </xdr:txBody>
    </xdr:sp>
    <xdr:clientData/>
  </xdr:twoCellAnchor>
  <xdr:twoCellAnchor>
    <xdr:from>
      <xdr:col>13</xdr:col>
      <xdr:colOff>24765</xdr:colOff>
      <xdr:row>23</xdr:row>
      <xdr:rowOff>171450</xdr:rowOff>
    </xdr:from>
    <xdr:to>
      <xdr:col>15</xdr:col>
      <xdr:colOff>177165</xdr:colOff>
      <xdr:row>26</xdr:row>
      <xdr:rowOff>76200</xdr:rowOff>
    </xdr:to>
    <xdr:cxnSp macro="">
      <xdr:nvCxnSpPr>
        <xdr:cNvPr id="6" name="Straight Arrow Connector 5">
          <a:extLst>
            <a:ext uri="{FF2B5EF4-FFF2-40B4-BE49-F238E27FC236}">
              <a16:creationId xmlns:a16="http://schemas.microsoft.com/office/drawing/2014/main" id="{F2EEFA14-7F62-156B-5AAF-73954F12C61C}"/>
            </a:ext>
          </a:extLst>
        </xdr:cNvPr>
        <xdr:cNvCxnSpPr/>
      </xdr:nvCxnSpPr>
      <xdr:spPr>
        <a:xfrm flipH="1">
          <a:off x="12378690" y="4343400"/>
          <a:ext cx="1371600" cy="4476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36</xdr:row>
      <xdr:rowOff>0</xdr:rowOff>
    </xdr:from>
    <xdr:to>
      <xdr:col>10</xdr:col>
      <xdr:colOff>542925</xdr:colOff>
      <xdr:row>54</xdr:row>
      <xdr:rowOff>142875</xdr:rowOff>
    </xdr:to>
    <xdr:sp macro="" textlink="">
      <xdr:nvSpPr>
        <xdr:cNvPr id="7" name="TextBox 6">
          <a:extLst>
            <a:ext uri="{FF2B5EF4-FFF2-40B4-BE49-F238E27FC236}">
              <a16:creationId xmlns:a16="http://schemas.microsoft.com/office/drawing/2014/main" id="{D8F529A7-42ED-4AD7-9B95-5ACED255DC3D}"/>
            </a:ext>
          </a:extLst>
        </xdr:cNvPr>
        <xdr:cNvSpPr txBox="1"/>
      </xdr:nvSpPr>
      <xdr:spPr>
        <a:xfrm>
          <a:off x="8658225" y="6305550"/>
          <a:ext cx="2638425" cy="3914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t>The table above</a:t>
          </a:r>
          <a:r>
            <a:rPr lang="en-CA" sz="1100" baseline="0"/>
            <a:t> lists the possible types of timetable rotations. If it necessary to add a rotation type, add its name to the table above and it will automatically appear in the dropdown list on the first page of this spreadsheet file. </a:t>
          </a:r>
        </a:p>
        <a:p>
          <a:endParaRPr lang="en-CA" sz="1100" baseline="0"/>
        </a:p>
        <a:p>
          <a:r>
            <a:rPr lang="en-CA" sz="1100" baseline="0"/>
            <a:t>You will then need to add tables to the timetable setup page. For example, if a seven-day rotation was added, you would need to add a table for "Day 7" by copying and pasting </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9524</xdr:colOff>
      <xdr:row>0</xdr:row>
      <xdr:rowOff>114299</xdr:rowOff>
    </xdr:from>
    <xdr:to>
      <xdr:col>1</xdr:col>
      <xdr:colOff>4334636</xdr:colOff>
      <xdr:row>1</xdr:row>
      <xdr:rowOff>1216151</xdr:rowOff>
    </xdr:to>
    <xdr:pic>
      <xdr:nvPicPr>
        <xdr:cNvPr id="2" name="Picture_1" descr="Photo of a girl wirting" title="Banner 1">
          <a:extLst>
            <a:ext uri="{FF2B5EF4-FFF2-40B4-BE49-F238E27FC236}">
              <a16:creationId xmlns:a16="http://schemas.microsoft.com/office/drawing/2014/main" id="{00000000-0008-0000-0600-000002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a:stretch/>
      </xdr:blipFill>
      <xdr:spPr>
        <a:xfrm>
          <a:off x="133349" y="114299"/>
          <a:ext cx="4325112" cy="1216152"/>
        </a:xfrm>
        <a:prstGeom prst="rect">
          <a:avLst/>
        </a:prstGeom>
      </xdr:spPr>
    </xdr:pic>
    <xdr:clientData/>
  </xdr:twoCellAnchor>
  <xdr:twoCellAnchor editAs="oneCell">
    <xdr:from>
      <xdr:col>1</xdr:col>
      <xdr:colOff>9524</xdr:colOff>
      <xdr:row>1</xdr:row>
      <xdr:rowOff>1304924</xdr:rowOff>
    </xdr:from>
    <xdr:to>
      <xdr:col>1</xdr:col>
      <xdr:colOff>4334636</xdr:colOff>
      <xdr:row>2</xdr:row>
      <xdr:rowOff>1216151</xdr:rowOff>
    </xdr:to>
    <xdr:pic>
      <xdr:nvPicPr>
        <xdr:cNvPr id="3" name="Picture_2" descr="Photo of students discussing" title="Banner 2">
          <a:extLst>
            <a:ext uri="{FF2B5EF4-FFF2-40B4-BE49-F238E27FC236}">
              <a16:creationId xmlns:a16="http://schemas.microsoft.com/office/drawing/2014/main" id="{00000000-0008-0000-0600-000003000000}"/>
            </a:ext>
          </a:extLst>
        </xdr:cNvPr>
        <xdr:cNvPicPr>
          <a:picLocks/>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7102"/>
        <a:stretch/>
      </xdr:blipFill>
      <xdr:spPr>
        <a:xfrm>
          <a:off x="133349" y="1419224"/>
          <a:ext cx="4325112" cy="1216152"/>
        </a:xfrm>
        <a:prstGeom prst="rect">
          <a:avLst/>
        </a:prstGeom>
      </xdr:spPr>
    </xdr:pic>
    <xdr:clientData/>
  </xdr:twoCellAnchor>
  <xdr:twoCellAnchor editAs="oneCell">
    <xdr:from>
      <xdr:col>1</xdr:col>
      <xdr:colOff>9524</xdr:colOff>
      <xdr:row>2</xdr:row>
      <xdr:rowOff>1304924</xdr:rowOff>
    </xdr:from>
    <xdr:to>
      <xdr:col>1</xdr:col>
      <xdr:colOff>4334636</xdr:colOff>
      <xdr:row>3</xdr:row>
      <xdr:rowOff>1216151</xdr:rowOff>
    </xdr:to>
    <xdr:pic>
      <xdr:nvPicPr>
        <xdr:cNvPr id="4" name="Picture_3" descr="Photo of a guy crossing street" title="Banner 3">
          <a:extLst>
            <a:ext uri="{FF2B5EF4-FFF2-40B4-BE49-F238E27FC236}">
              <a16:creationId xmlns:a16="http://schemas.microsoft.com/office/drawing/2014/main" id="{00000000-0008-0000-0600-000004000000}"/>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a:ext>
          </a:extLst>
        </a:blip>
        <a:srcRect/>
        <a:stretch/>
      </xdr:blipFill>
      <xdr:spPr>
        <a:xfrm>
          <a:off x="133349" y="2724149"/>
          <a:ext cx="4325112" cy="1216152"/>
        </a:xfrm>
        <a:prstGeom prst="rect">
          <a:avLst/>
        </a:prstGeom>
      </xdr:spPr>
    </xdr:pic>
    <xdr:clientData/>
  </xdr:twoCellAnchor>
  <xdr:twoCellAnchor editAs="oneCell">
    <xdr:from>
      <xdr:col>1</xdr:col>
      <xdr:colOff>9524</xdr:colOff>
      <xdr:row>3</xdr:row>
      <xdr:rowOff>1304924</xdr:rowOff>
    </xdr:from>
    <xdr:to>
      <xdr:col>1</xdr:col>
      <xdr:colOff>4334636</xdr:colOff>
      <xdr:row>4</xdr:row>
      <xdr:rowOff>1216151</xdr:rowOff>
    </xdr:to>
    <xdr:pic>
      <xdr:nvPicPr>
        <xdr:cNvPr id="5" name="Picture_4" descr="Photo of students raising their hands" title="Banner 4">
          <a:extLst>
            <a:ext uri="{FF2B5EF4-FFF2-40B4-BE49-F238E27FC236}">
              <a16:creationId xmlns:a16="http://schemas.microsoft.com/office/drawing/2014/main" id="{00000000-0008-0000-0600-000005000000}"/>
            </a:ext>
          </a:extLst>
        </xdr:cNvPr>
        <xdr:cNvPicPr>
          <a:picLocks/>
        </xdr:cNvPicPr>
      </xdr:nvPicPr>
      <xdr:blipFill rotWithShape="1">
        <a:blip xmlns:r="http://schemas.openxmlformats.org/officeDocument/2006/relationships" r:embed="rId4" cstate="print">
          <a:extLst>
            <a:ext uri="{28A0092B-C50C-407E-A947-70E740481C1C}">
              <a14:useLocalDpi xmlns:a14="http://schemas.microsoft.com/office/drawing/2010/main"/>
            </a:ext>
          </a:extLst>
        </a:blip>
        <a:srcRect/>
        <a:stretch/>
      </xdr:blipFill>
      <xdr:spPr>
        <a:xfrm>
          <a:off x="133349" y="4029074"/>
          <a:ext cx="4325112" cy="1216152"/>
        </a:xfrm>
        <a:prstGeom prst="rect">
          <a:avLst/>
        </a:prstGeom>
      </xdr:spPr>
    </xdr:pic>
    <xdr:clientData/>
  </xdr:twoCellAnchor>
  <xdr:twoCellAnchor editAs="oneCell">
    <xdr:from>
      <xdr:col>1</xdr:col>
      <xdr:colOff>9524</xdr:colOff>
      <xdr:row>4</xdr:row>
      <xdr:rowOff>1304924</xdr:rowOff>
    </xdr:from>
    <xdr:to>
      <xdr:col>1</xdr:col>
      <xdr:colOff>4334636</xdr:colOff>
      <xdr:row>5</xdr:row>
      <xdr:rowOff>1216151</xdr:rowOff>
    </xdr:to>
    <xdr:pic>
      <xdr:nvPicPr>
        <xdr:cNvPr id="6" name="Picture_5" descr="Photo of student in lecture" title="Banner 5">
          <a:extLst>
            <a:ext uri="{FF2B5EF4-FFF2-40B4-BE49-F238E27FC236}">
              <a16:creationId xmlns:a16="http://schemas.microsoft.com/office/drawing/2014/main" id="{00000000-0008-0000-0600-000006000000}"/>
            </a:ext>
          </a:extLst>
        </xdr:cNvPr>
        <xdr:cNvPicPr>
          <a:picLocks/>
        </xdr:cNvPicPr>
      </xdr:nvPicPr>
      <xdr:blipFill rotWithShape="1">
        <a:blip xmlns:r="http://schemas.openxmlformats.org/officeDocument/2006/relationships" r:embed="rId5" cstate="print">
          <a:extLst>
            <a:ext uri="{28A0092B-C50C-407E-A947-70E740481C1C}">
              <a14:useLocalDpi xmlns:a14="http://schemas.microsoft.com/office/drawing/2010/main"/>
            </a:ext>
          </a:extLst>
        </a:blip>
        <a:srcRect/>
        <a:stretch/>
      </xdr:blipFill>
      <xdr:spPr>
        <a:xfrm>
          <a:off x="133349" y="5333999"/>
          <a:ext cx="4325112" cy="1216152"/>
        </a:xfrm>
        <a:prstGeom prst="rect">
          <a:avLst/>
        </a:prstGeom>
      </xdr:spPr>
    </xdr:pic>
    <xdr:clientData/>
  </xdr:twoCellAnchor>
  <xdr:twoCellAnchor editAs="oneCell">
    <xdr:from>
      <xdr:col>1</xdr:col>
      <xdr:colOff>9524</xdr:colOff>
      <xdr:row>5</xdr:row>
      <xdr:rowOff>1304924</xdr:rowOff>
    </xdr:from>
    <xdr:to>
      <xdr:col>1</xdr:col>
      <xdr:colOff>4334636</xdr:colOff>
      <xdr:row>6</xdr:row>
      <xdr:rowOff>1216151</xdr:rowOff>
    </xdr:to>
    <xdr:pic>
      <xdr:nvPicPr>
        <xdr:cNvPr id="7" name="Picture_6" descr="Photo of graduation" title="Banner 6">
          <a:extLst>
            <a:ext uri="{FF2B5EF4-FFF2-40B4-BE49-F238E27FC236}">
              <a16:creationId xmlns:a16="http://schemas.microsoft.com/office/drawing/2014/main" id="{00000000-0008-0000-0600-000007000000}"/>
            </a:ext>
          </a:extLst>
        </xdr:cNvPr>
        <xdr:cNvPicPr>
          <a:picLocks/>
        </xdr:cNvPicPr>
      </xdr:nvPicPr>
      <xdr:blipFill rotWithShape="1">
        <a:blip xmlns:r="http://schemas.openxmlformats.org/officeDocument/2006/relationships" r:embed="rId6" cstate="print">
          <a:extLst>
            <a:ext uri="{28A0092B-C50C-407E-A947-70E740481C1C}">
              <a14:useLocalDpi xmlns:a14="http://schemas.microsoft.com/office/drawing/2010/main"/>
            </a:ext>
          </a:extLst>
        </a:blip>
        <a:srcRect/>
        <a:stretch/>
      </xdr:blipFill>
      <xdr:spPr>
        <a:xfrm>
          <a:off x="133349" y="6638924"/>
          <a:ext cx="4325112" cy="1216152"/>
        </a:xfrm>
        <a:prstGeom prst="rect">
          <a:avLst/>
        </a:prstGeom>
      </xdr:spPr>
    </xdr:pic>
    <xdr:clientData/>
  </xdr:twoCellAnchor>
  <xdr:twoCellAnchor editAs="oneCell">
    <xdr:from>
      <xdr:col>1</xdr:col>
      <xdr:colOff>9524</xdr:colOff>
      <xdr:row>6</xdr:row>
      <xdr:rowOff>1304924</xdr:rowOff>
    </xdr:from>
    <xdr:to>
      <xdr:col>1</xdr:col>
      <xdr:colOff>4334636</xdr:colOff>
      <xdr:row>7</xdr:row>
      <xdr:rowOff>1216151</xdr:rowOff>
    </xdr:to>
    <xdr:pic>
      <xdr:nvPicPr>
        <xdr:cNvPr id="8" name="Picture_7" descr="Photo of students playing" title="Banner 7">
          <a:extLst>
            <a:ext uri="{FF2B5EF4-FFF2-40B4-BE49-F238E27FC236}">
              <a16:creationId xmlns:a16="http://schemas.microsoft.com/office/drawing/2014/main" id="{00000000-0008-0000-0600-000008000000}"/>
            </a:ext>
          </a:extLst>
        </xdr:cNvPr>
        <xdr:cNvPicPr>
          <a:picLocks/>
        </xdr:cNvPicPr>
      </xdr:nvPicPr>
      <xdr:blipFill rotWithShape="1">
        <a:blip xmlns:r="http://schemas.openxmlformats.org/officeDocument/2006/relationships" r:embed="rId7" cstate="print">
          <a:extLst>
            <a:ext uri="{28A0092B-C50C-407E-A947-70E740481C1C}">
              <a14:useLocalDpi xmlns:a14="http://schemas.microsoft.com/office/drawing/2010/main"/>
            </a:ext>
          </a:extLst>
        </a:blip>
        <a:srcRect/>
        <a:stretch/>
      </xdr:blipFill>
      <xdr:spPr>
        <a:xfrm>
          <a:off x="133349" y="7943849"/>
          <a:ext cx="4325112" cy="1216152"/>
        </a:xfrm>
        <a:prstGeom prst="rect">
          <a:avLst/>
        </a:prstGeom>
      </xdr:spPr>
    </xdr:pic>
    <xdr:clientData/>
  </xdr:twoCellAnchor>
  <xdr:twoCellAnchor editAs="oneCell">
    <xdr:from>
      <xdr:col>1</xdr:col>
      <xdr:colOff>9524</xdr:colOff>
      <xdr:row>7</xdr:row>
      <xdr:rowOff>1304924</xdr:rowOff>
    </xdr:from>
    <xdr:to>
      <xdr:col>1</xdr:col>
      <xdr:colOff>4334636</xdr:colOff>
      <xdr:row>8</xdr:row>
      <xdr:rowOff>1216151</xdr:rowOff>
    </xdr:to>
    <xdr:pic>
      <xdr:nvPicPr>
        <xdr:cNvPr id="9" name="Picture_8" descr="Photo of a girl using her notebook" title="Banner 8">
          <a:extLst>
            <a:ext uri="{FF2B5EF4-FFF2-40B4-BE49-F238E27FC236}">
              <a16:creationId xmlns:a16="http://schemas.microsoft.com/office/drawing/2014/main" id="{00000000-0008-0000-0600-000009000000}"/>
            </a:ext>
          </a:extLst>
        </xdr:cNvPr>
        <xdr:cNvPicPr>
          <a:picLocks/>
        </xdr:cNvPicPr>
      </xdr:nvPicPr>
      <xdr:blipFill rotWithShape="1">
        <a:blip xmlns:r="http://schemas.openxmlformats.org/officeDocument/2006/relationships" r:embed="rId8" cstate="print">
          <a:extLst>
            <a:ext uri="{28A0092B-C50C-407E-A947-70E740481C1C}">
              <a14:useLocalDpi xmlns:a14="http://schemas.microsoft.com/office/drawing/2010/main"/>
            </a:ext>
          </a:extLst>
        </a:blip>
        <a:srcRect/>
        <a:stretch/>
      </xdr:blipFill>
      <xdr:spPr>
        <a:xfrm>
          <a:off x="133349" y="9248774"/>
          <a:ext cx="4325112" cy="1216152"/>
        </a:xfrm>
        <a:prstGeom prst="rect">
          <a:avLst/>
        </a:prstGeom>
      </xdr:spPr>
    </xdr:pic>
    <xdr:clientData/>
  </xdr:twoCellAnchor>
  <xdr:twoCellAnchor editAs="oneCell">
    <xdr:from>
      <xdr:col>1</xdr:col>
      <xdr:colOff>9524</xdr:colOff>
      <xdr:row>8</xdr:row>
      <xdr:rowOff>1304924</xdr:rowOff>
    </xdr:from>
    <xdr:to>
      <xdr:col>1</xdr:col>
      <xdr:colOff>4334636</xdr:colOff>
      <xdr:row>9</xdr:row>
      <xdr:rowOff>1216151</xdr:rowOff>
    </xdr:to>
    <xdr:pic>
      <xdr:nvPicPr>
        <xdr:cNvPr id="10" name="Picture_9" descr="Photo of a football team" title="Banner 9">
          <a:extLst>
            <a:ext uri="{FF2B5EF4-FFF2-40B4-BE49-F238E27FC236}">
              <a16:creationId xmlns:a16="http://schemas.microsoft.com/office/drawing/2014/main" id="{00000000-0008-0000-0600-00000A000000}"/>
            </a:ext>
          </a:extLst>
        </xdr:cNvPr>
        <xdr:cNvPicPr>
          <a:picLocks/>
        </xdr:cNvPicPr>
      </xdr:nvPicPr>
      <xdr:blipFill rotWithShape="1">
        <a:blip xmlns:r="http://schemas.openxmlformats.org/officeDocument/2006/relationships" r:embed="rId9" cstate="print">
          <a:extLst>
            <a:ext uri="{28A0092B-C50C-407E-A947-70E740481C1C}">
              <a14:useLocalDpi xmlns:a14="http://schemas.microsoft.com/office/drawing/2010/main"/>
            </a:ext>
          </a:extLst>
        </a:blip>
        <a:srcRect/>
        <a:stretch/>
      </xdr:blipFill>
      <xdr:spPr>
        <a:xfrm>
          <a:off x="133349" y="10553699"/>
          <a:ext cx="4325112" cy="1216152"/>
        </a:xfrm>
        <a:prstGeom prst="rect">
          <a:avLst/>
        </a:prstGeom>
      </xdr:spPr>
    </xdr:pic>
    <xdr:clientData/>
  </xdr:twoCellAnchor>
  <xdr:twoCellAnchor editAs="oneCell">
    <xdr:from>
      <xdr:col>1</xdr:col>
      <xdr:colOff>9524</xdr:colOff>
      <xdr:row>9</xdr:row>
      <xdr:rowOff>1304924</xdr:rowOff>
    </xdr:from>
    <xdr:to>
      <xdr:col>1</xdr:col>
      <xdr:colOff>4334636</xdr:colOff>
      <xdr:row>10</xdr:row>
      <xdr:rowOff>1216151</xdr:rowOff>
    </xdr:to>
    <xdr:pic>
      <xdr:nvPicPr>
        <xdr:cNvPr id="11" name="Picture_10" descr="Photo of basketball huddle" title="Banner 10">
          <a:extLst>
            <a:ext uri="{FF2B5EF4-FFF2-40B4-BE49-F238E27FC236}">
              <a16:creationId xmlns:a16="http://schemas.microsoft.com/office/drawing/2014/main" id="{00000000-0008-0000-0600-00000B000000}"/>
            </a:ext>
          </a:extLst>
        </xdr:cNvPr>
        <xdr:cNvPicPr>
          <a:picLocks/>
        </xdr:cNvPicPr>
      </xdr:nvPicPr>
      <xdr:blipFill rotWithShape="1">
        <a:blip xmlns:r="http://schemas.openxmlformats.org/officeDocument/2006/relationships" r:embed="rId10" cstate="print">
          <a:extLst>
            <a:ext uri="{28A0092B-C50C-407E-A947-70E740481C1C}">
              <a14:useLocalDpi xmlns:a14="http://schemas.microsoft.com/office/drawing/2010/main"/>
            </a:ext>
          </a:extLst>
        </a:blip>
        <a:srcRect/>
        <a:stretch/>
      </xdr:blipFill>
      <xdr:spPr>
        <a:xfrm>
          <a:off x="133349" y="11858624"/>
          <a:ext cx="4325112" cy="1216152"/>
        </a:xfrm>
        <a:prstGeom prst="rect">
          <a:avLst/>
        </a:prstGeom>
      </xdr:spPr>
    </xdr:pic>
    <xdr:clientData/>
  </xdr:twoCellAnchor>
  <xdr:twoCellAnchor editAs="oneCell">
    <xdr:from>
      <xdr:col>1</xdr:col>
      <xdr:colOff>9524</xdr:colOff>
      <xdr:row>10</xdr:row>
      <xdr:rowOff>1304924</xdr:rowOff>
    </xdr:from>
    <xdr:to>
      <xdr:col>1</xdr:col>
      <xdr:colOff>4334636</xdr:colOff>
      <xdr:row>11</xdr:row>
      <xdr:rowOff>1216151</xdr:rowOff>
    </xdr:to>
    <xdr:pic>
      <xdr:nvPicPr>
        <xdr:cNvPr id="12" name="Picture_11" descr="Photo of students in a lab" title="Banner 11">
          <a:extLst>
            <a:ext uri="{FF2B5EF4-FFF2-40B4-BE49-F238E27FC236}">
              <a16:creationId xmlns:a16="http://schemas.microsoft.com/office/drawing/2014/main" id="{00000000-0008-0000-0600-00000C000000}"/>
            </a:ext>
          </a:extLst>
        </xdr:cNvPr>
        <xdr:cNvPicPr>
          <a:picLocks/>
        </xdr:cNvPicPr>
      </xdr:nvPicPr>
      <xdr:blipFill rotWithShape="1">
        <a:blip xmlns:r="http://schemas.openxmlformats.org/officeDocument/2006/relationships" r:embed="rId11" cstate="print">
          <a:extLst>
            <a:ext uri="{28A0092B-C50C-407E-A947-70E740481C1C}">
              <a14:useLocalDpi xmlns:a14="http://schemas.microsoft.com/office/drawing/2010/main"/>
            </a:ext>
          </a:extLst>
        </a:blip>
        <a:srcRect/>
        <a:stretch/>
      </xdr:blipFill>
      <xdr:spPr>
        <a:xfrm>
          <a:off x="133349" y="13163549"/>
          <a:ext cx="4325112" cy="1216152"/>
        </a:xfrm>
        <a:prstGeom prst="rect">
          <a:avLst/>
        </a:prstGeom>
      </xdr:spPr>
    </xdr:pic>
    <xdr:clientData/>
  </xdr:twoCellAnchor>
  <xdr:twoCellAnchor editAs="oneCell">
    <xdr:from>
      <xdr:col>1</xdr:col>
      <xdr:colOff>9524</xdr:colOff>
      <xdr:row>11</xdr:row>
      <xdr:rowOff>1304924</xdr:rowOff>
    </xdr:from>
    <xdr:to>
      <xdr:col>1</xdr:col>
      <xdr:colOff>4334636</xdr:colOff>
      <xdr:row>12</xdr:row>
      <xdr:rowOff>1216151</xdr:rowOff>
    </xdr:to>
    <xdr:pic>
      <xdr:nvPicPr>
        <xdr:cNvPr id="13" name="Picture_12" descr="Photo of a girl carrying gifts" title="Banner 12">
          <a:extLst>
            <a:ext uri="{FF2B5EF4-FFF2-40B4-BE49-F238E27FC236}">
              <a16:creationId xmlns:a16="http://schemas.microsoft.com/office/drawing/2014/main" id="{00000000-0008-0000-0600-00000D000000}"/>
            </a:ext>
          </a:extLst>
        </xdr:cNvPr>
        <xdr:cNvPicPr>
          <a:picLocks/>
        </xdr:cNvPicPr>
      </xdr:nvPicPr>
      <xdr:blipFill rotWithShape="1">
        <a:blip xmlns:r="http://schemas.openxmlformats.org/officeDocument/2006/relationships" r:embed="rId12" cstate="print">
          <a:extLst>
            <a:ext uri="{28A0092B-C50C-407E-A947-70E740481C1C}">
              <a14:useLocalDpi xmlns:a14="http://schemas.microsoft.com/office/drawing/2010/main"/>
            </a:ext>
          </a:extLst>
        </a:blip>
        <a:srcRect/>
        <a:stretch/>
      </xdr:blipFill>
      <xdr:spPr>
        <a:xfrm>
          <a:off x="133349" y="14468474"/>
          <a:ext cx="4325112" cy="1216152"/>
        </a:xfrm>
        <a:prstGeom prst="rect">
          <a:avLst/>
        </a:prstGeom>
      </xdr:spPr>
    </xdr:pic>
    <xdr:clientData/>
  </xdr:twoCellAnchor>
</xdr:wsDr>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13</v>
    <v>3</v>
  </rv>
</rvData>
</file>

<file path=xl/richData/rdrichvaluestructure.xml><?xml version="1.0" encoding="utf-8"?>
<rvStructures xmlns="http://schemas.microsoft.com/office/spreadsheetml/2017/richdata" count="1">
  <s t="_error">
    <k n="errorType" t="i"/>
    <k n="subType" t="i"/>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AB4AF113-FBF2-460B-B36A-740AC9362CE5}" name="ImportSummary" displayName="ImportSummary" ref="B118:I119" totalsRowShown="0" headerRowDxfId="756" dataDxfId="755">
  <autoFilter ref="B118:I119" xr:uid="{AB4AF113-FBF2-460B-B36A-740AC9362CE5}">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CC7F2918-89F3-4481-83EE-0F7966F237F5}" name="Name" dataDxfId="754">
      <calculatedColumnFormula>+'Detailed Summary'!C8</calculatedColumnFormula>
    </tableColumn>
    <tableColumn id="8" xr3:uid="{EF7F7687-030E-43C5-9E99-3837C77300BF}" name="Employer" dataDxfId="753">
      <calculatedColumnFormula>'START HERE'!C8</calculatedColumnFormula>
    </tableColumn>
    <tableColumn id="7" xr3:uid="{3C2E05CF-BB11-4D1A-A0CD-16F4F552A6A1}" name="School" dataDxfId="752">
      <calculatedColumnFormula>School</calculatedColumnFormula>
    </tableColumn>
    <tableColumn id="2" xr3:uid="{D61BB2BD-4ACC-4146-9446-0934C3C851AF}" name="FTE" dataDxfId="751">
      <calculatedColumnFormula>FTE</calculatedColumnFormula>
    </tableColumn>
    <tableColumn id="11" xr3:uid="{4DDB0316-ED9D-400B-8C5F-A49777A85444}" name="NumTeachers" dataDxfId="750">
      <calculatedColumnFormula>NumTeachers</calculatedColumnFormula>
    </tableColumn>
    <tableColumn id="3" xr3:uid="{FC22A129-B137-4C8B-8E7E-B03D21249640}" name="Instructional" dataDxfId="749">
      <calculatedColumnFormula>C24+E24</calculatedColumnFormula>
    </tableColumn>
    <tableColumn id="4" xr3:uid="{A748DC2F-9433-4107-801D-4806F3466903}" name="NonInstructional" dataDxfId="748">
      <calculatedColumnFormula>+D24+G24</calculatedColumnFormula>
    </tableColumn>
    <tableColumn id="5" xr3:uid="{DA12D688-8E4D-4154-A29A-2408F75EE264}" name="Total" dataDxfId="747">
      <calculatedColumnFormula>+F29</calculatedColumnFormula>
    </tableColum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95FA9C63-565B-4721-8FFA-B6C18AECD44F}" name="Exceptions" displayName="Exceptions" ref="B12:K360" totalsRowShown="0">
  <autoFilter ref="B12:K360" xr:uid="{95FA9C63-565B-4721-8FFA-B6C18AECD44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8" xr3:uid="{91C7F672-949A-4D04-AB9A-908003E2AC66}" name="Month" dataDxfId="746">
      <calculatedColumnFormula>TEXT(Exceptions[[#This Row],[Date]],"MMMM")</calculatedColumnFormula>
    </tableColumn>
    <tableColumn id="1" xr3:uid="{40033CC8-386A-4ECA-8B7B-84F278F6A2E0}" name="Date" dataDxfId="745">
      <calculatedColumnFormula>+C12+1</calculatedColumnFormula>
    </tableColumn>
    <tableColumn id="2" xr3:uid="{6B3CF310-714F-4FA0-9622-69C9BE78851B}" name="Start" dataDxfId="744"/>
    <tableColumn id="3" xr3:uid="{DB463AB6-F199-4F39-8430-8516D9C60989}" name="End" dataDxfId="743"/>
    <tableColumn id="5" xr3:uid="{265B1029-A91B-485B-82BD-BC8FE45B812A}" name="Activity" dataDxfId="742"/>
    <tableColumn id="9" xr3:uid="{2EF258AC-2CEE-4626-949C-C399630DBFF2}" name="Assigned By" dataDxfId="741"/>
    <tableColumn id="11" xr3:uid="{59F6E6FA-96A9-4D4D-A15B-184868B1A740}" name="Notes" dataDxfId="740"/>
    <tableColumn id="4" xr3:uid="{F350D6F8-5C13-4379-A091-4404DC9F303D}" name="Elapsed" dataDxfId="739">
      <calculatedColumnFormula>IF(OR(ISBLANK(Exceptions[[#This Row],[Start]]),ISBLANK(Exceptions[[#This Row],[End]])),"",(Exceptions[[#This Row],[End]]-Exceptions[[#This Row],[Start]])*1440)</calculatedColumnFormula>
    </tableColumn>
    <tableColumn id="6" xr3:uid="{BE920E3A-37C9-4896-A951-C8C647BDF0C6}" name="Instructional" dataDxfId="738">
      <calculatedColumnFormula>IF(Exceptions[[#This Row],[Activity]]="Instruction",Exceptions[[#This Row],[Elapsed]],0)</calculatedColumnFormula>
    </tableColumn>
    <tableColumn id="7" xr3:uid="{25F91BDA-F18E-4126-991A-A06CB9EA7537}" name="Assigned Time (Non-Instructional)" dataDxfId="737">
      <calculatedColumnFormula>IF(ISBLANK(Exceptions[[#This Row],[Activity]]),"",IF(_xlfn.XLOOKUP(Exceptions[[#This Row],[Activity]],Types_of_Activity[Type of Activity],Types_of_Activity[Classification])=2,Exceptions[[#This Row],[Elapsed]],0))</calculatedColumnFormula>
    </tableColumn>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C9DE672-6462-4FA6-91C5-555D5F869901}" name="Term1_Day_1" displayName="Term1_Day_1" ref="B17:G50" totalsRowShown="0" headerRowDxfId="736" dataDxfId="735">
  <autoFilter ref="B17:G50" xr:uid="{B136AA2D-167D-4FB0-80FF-9B5EB74FD3E6}">
    <filterColumn colId="0" hiddenButton="1"/>
    <filterColumn colId="1" hiddenButton="1"/>
    <filterColumn colId="2" hiddenButton="1"/>
    <filterColumn colId="3" hiddenButton="1"/>
    <filterColumn colId="4" hiddenButton="1"/>
    <filterColumn colId="5" hiddenButton="1"/>
  </autoFilter>
  <tableColumns count="6">
    <tableColumn id="1" xr3:uid="{27513096-8769-46ED-ACAC-066F59D7AB12}" name="Start" dataDxfId="734"/>
    <tableColumn id="2" xr3:uid="{FFA1A771-129B-40FC-8EB7-E19856928E4E}" name="End" dataDxfId="733"/>
    <tableColumn id="4" xr3:uid="{D85FD6BB-7DC3-4D4D-8220-B0A6A71C8312}" name="Activity" dataDxfId="732"/>
    <tableColumn id="3" xr3:uid="{B34E2BAA-3324-43DF-8CF0-861D0FA107DD}" name="Elapsed" dataDxfId="731">
      <calculatedColumnFormula>IF(OR(ISBLANK(Term1_Day_1[[#This Row],[Start]]),ISBLANK(Term1_Day_1[[#This Row],[End]])),"",(Term1_Day_1[[#This Row],[End]]-Term1_Day_1[[#This Row],[Start]])*1440)</calculatedColumnFormula>
    </tableColumn>
    <tableColumn id="5" xr3:uid="{5B2B25B3-79A1-45FB-A082-8F0EDBEAA967}" name="Instructional Time" dataDxfId="730">
      <calculatedColumnFormula>IF(ISBLANK(Term1_Day_1[[#This Row],[Activity]]),"",IF(_xlfn.XLOOKUP(Term1_Day_1[[#This Row],[Activity]],Types_of_Activity[Type of Activity],Types_of_Activity[Classification])=1,Term1_Day_1[[#This Row],[Elapsed]],0))</calculatedColumnFormula>
    </tableColumn>
    <tableColumn id="6" xr3:uid="{6A52459E-666A-46EE-BA29-ADD680CE25A1}" name="Assigned Time (Non-Instructional)" dataDxfId="729">
      <calculatedColumnFormula>IF(ISBLANK(Term1_Day_1[[#This Row],[Activity]]),"",IF(_xlfn.XLOOKUP(Term1_Day_1[[#This Row],[Activity]],Types_of_Activity[Type of Activity],Types_of_Activity[Classification])=2,Term1_Day_1[[#This Row],[Elapsed]],0))</calculatedColumnFormula>
    </tableColumn>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AB605DD-CBFF-41DB-AAB1-88D825550703}" name="Term1_Day_2" displayName="Term1_Day_2" ref="I17:N50" totalsRowShown="0" headerRowDxfId="728" dataDxfId="727">
  <autoFilter ref="I17:N50" xr:uid="{920CC304-28D5-4D8E-A5FC-1CB071FB46BE}">
    <filterColumn colId="0" hiddenButton="1"/>
    <filterColumn colId="1" hiddenButton="1"/>
    <filterColumn colId="2" hiddenButton="1"/>
    <filterColumn colId="3" hiddenButton="1"/>
    <filterColumn colId="4" hiddenButton="1"/>
    <filterColumn colId="5" hiddenButton="1"/>
  </autoFilter>
  <tableColumns count="6">
    <tableColumn id="1" xr3:uid="{6305336E-058D-4926-9ED1-9350B6428217}" name="Start" dataDxfId="726"/>
    <tableColumn id="2" xr3:uid="{1B31E791-1DED-4550-B5AC-8F2A66129043}" name="End" dataDxfId="725"/>
    <tableColumn id="4" xr3:uid="{DEF54CAB-F509-41B5-AEA9-E188267622D7}" name="Activity" dataDxfId="724"/>
    <tableColumn id="3" xr3:uid="{392AF11F-2E2A-4BCC-A22E-E8016620E4B9}" name="Elapsed" dataDxfId="723">
      <calculatedColumnFormula>IF(OR(ISBLANK(Term1_Day_2[[#This Row],[Start]]),ISBLANK(Term1_Day_2[[#This Row],[End]])),"",(Term1_Day_2[[#This Row],[End]]-Term1_Day_2[[#This Row],[Start]])*1440)</calculatedColumnFormula>
    </tableColumn>
    <tableColumn id="5" xr3:uid="{8F3F72F2-843F-4D88-B2E6-3DCFB7C4FEFC}" name="Instructional Time" dataDxfId="722">
      <calculatedColumnFormula>IF(ISBLANK(Term1_Day_2[[#This Row],[Activity]]),"",IF(_xlfn.XLOOKUP(Term1_Day_2[[#This Row],[Activity]],Types_of_Activity[Type of Activity],Types_of_Activity[Classification])=1,Term1_Day_2[[#This Row],[Elapsed]],0))</calculatedColumnFormula>
    </tableColumn>
    <tableColumn id="6" xr3:uid="{394F27B8-AD30-4001-B45D-74786472B89B}" name="Assigned Time (Non-Instructional)" dataDxfId="721">
      <calculatedColumnFormula>IF(ISBLANK(Term1_Day_2[[#This Row],[Activity]]),"",IF(_xlfn.XLOOKUP(Term1_Day_2[[#This Row],[Activity]],Types_of_Activity[Type of Activity],Types_of_Activity[Classification])=2,Term1_Day_2[[#This Row],[Elapsed]],0))</calculatedColumnFormula>
    </tableColumn>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5552C8D-A374-464F-9A16-AA32C6A4F329}" name="Term1_Day_3" displayName="Term1_Day_3" ref="P17:U50" totalsRowShown="0" headerRowDxfId="720" dataDxfId="719">
  <autoFilter ref="P17:U50" xr:uid="{A5552C8D-A374-464F-9A16-AA32C6A4F329}">
    <filterColumn colId="0" hiddenButton="1"/>
    <filterColumn colId="1" hiddenButton="1"/>
    <filterColumn colId="2" hiddenButton="1"/>
    <filterColumn colId="3" hiddenButton="1"/>
    <filterColumn colId="4" hiddenButton="1"/>
    <filterColumn colId="5" hiddenButton="1"/>
  </autoFilter>
  <tableColumns count="6">
    <tableColumn id="1" xr3:uid="{7FCFA3E0-1E45-4338-8E1F-F0A27EEE4648}" name="Start" dataDxfId="718"/>
    <tableColumn id="2" xr3:uid="{9219D9CE-63A5-4037-9038-9EA5A8569538}" name="End" dataDxfId="717"/>
    <tableColumn id="4" xr3:uid="{1EA6C84A-AC00-4C2D-A4F3-C1EBC3055BA1}" name="Activity" dataDxfId="716"/>
    <tableColumn id="3" xr3:uid="{BEFB152F-A5FC-404B-874B-5B865A6B0139}" name="Elapsed" dataDxfId="715">
      <calculatedColumnFormula>IF(OR(ISBLANK(Term1_Day_3[[#This Row],[Start]]),ISBLANK(Term1_Day_3[[#This Row],[End]])),"",(Term1_Day_3[[#This Row],[End]]-Term1_Day_3[[#This Row],[Start]])*1440)</calculatedColumnFormula>
    </tableColumn>
    <tableColumn id="5" xr3:uid="{5278934E-8FAA-4908-9EDB-9EEC9978C2A3}" name="Instructional Time" dataDxfId="714">
      <calculatedColumnFormula>IF(ISBLANK(Term1_Day_3[[#This Row],[Activity]]),"",IF(_xlfn.XLOOKUP(Term1_Day_3[[#This Row],[Activity]],Types_of_Activity[Type of Activity],Types_of_Activity[Classification])=1,Term1_Day_3[[#This Row],[Elapsed]],0))</calculatedColumnFormula>
    </tableColumn>
    <tableColumn id="6" xr3:uid="{D236A4A0-DF8D-48E8-AF06-5B674D3E048B}" name="Assigned Time (Non-Instructional)" dataDxfId="713">
      <calculatedColumnFormula>IF(ISBLANK(Term1_Day_3[[#This Row],[Activity]]),"",IF(_xlfn.XLOOKUP(Term1_Day_3[[#This Row],[Activity]],Types_of_Activity[Type of Activity],Types_of_Activity[Classification])=2,Term1_Day_3[[#This Row],[Elapsed]],0))</calculatedColumnFormula>
    </tableColumn>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D863ACF-58C1-4D72-959F-71C1B6DE7A25}" name="Term1_Day_4" displayName="Term1_Day_4" ref="W17:AB50" totalsRowShown="0" headerRowDxfId="712" dataDxfId="711">
  <autoFilter ref="W17:AB50" xr:uid="{ED863ACF-58C1-4D72-959F-71C1B6DE7A25}">
    <filterColumn colId="0" hiddenButton="1"/>
    <filterColumn colId="1" hiddenButton="1"/>
    <filterColumn colId="2" hiddenButton="1"/>
    <filterColumn colId="3" hiddenButton="1"/>
    <filterColumn colId="4" hiddenButton="1"/>
    <filterColumn colId="5" hiddenButton="1"/>
  </autoFilter>
  <tableColumns count="6">
    <tableColumn id="1" xr3:uid="{ED0F0F1A-325E-4E56-9D71-F475DD1819EC}" name="Start" dataDxfId="710"/>
    <tableColumn id="2" xr3:uid="{AB841691-2A45-4B98-B7A3-955F418D8A60}" name="End" dataDxfId="709"/>
    <tableColumn id="4" xr3:uid="{A2E49AEA-1E96-45FB-B3E6-7D1BE1C00E88}" name="Activity" dataDxfId="708"/>
    <tableColumn id="3" xr3:uid="{AE1362DE-36CB-4D85-82D3-9893624737EC}" name="Elapsed" dataDxfId="707">
      <calculatedColumnFormula>IF(OR(ISBLANK(Term1_Day_4[[#This Row],[Start]]),ISBLANK(Term1_Day_4[[#This Row],[End]])),"",(Term1_Day_4[[#This Row],[End]]-Term1_Day_4[[#This Row],[Start]])*1440)</calculatedColumnFormula>
    </tableColumn>
    <tableColumn id="5" xr3:uid="{306591DF-A25F-4CAB-92CE-A53C0A206200}" name="Instructional Time" dataDxfId="706">
      <calculatedColumnFormula>IF(ISBLANK(Term1_Day_4[[#This Row],[Activity]]),"",IF(_xlfn.XLOOKUP(Term1_Day_4[[#This Row],[Activity]],Types_of_Activity[Type of Activity],Types_of_Activity[Classification])=1,Term1_Day_4[[#This Row],[Elapsed]],0))</calculatedColumnFormula>
    </tableColumn>
    <tableColumn id="6" xr3:uid="{3BF4B0B1-5B44-40BD-A984-BA79E2B53C50}" name="Assigned Time (Non-Instructional)" dataDxfId="705">
      <calculatedColumnFormula>IF(ISBLANK(Term1_Day_4[[#This Row],[Activity]]),"",IF(_xlfn.XLOOKUP(Term1_Day_4[[#This Row],[Activity]],Types_of_Activity[Type of Activity],Types_of_Activity[Classification])=2,Term1_Day_4[[#This Row],[Elapsed]],0))</calculatedColumnFormula>
    </tableColumn>
  </tableColumns>
  <tableStyleInfo name="TableStyleMedium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38371F3-74A6-4468-8630-90FA9F2810C8}" name="Term1_Day_5" displayName="Term1_Day_5" ref="AD17:AI50" totalsRowShown="0" headerRowDxfId="704" dataDxfId="703">
  <autoFilter ref="AD17:AI50" xr:uid="{838371F3-74A6-4468-8630-90FA9F2810C8}">
    <filterColumn colId="0" hiddenButton="1"/>
    <filterColumn colId="1" hiddenButton="1"/>
    <filterColumn colId="2" hiddenButton="1"/>
    <filterColumn colId="3" hiddenButton="1"/>
    <filterColumn colId="4" hiddenButton="1"/>
    <filterColumn colId="5" hiddenButton="1"/>
  </autoFilter>
  <tableColumns count="6">
    <tableColumn id="1" xr3:uid="{E5CC5AA9-D1FB-44A4-9F21-16404AAC1AFB}" name="Start" dataDxfId="702"/>
    <tableColumn id="2" xr3:uid="{C7A61140-E82A-4090-ABC7-C6CCE64FF6B0}" name="End" dataDxfId="701"/>
    <tableColumn id="4" xr3:uid="{FBB2AAF9-87A6-44CD-93D4-DFEB53761469}" name="Activity" dataDxfId="700"/>
    <tableColumn id="3" xr3:uid="{B03D3F9A-112C-4401-B13E-A156A5ADF569}" name="Elapsed" dataDxfId="699">
      <calculatedColumnFormula>IF(OR(ISBLANK(Term1_Day_5[[#This Row],[Start]]),ISBLANK(Term1_Day_5[[#This Row],[End]])),"",(Term1_Day_5[[#This Row],[End]]-Term1_Day_5[[#This Row],[Start]])*1440)</calculatedColumnFormula>
    </tableColumn>
    <tableColumn id="5" xr3:uid="{63748BDD-42F2-44F2-A5A5-ABF42D3CFD03}" name="Instructional Time" dataDxfId="698">
      <calculatedColumnFormula>IF(ISBLANK(Term1_Day_5[[#This Row],[Activity]]),"",IF(_xlfn.XLOOKUP(Term1_Day_5[[#This Row],[Activity]],Types_of_Activity[Type of Activity],Types_of_Activity[Classification])=1,Term1_Day_5[[#This Row],[Elapsed]],0))</calculatedColumnFormula>
    </tableColumn>
    <tableColumn id="6" xr3:uid="{C6CEA029-ECFB-4157-8C96-AB46338D1D82}" name="Assigned Time (Non-Instructional)" dataDxfId="697">
      <calculatedColumnFormula>IF(ISBLANK(Term1_Day_5[[#This Row],[Activity]]),"",IF(_xlfn.XLOOKUP(Term1_Day_5[[#This Row],[Activity]],Types_of_Activity[Type of Activity],Types_of_Activity[Classification])=2,Term1_Day_5[[#This Row],[Elapsed]],0))</calculatedColumnFormula>
    </tableColumn>
  </tableColumns>
  <tableStyleInfo name="TableStyleMedium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BCE6DC7-4B78-4556-BA9E-D00F0D5B9B5F}" name="Term1_Day_6" displayName="Term1_Day_6" ref="AK17:AP50" totalsRowShown="0" headerRowDxfId="696" dataDxfId="695">
  <autoFilter ref="AK17:AP50" xr:uid="{DBCE6DC7-4B78-4556-BA9E-D00F0D5B9B5F}">
    <filterColumn colId="0" hiddenButton="1"/>
    <filterColumn colId="1" hiddenButton="1"/>
    <filterColumn colId="2" hiddenButton="1"/>
    <filterColumn colId="3" hiddenButton="1"/>
    <filterColumn colId="4" hiddenButton="1"/>
    <filterColumn colId="5" hiddenButton="1"/>
  </autoFilter>
  <tableColumns count="6">
    <tableColumn id="1" xr3:uid="{20BAEBD5-7932-4A2E-8CCE-B35E101F5BFB}" name="Start" dataDxfId="694"/>
    <tableColumn id="2" xr3:uid="{FC51B0D0-A954-4B8F-A36B-117D44644F3F}" name="End" dataDxfId="693"/>
    <tableColumn id="4" xr3:uid="{055F9335-8133-4056-A115-EFAD8D76D4DD}" name="Activity" dataDxfId="692"/>
    <tableColumn id="3" xr3:uid="{3E40FFD6-77CB-4F49-97BB-42A3CE2759F8}" name="Elapsed" dataDxfId="691">
      <calculatedColumnFormula>IF(OR(ISBLANK(Term1_Day_6[[#This Row],[Start]]),ISBLANK(Term1_Day_6[[#This Row],[End]])),"",(Term1_Day_6[[#This Row],[End]]-Term1_Day_6[[#This Row],[Start]])*1440)</calculatedColumnFormula>
    </tableColumn>
    <tableColumn id="5" xr3:uid="{4F6C7EA6-5F45-4B24-BA9E-D2BA9593E73B}" name="Instructional Time" dataDxfId="690">
      <calculatedColumnFormula>IF(ISBLANK(Term1_Day_6[[#This Row],[Activity]]),"",IF(_xlfn.XLOOKUP(Term1_Day_6[[#This Row],[Activity]],Types_of_Activity[Type of Activity],Types_of_Activity[Classification])=1,Term1_Day_6[[#This Row],[Elapsed]],0))</calculatedColumnFormula>
    </tableColumn>
    <tableColumn id="6" xr3:uid="{4F70668F-9062-466C-939A-AEA8A01FF955}" name="Assigned Time (Non-Instructional)" dataDxfId="689">
      <calculatedColumnFormula>IF(ISBLANK(Term1_Day_6[[#This Row],[Activity]]),"",IF(_xlfn.XLOOKUP(Term1_Day_6[[#This Row],[Activity]],Types_of_Activity[Type of Activity],Types_of_Activity[Classification])=2,Term1_Day_6[[#This Row],[Elapsed]],0))</calculatedColumnFormula>
    </tableColumn>
  </tableColumns>
  <tableStyleInfo name="TableStyleMedium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7680EA40-2B46-4501-B37E-F9BAB4FFCA79}" name="Term1_Day_10" displayName="Term1_Day_10" ref="BM17:BR50" totalsRowShown="0" headerRowDxfId="688" dataDxfId="687">
  <autoFilter ref="BM17:BR50" xr:uid="{7680EA40-2B46-4501-B37E-F9BAB4FFCA79}">
    <filterColumn colId="0" hiddenButton="1"/>
    <filterColumn colId="1" hiddenButton="1"/>
    <filterColumn colId="2" hiddenButton="1"/>
    <filterColumn colId="3" hiddenButton="1"/>
    <filterColumn colId="4" hiddenButton="1"/>
    <filterColumn colId="5" hiddenButton="1"/>
  </autoFilter>
  <tableColumns count="6">
    <tableColumn id="1" xr3:uid="{0A16EFDD-6C24-4051-9EC4-BF32E5E47BA5}" name="Start" dataDxfId="686"/>
    <tableColumn id="2" xr3:uid="{B6385FB0-2A54-455B-8EC0-A9A001907A9A}" name="End" dataDxfId="685"/>
    <tableColumn id="4" xr3:uid="{2C01E5C5-CE9D-4853-B433-63281CECA051}" name="Activity" dataDxfId="684"/>
    <tableColumn id="3" xr3:uid="{958E0BFE-9ECD-4454-8546-860EAEFD567F}" name="Elapsed" dataDxfId="683">
      <calculatedColumnFormula>IF(OR(ISBLANK(Term1_Day_10[[#This Row],[Start]]),ISBLANK(Term1_Day_10[[#This Row],[End]])),"",(Term1_Day_10[[#This Row],[End]]-Term1_Day_10[[#This Row],[Start]])*1440)</calculatedColumnFormula>
    </tableColumn>
    <tableColumn id="5" xr3:uid="{806A8C8F-71E8-40BF-8E6F-D5DF302F8C77}" name="Instructional Time" dataDxfId="682">
      <calculatedColumnFormula>IF(ISBLANK(Term1_Day_10[[#This Row],[Activity]]),"",IF(_xlfn.XLOOKUP(Term1_Day_10[[#This Row],[Activity]],Types_of_Activity[Type of Activity],Types_of_Activity[Classification])=1,Term1_Day_10[[#This Row],[Elapsed]],0))</calculatedColumnFormula>
    </tableColumn>
    <tableColumn id="6" xr3:uid="{8EC37DBA-067D-4042-A11F-9896091D3780}" name="Assigned Time (Non-Instructional)" dataDxfId="681">
      <calculatedColumnFormula>IF(ISBLANK(Term1_Day_10[[#This Row],[Activity]]),"",IF(_xlfn.XLOOKUP(Term1_Day_10[[#This Row],[Activity]],Types_of_Activity[Type of Activity],Types_of_Activity[Classification])=2,Term1_Day_10[[#This Row],[Elapsed]],0))</calculatedColumnFormula>
    </tableColumn>
  </tableColumns>
  <tableStyleInfo name="TableStyleMedium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F5CF7EF-95DC-4CF9-90A0-885D49AB566F}" name="Term1_Early_Dismissal_1" displayName="Term1_Early_Dismissal_1" ref="B56:G89" totalsRowShown="0" headerRowDxfId="680" dataDxfId="679">
  <autoFilter ref="B56:G89" xr:uid="{6F5CF7EF-95DC-4CF9-90A0-885D49AB566F}">
    <filterColumn colId="0" hiddenButton="1"/>
    <filterColumn colId="1" hiddenButton="1"/>
    <filterColumn colId="2" hiddenButton="1"/>
    <filterColumn colId="3" hiddenButton="1"/>
    <filterColumn colId="4" hiddenButton="1"/>
    <filterColumn colId="5" hiddenButton="1"/>
  </autoFilter>
  <tableColumns count="6">
    <tableColumn id="1" xr3:uid="{070DEC46-2C53-4918-9136-F2E30C6A9DC0}" name="Start" dataDxfId="678"/>
    <tableColumn id="2" xr3:uid="{CCE0BF4D-E8E9-40CB-839C-D639D1BBB55B}" name="End" dataDxfId="677"/>
    <tableColumn id="4" xr3:uid="{7F2E8536-6737-4F24-A04F-AE6306CB15BB}" name="Activity" dataDxfId="676"/>
    <tableColumn id="3" xr3:uid="{07E7C29D-FC77-4137-96C7-4F8D2B2E3C2F}" name="Elapsed" dataDxfId="675">
      <calculatedColumnFormula>IF(OR(ISBLANK(Term1_Early_Dismissal_1[[#This Row],[Start]]),ISBLANK(Term1_Early_Dismissal_1[[#This Row],[End]])),"",(Term1_Early_Dismissal_1[[#This Row],[End]]-Term1_Early_Dismissal_1[[#This Row],[Start]])*1440)</calculatedColumnFormula>
    </tableColumn>
    <tableColumn id="5" xr3:uid="{47A72FFE-098E-42FB-8EEB-27718523E195}" name="Instructional Time" dataDxfId="674">
      <calculatedColumnFormula>IF(ISBLANK(Term1_Early_Dismissal_1[[#This Row],[Activity]]),"",IF(_xlfn.XLOOKUP(Term1_Early_Dismissal_1[[#This Row],[Activity]],Types_of_Activity[Type of Activity],Types_of_Activity[Classification])=1,Term1_Early_Dismissal_1[[#This Row],[Elapsed]],0))</calculatedColumnFormula>
    </tableColumn>
    <tableColumn id="6" xr3:uid="{3CF4AE93-2904-44E2-9FA6-37F69E6133B4}" name="Assigned Time (Non-Instructional)" dataDxfId="673">
      <calculatedColumnFormula>IF(ISBLANK(Term1_Early_Dismissal_1[[#This Row],[Activity]]),"",IF(_xlfn.XLOOKUP(Term1_Early_Dismissal_1[[#This Row],[Activity]],Types_of_Activity[Type of Activity],Types_of_Activity[Classification])=2,Term1_Early_Dismissal_1[[#This Row],[Elapsed]],0))</calculatedColumnFormula>
    </tableColumn>
  </tableColumns>
  <tableStyleInfo name="TableStyleMedium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B274F120-1035-4BD2-90E2-21C8E4A1FDD8}" name="Term1_Early_Dismissal_2" displayName="Term1_Early_Dismissal_2" ref="I56:N89" totalsRowShown="0" headerRowDxfId="672" dataDxfId="671">
  <autoFilter ref="I56:N89" xr:uid="{B274F120-1035-4BD2-90E2-21C8E4A1FDD8}">
    <filterColumn colId="0" hiddenButton="1"/>
    <filterColumn colId="1" hiddenButton="1"/>
    <filterColumn colId="2" hiddenButton="1"/>
    <filterColumn colId="3" hiddenButton="1"/>
    <filterColumn colId="4" hiddenButton="1"/>
    <filterColumn colId="5" hiddenButton="1"/>
  </autoFilter>
  <tableColumns count="6">
    <tableColumn id="1" xr3:uid="{16BBC30D-368D-4945-A5D4-F9A8F22A8CF7}" name="Start" dataDxfId="670"/>
    <tableColumn id="2" xr3:uid="{2CFF3DD0-76BE-4335-8E4E-EC4573E34710}" name="End" dataDxfId="669"/>
    <tableColumn id="4" xr3:uid="{4B836017-7878-4B49-BF96-7B84DA0CD36A}" name="Activity" dataDxfId="668"/>
    <tableColumn id="3" xr3:uid="{A2628393-79C9-4F9F-A0C6-42D221DB1B0F}" name="Elapsed" dataDxfId="667">
      <calculatedColumnFormula>IF(OR(ISBLANK(Term1_Early_Dismissal_2[[#This Row],[Start]]),ISBLANK(Term1_Early_Dismissal_2[[#This Row],[End]])),"",(Term1_Early_Dismissal_2[[#This Row],[End]]-Term1_Early_Dismissal_2[[#This Row],[Start]])*1440)</calculatedColumnFormula>
    </tableColumn>
    <tableColumn id="5" xr3:uid="{ED365319-B5C1-451A-B1EB-051FAE79BCB8}" name="Instructional Time" dataDxfId="666">
      <calculatedColumnFormula>IF(ISBLANK(Term1_Early_Dismissal_2[[#This Row],[Activity]]),"",IF(_xlfn.XLOOKUP(Term1_Early_Dismissal_2[[#This Row],[Activity]],Types_of_Activity[Type of Activity],Types_of_Activity[Classification])=1,Term1_Early_Dismissal_2[[#This Row],[Elapsed]],0))</calculatedColumnFormula>
    </tableColumn>
    <tableColumn id="6" xr3:uid="{313E8386-38C2-494E-9A6B-3BB43B911306}" name="Assigned Time (Non-Instructional)" dataDxfId="665">
      <calculatedColumnFormula>IF(ISBLANK(Term1_Early_Dismissal_2[[#This Row],[Activity]]),"",IF(_xlfn.XLOOKUP(Term1_Early_Dismissal_2[[#This Row],[Activity]],Types_of_Activity[Type of Activity],Types_of_Activity[Classification])=2,Term1_Early_Dismissal_2[[#This Row],[Elapsed]],0))</calculatedColumnFormula>
    </tableColumn>
  </tableColumns>
  <tableStyleInfo name="TableStyleMedium9"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8BA7AEFB-3464-4D53-B869-FBF6D9FC8338}" name="Term1_Special_Day_1" displayName="Term1_Special_Day_1" ref="B98:G131" totalsRowShown="0" headerRowDxfId="664" dataDxfId="663">
  <autoFilter ref="B98:G131" xr:uid="{8BA7AEFB-3464-4D53-B869-FBF6D9FC8338}">
    <filterColumn colId="0" hiddenButton="1"/>
    <filterColumn colId="1" hiddenButton="1"/>
    <filterColumn colId="2" hiddenButton="1"/>
    <filterColumn colId="3" hiddenButton="1"/>
    <filterColumn colId="4" hiddenButton="1"/>
    <filterColumn colId="5" hiddenButton="1"/>
  </autoFilter>
  <tableColumns count="6">
    <tableColumn id="1" xr3:uid="{A1110D1A-95B4-4260-BA13-B169A57605B0}" name="Start" dataDxfId="662"/>
    <tableColumn id="2" xr3:uid="{898F2146-F9A4-4E83-8362-8F7618169159}" name="End" dataDxfId="661"/>
    <tableColumn id="4" xr3:uid="{34E7F611-4B90-4DA5-AB50-3BBD9D4C2469}" name="Activity" dataDxfId="660"/>
    <tableColumn id="3" xr3:uid="{E177654B-ABAD-4259-B544-10AB6F6A2B3F}" name="Elapsed" dataDxfId="659">
      <calculatedColumnFormula>IF(OR(ISBLANK(Term1_Special_Day_1[[#This Row],[Start]]),ISBLANK(Term1_Special_Day_1[[#This Row],[End]])),"",(Term1_Special_Day_1[[#This Row],[End]]-Term1_Special_Day_1[[#This Row],[Start]])*1440)</calculatedColumnFormula>
    </tableColumn>
    <tableColumn id="5" xr3:uid="{56AECBF7-53CE-49DD-9B16-994589D3C35D}" name="Instructional Time" dataDxfId="658">
      <calculatedColumnFormula>IF(ISBLANK(Term1_Special_Day_1[[#This Row],[Activity]]),"",IF(_xlfn.XLOOKUP(Term1_Special_Day_1[[#This Row],[Activity]],Types_of_Activity[Type of Activity],Types_of_Activity[Classification])=1,Term1_Special_Day_1[[#This Row],[Elapsed]],0))</calculatedColumnFormula>
    </tableColumn>
    <tableColumn id="6" xr3:uid="{42B6EAEA-D6F0-4E40-9262-D19631E7B51C}" name="Assigned Time (Non-Instructional)" dataDxfId="657">
      <calculatedColumnFormula>IF(ISBLANK(Term1_Special_Day_1[[#This Row],[Activity]]),"",IF(_xlfn.XLOOKUP(Term1_Special_Day_1[[#This Row],[Activity]],Types_of_Activity[Type of Activity],Types_of_Activity[Classification])=2,Term1_Special_Day_1[[#This Row],[Elapsed]],0))</calculatedColumnFormula>
    </tableColumn>
  </tableColumns>
  <tableStyleInfo name="TableStyleMedium9"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892DA65C-E01F-4B60-A612-0D9AA733EB4F}" name="Term1_Special_Day_2" displayName="Term1_Special_Day_2" ref="I98:N131" totalsRowShown="0" headerRowDxfId="656" dataDxfId="655">
  <autoFilter ref="I98:N131" xr:uid="{892DA65C-E01F-4B60-A612-0D9AA733EB4F}">
    <filterColumn colId="0" hiddenButton="1"/>
    <filterColumn colId="1" hiddenButton="1"/>
    <filterColumn colId="2" hiddenButton="1"/>
    <filterColumn colId="3" hiddenButton="1"/>
    <filterColumn colId="4" hiddenButton="1"/>
    <filterColumn colId="5" hiddenButton="1"/>
  </autoFilter>
  <tableColumns count="6">
    <tableColumn id="1" xr3:uid="{137CD7A4-3F33-40FE-AA4C-418CFA1CA876}" name="Start" dataDxfId="654"/>
    <tableColumn id="2" xr3:uid="{F02993D3-3755-433D-B126-C47BBC7AEE64}" name="End" dataDxfId="653"/>
    <tableColumn id="4" xr3:uid="{BD84EC3E-18D6-4B07-9840-CA7E62CA26DF}" name="Activity" dataDxfId="652"/>
    <tableColumn id="3" xr3:uid="{5CC6FAE3-F26C-461B-996C-080DB593B26B}" name="Elapsed" dataDxfId="651">
      <calculatedColumnFormula>IF(OR(ISBLANK(Term1_Special_Day_2[[#This Row],[Start]]),ISBLANK(Term1_Special_Day_2[[#This Row],[End]])),"",(Term1_Special_Day_2[[#This Row],[End]]-Term1_Special_Day_2[[#This Row],[Start]])*1440)</calculatedColumnFormula>
    </tableColumn>
    <tableColumn id="5" xr3:uid="{CE50A7E7-3383-46D8-9005-56ED135F30D4}" name="Instructional Time" dataDxfId="650">
      <calculatedColumnFormula>IF(ISBLANK(Term1_Special_Day_2[[#This Row],[Activity]]),"",IF(_xlfn.XLOOKUP(Term1_Special_Day_2[[#This Row],[Activity]],Types_of_Activity[Type of Activity],Types_of_Activity[Classification])=1,Term1_Special_Day_2[[#This Row],[Elapsed]],0))</calculatedColumnFormula>
    </tableColumn>
    <tableColumn id="6" xr3:uid="{B4F7AC6D-0F47-44E6-B425-5962AAB445B9}" name="Assigned Time (Non-Instructional)" dataDxfId="649">
      <calculatedColumnFormula>IF(ISBLANK(Term1_Special_Day_2[[#This Row],[Activity]]),"",IF(_xlfn.XLOOKUP(Term1_Special_Day_2[[#This Row],[Activity]],Types_of_Activity[Type of Activity],Types_of_Activity[Classification])=2,Term1_Special_Day_2[[#This Row],[Elapsed]],0))</calculatedColumnFormula>
    </tableColumn>
  </tableColumns>
  <tableStyleInfo name="TableStyleMedium9"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6457D53A-7D67-463A-8C6C-A5E3494A001D}" name="Term1_Special_Day_3" displayName="Term1_Special_Day_3" ref="P98:U131" totalsRowShown="0" headerRowDxfId="648" dataDxfId="647">
  <autoFilter ref="P98:U131" xr:uid="{6457D53A-7D67-463A-8C6C-A5E3494A001D}">
    <filterColumn colId="0" hiddenButton="1"/>
    <filterColumn colId="1" hiddenButton="1"/>
    <filterColumn colId="2" hiddenButton="1"/>
    <filterColumn colId="3" hiddenButton="1"/>
    <filterColumn colId="4" hiddenButton="1"/>
    <filterColumn colId="5" hiddenButton="1"/>
  </autoFilter>
  <tableColumns count="6">
    <tableColumn id="1" xr3:uid="{B79101AD-DFDF-4B3B-B62C-A1DFAEE7F0CA}" name="Start" dataDxfId="646"/>
    <tableColumn id="2" xr3:uid="{2D6D2404-EDC3-4823-B85C-3F65EC91BE1B}" name="End" dataDxfId="645"/>
    <tableColumn id="4" xr3:uid="{D0E50C73-358A-4FE8-9918-825D9A17D60B}" name="Activity" dataDxfId="644"/>
    <tableColumn id="3" xr3:uid="{001148A1-AB1B-4F00-A3A8-D0CAC67AF360}" name="Elapsed" dataDxfId="643">
      <calculatedColumnFormula>IF(OR(ISBLANK(Term1_Special_Day_3[[#This Row],[Start]]),ISBLANK(Term1_Special_Day_3[[#This Row],[End]])),"",(Term1_Special_Day_3[[#This Row],[End]]-Term1_Special_Day_3[[#This Row],[Start]])*1440)</calculatedColumnFormula>
    </tableColumn>
    <tableColumn id="5" xr3:uid="{006CA156-9518-4928-83D5-85DD9C08C817}" name="Instructional Time" dataDxfId="642">
      <calculatedColumnFormula>IF(ISBLANK(Term1_Special_Day_3[[#This Row],[Activity]]),"",IF(_xlfn.XLOOKUP(Term1_Special_Day_3[[#This Row],[Activity]],Types_of_Activity[Type of Activity],Types_of_Activity[Classification])=1,Term1_Special_Day_3[[#This Row],[Elapsed]],0))</calculatedColumnFormula>
    </tableColumn>
    <tableColumn id="6" xr3:uid="{ADAD6D58-043A-4217-816B-FBE046127B10}" name="Assigned Time (Non-Instructional)" dataDxfId="641">
      <calculatedColumnFormula>IF(ISBLANK(Term1_Special_Day_3[[#This Row],[Activity]]),"",IF(_xlfn.XLOOKUP(Term1_Special_Day_3[[#This Row],[Activity]],Types_of_Activity[Type of Activity],Types_of_Activity[Classification])=2,Term1_Special_Day_3[[#This Row],[Elapsed]],0))</calculatedColumnFormula>
    </tableColumn>
  </tableColumns>
  <tableStyleInfo name="TableStyleMedium9"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CD195264-C525-49D5-B41F-65AA0C3D31BA}" name="Term1_Early_Dismissal_3" displayName="Term1_Early_Dismissal_3" ref="P56:U89" totalsRowShown="0" headerRowDxfId="640" dataDxfId="639">
  <autoFilter ref="P56:U89" xr:uid="{CD195264-C525-49D5-B41F-65AA0C3D31BA}">
    <filterColumn colId="0" hiddenButton="1"/>
    <filterColumn colId="1" hiddenButton="1"/>
    <filterColumn colId="2" hiddenButton="1"/>
    <filterColumn colId="3" hiddenButton="1"/>
    <filterColumn colId="4" hiddenButton="1"/>
    <filterColumn colId="5" hiddenButton="1"/>
  </autoFilter>
  <tableColumns count="6">
    <tableColumn id="1" xr3:uid="{D11AF08C-C382-4B48-A97D-51AC5D84F834}" name="Start" dataDxfId="638"/>
    <tableColumn id="2" xr3:uid="{61817419-CD12-476B-A5AC-464F23DBBD8F}" name="End" dataDxfId="637"/>
    <tableColumn id="4" xr3:uid="{FE1AA51F-20A8-4B30-8DFA-6FAD984D78DC}" name="Activity" dataDxfId="636"/>
    <tableColumn id="3" xr3:uid="{12698A16-1546-4BB1-AA8E-F41C87B7DAC5}" name="Elapsed" dataDxfId="635">
      <calculatedColumnFormula>IF(OR(ISBLANK(Term1_Early_Dismissal_3[[#This Row],[Start]]),ISBLANK(Term1_Early_Dismissal_3[[#This Row],[End]])),"",(Term1_Early_Dismissal_3[[#This Row],[End]]-Term1_Early_Dismissal_3[[#This Row],[Start]])*1440)</calculatedColumnFormula>
    </tableColumn>
    <tableColumn id="5" xr3:uid="{1D2E73A1-2903-40EB-9B9B-FDA235ECB8BA}" name="Instructional Time" dataDxfId="634">
      <calculatedColumnFormula>IF(ISBLANK(Term1_Early_Dismissal_3[[#This Row],[Activity]]),"",IF(_xlfn.XLOOKUP(Term1_Early_Dismissal_3[[#This Row],[Activity]],Types_of_Activity[Type of Activity],Types_of_Activity[Classification])=1,Term1_Early_Dismissal_3[[#This Row],[Elapsed]],0))</calculatedColumnFormula>
    </tableColumn>
    <tableColumn id="6" xr3:uid="{028EF7F7-99B0-4219-85B4-D005EAC3453B}" name="Assigned Time (Non-Instructional)" dataDxfId="633">
      <calculatedColumnFormula>IF(ISBLANK(Term1_Early_Dismissal_3[[#This Row],[Activity]]),"",IF(_xlfn.XLOOKUP(Term1_Early_Dismissal_3[[#This Row],[Activity]],Types_of_Activity[Type of Activity],Types_of_Activity[Classification])=2,Term1_Early_Dismissal_3[[#This Row],[Elapsed]],0))</calculatedColumnFormula>
    </tableColumn>
  </tableColumns>
  <tableStyleInfo name="TableStyleMedium9"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3E59C0C2-DD56-4980-8F2E-67FEAF2CE85B}" name="Term1_Day_7" displayName="Term1_Day_7" ref="AR17:AW50" totalsRowShown="0" headerRowDxfId="632" dataDxfId="631">
  <autoFilter ref="AR17:AW50" xr:uid="{3E59C0C2-DD56-4980-8F2E-67FEAF2CE85B}">
    <filterColumn colId="0" hiddenButton="1"/>
    <filterColumn colId="1" hiddenButton="1"/>
    <filterColumn colId="2" hiddenButton="1"/>
    <filterColumn colId="3" hiddenButton="1"/>
    <filterColumn colId="4" hiddenButton="1"/>
    <filterColumn colId="5" hiddenButton="1"/>
  </autoFilter>
  <tableColumns count="6">
    <tableColumn id="1" xr3:uid="{C76E1520-0884-4FC4-89F5-C2EC4D0EEEDE}" name="Start" dataDxfId="630"/>
    <tableColumn id="2" xr3:uid="{754715CA-9A28-4C1C-B7F3-F57D6DEEED85}" name="End" dataDxfId="629"/>
    <tableColumn id="4" xr3:uid="{7DD755D9-CF46-4023-97AC-BF00E09A1868}" name="Activity" dataDxfId="628"/>
    <tableColumn id="3" xr3:uid="{03BBF83C-5DE9-42AA-A52A-471839244AF3}" name="Elapsed" dataDxfId="627">
      <calculatedColumnFormula>IF(OR(ISBLANK(Term1_Day_7[[#This Row],[Start]]),ISBLANK(Term1_Day_7[[#This Row],[End]])),"",(Term1_Day_7[[#This Row],[End]]-Term1_Day_7[[#This Row],[Start]])*1440)</calculatedColumnFormula>
    </tableColumn>
    <tableColumn id="5" xr3:uid="{52D742BD-BC8A-453E-B5E8-D953CBC73DB2}" name="Instructional Time" dataDxfId="626">
      <calculatedColumnFormula>IF(ISBLANK(Term1_Day_7[[#This Row],[Activity]]),"",IF(_xlfn.XLOOKUP(Term1_Day_7[[#This Row],[Activity]],Types_of_Activity[Type of Activity],Types_of_Activity[Classification])=1,Term1_Day_7[[#This Row],[Elapsed]],0))</calculatedColumnFormula>
    </tableColumn>
    <tableColumn id="6" xr3:uid="{A51D8270-FAD4-4E12-A2D7-A03F9C8D52FE}" name="Assigned Time (Non-Instructional)" dataDxfId="625">
      <calculatedColumnFormula>IF(ISBLANK(Term1_Day_7[[#This Row],[Activity]]),"",IF(_xlfn.XLOOKUP(Term1_Day_7[[#This Row],[Activity]],Types_of_Activity[Type of Activity],Types_of_Activity[Classification])=2,Term1_Day_7[[#This Row],[Elapsed]],0))</calculatedColumnFormula>
    </tableColumn>
  </tableColumns>
  <tableStyleInfo name="TableStyleMedium9"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52A4C193-B865-489F-8952-653081737930}" name="Term1_Day_8" displayName="Term1_Day_8" ref="AY17:BD50" totalsRowShown="0" headerRowDxfId="624" dataDxfId="623">
  <autoFilter ref="AY17:BD50" xr:uid="{52A4C193-B865-489F-8952-653081737930}">
    <filterColumn colId="0" hiddenButton="1"/>
    <filterColumn colId="1" hiddenButton="1"/>
    <filterColumn colId="2" hiddenButton="1"/>
    <filterColumn colId="3" hiddenButton="1"/>
    <filterColumn colId="4" hiddenButton="1"/>
    <filterColumn colId="5" hiddenButton="1"/>
  </autoFilter>
  <tableColumns count="6">
    <tableColumn id="1" xr3:uid="{E8BABEEB-8ADC-45F4-B88B-950A6ABAC36F}" name="Start" dataDxfId="622"/>
    <tableColumn id="2" xr3:uid="{921E01C2-1B0B-4981-A3C2-22CE3F0E32CA}" name="End" dataDxfId="621"/>
    <tableColumn id="4" xr3:uid="{21439341-913C-47C0-A73D-39DAD30AE4C3}" name="Activity" dataDxfId="620"/>
    <tableColumn id="3" xr3:uid="{543603C1-FEED-47AA-A60A-625A9576B288}" name="Elapsed" dataDxfId="619">
      <calculatedColumnFormula>IF(OR(ISBLANK(Term1_Day_8[[#This Row],[Start]]),ISBLANK(Term1_Day_8[[#This Row],[End]])),"",(Term1_Day_8[[#This Row],[End]]-Term1_Day_8[[#This Row],[Start]])*1440)</calculatedColumnFormula>
    </tableColumn>
    <tableColumn id="5" xr3:uid="{60094F37-58BD-405D-8C58-E0C3C150AFBA}" name="Instructional Time" dataDxfId="618">
      <calculatedColumnFormula>IF(ISBLANK(Term1_Day_8[[#This Row],[Activity]]),"",IF(_xlfn.XLOOKUP(Term1_Day_8[[#This Row],[Activity]],Types_of_Activity[Type of Activity],Types_of_Activity[Classification])=1,Term1_Day_8[[#This Row],[Elapsed]],0))</calculatedColumnFormula>
    </tableColumn>
    <tableColumn id="6" xr3:uid="{2A1F32F5-B467-45FB-9D03-A1D290DA03D8}" name="Assigned Time (Non-Instructional)" dataDxfId="617">
      <calculatedColumnFormula>IF(ISBLANK(Term1_Day_8[[#This Row],[Activity]]),"",IF(_xlfn.XLOOKUP(Term1_Day_8[[#This Row],[Activity]],Types_of_Activity[Type of Activity],Types_of_Activity[Classification])=2,Term1_Day_8[[#This Row],[Elapsed]],0))</calculatedColumnFormula>
    </tableColumn>
  </tableColumns>
  <tableStyleInfo name="TableStyleMedium9"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FF72CE2-E9FA-4F58-918D-20E0F375EABD}" name="Term1_Day_9" displayName="Term1_Day_9" ref="BF17:BK50" totalsRowShown="0" headerRowDxfId="616" dataDxfId="615">
  <autoFilter ref="BF17:BK50" xr:uid="{0FF72CE2-E9FA-4F58-918D-20E0F375EABD}">
    <filterColumn colId="0" hiddenButton="1"/>
    <filterColumn colId="1" hiddenButton="1"/>
    <filterColumn colId="2" hiddenButton="1"/>
    <filterColumn colId="3" hiddenButton="1"/>
    <filterColumn colId="4" hiddenButton="1"/>
    <filterColumn colId="5" hiddenButton="1"/>
  </autoFilter>
  <tableColumns count="6">
    <tableColumn id="1" xr3:uid="{9AD0012E-0BC2-42EB-94E9-17AE78E2D370}" name="Start" dataDxfId="614"/>
    <tableColumn id="2" xr3:uid="{A26E5406-516E-4292-9644-B2FFF606600A}" name="End" dataDxfId="613"/>
    <tableColumn id="4" xr3:uid="{0D67FE57-95A3-4C40-9A18-E0A2229AADFF}" name="Activity" dataDxfId="612"/>
    <tableColumn id="3" xr3:uid="{72713849-52FF-40A3-A894-AF338A1D1481}" name="Elapsed" dataDxfId="611">
      <calculatedColumnFormula>IF(OR(ISBLANK(Term1_Day_9[[#This Row],[Start]]),ISBLANK(Term1_Day_9[[#This Row],[End]])),"",(Term1_Day_9[[#This Row],[End]]-Term1_Day_9[[#This Row],[Start]])*1440)</calculatedColumnFormula>
    </tableColumn>
    <tableColumn id="5" xr3:uid="{A49A65C4-1C63-40DD-8090-02508A4E336D}" name="Instructional Time" dataDxfId="610">
      <calculatedColumnFormula>IF(ISBLANK(Term1_Day_9[[#This Row],[Activity]]),"",IF(_xlfn.XLOOKUP(Term1_Day_9[[#This Row],[Activity]],Types_of_Activity[Type of Activity],Types_of_Activity[Classification])=1,Term1_Day_9[[#This Row],[Elapsed]],0))</calculatedColumnFormula>
    </tableColumn>
    <tableColumn id="6" xr3:uid="{9964E386-E2EE-4936-8368-E53B59FF4582}" name="Assigned Time (Non-Instructional)" dataDxfId="609">
      <calculatedColumnFormula>IF(ISBLANK(Term1_Day_9[[#This Row],[Activity]]),"",IF(_xlfn.XLOOKUP(Term1_Day_9[[#This Row],[Activity]],Types_of_Activity[Type of Activity],Types_of_Activity[Classification])=2,Term1_Day_9[[#This Row],[Elapsed]],0))</calculatedColumnFormula>
    </tableColumn>
  </tableColumns>
  <tableStyleInfo name="TableStyleMedium9"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654DF0E5-BB09-4E0A-AA1D-A42EB786CD74}" name="Term1_Early_Dismissal_4" displayName="Term1_Early_Dismissal_4" ref="W56:AB89" totalsRowShown="0" headerRowDxfId="608" dataDxfId="607">
  <autoFilter ref="W56:AB89" xr:uid="{654DF0E5-BB09-4E0A-AA1D-A42EB786CD74}">
    <filterColumn colId="0" hiddenButton="1"/>
    <filterColumn colId="1" hiddenButton="1"/>
    <filterColumn colId="2" hiddenButton="1"/>
    <filterColumn colId="3" hiddenButton="1"/>
    <filterColumn colId="4" hiddenButton="1"/>
    <filterColumn colId="5" hiddenButton="1"/>
  </autoFilter>
  <tableColumns count="6">
    <tableColumn id="1" xr3:uid="{E8F294A9-99E6-46DF-9CB8-0991CE4C4CDB}" name="Start" dataDxfId="606"/>
    <tableColumn id="2" xr3:uid="{E8593993-EDED-4B35-8D33-48D9F87383C8}" name="End" dataDxfId="605"/>
    <tableColumn id="4" xr3:uid="{0543AFCA-1467-43CB-BEBA-11F117B8841C}" name="Activity" dataDxfId="604"/>
    <tableColumn id="3" xr3:uid="{8FA0D864-C936-43D2-AA26-92BE949C10D7}" name="Elapsed" dataDxfId="603">
      <calculatedColumnFormula>IF(OR(ISBLANK(Term1_Early_Dismissal_4[[#This Row],[Start]]),ISBLANK(Term1_Early_Dismissal_4[[#This Row],[End]])),"",(Term1_Early_Dismissal_4[[#This Row],[End]]-Term1_Early_Dismissal_4[[#This Row],[Start]])*1440)</calculatedColumnFormula>
    </tableColumn>
    <tableColumn id="5" xr3:uid="{D50A74A0-ABC0-4574-977C-C4E9480874E2}" name="Instructional Time" dataDxfId="602">
      <calculatedColumnFormula>IF(ISBLANK(Term1_Early_Dismissal_4[[#This Row],[Activity]]),"",IF(_xlfn.XLOOKUP(Term1_Early_Dismissal_4[[#This Row],[Activity]],Types_of_Activity[Type of Activity],Types_of_Activity[Classification])=1,Term1_Early_Dismissal_4[[#This Row],[Elapsed]],0))</calculatedColumnFormula>
    </tableColumn>
    <tableColumn id="6" xr3:uid="{65592BCB-D252-47E0-8A27-D7FE703EE892}" name="Assigned Time (Non-Instructional)" dataDxfId="601">
      <calculatedColumnFormula>IF(ISBLANK(Term1_Early_Dismissal_4[[#This Row],[Activity]]),"",IF(_xlfn.XLOOKUP(Term1_Early_Dismissal_4[[#This Row],[Activity]],Types_of_Activity[Type of Activity],Types_of_Activity[Classification])=2,Term1_Early_Dismissal_4[[#This Row],[Elapsed]],0))</calculatedColumnFormula>
    </tableColumn>
  </tableColumns>
  <tableStyleInfo name="TableStyleMedium9"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FC406357-5C2D-4D10-A993-119E9A9AD15E}" name="Term1_Early_Dismissal_5" displayName="Term1_Early_Dismissal_5" ref="AD56:AI89" totalsRowShown="0" headerRowDxfId="600" dataDxfId="599">
  <autoFilter ref="AD56:AI89" xr:uid="{FC406357-5C2D-4D10-A993-119E9A9AD15E}">
    <filterColumn colId="0" hiddenButton="1"/>
    <filterColumn colId="1" hiddenButton="1"/>
    <filterColumn colId="2" hiddenButton="1"/>
    <filterColumn colId="3" hiddenButton="1"/>
    <filterColumn colId="4" hiddenButton="1"/>
    <filterColumn colId="5" hiddenButton="1"/>
  </autoFilter>
  <tableColumns count="6">
    <tableColumn id="1" xr3:uid="{BC5A25FA-0B10-4F32-BD20-69ABFB4F352C}" name="Start" dataDxfId="598"/>
    <tableColumn id="2" xr3:uid="{6C10C6D0-7BEA-403C-9543-6E271068BA14}" name="End" dataDxfId="597"/>
    <tableColumn id="4" xr3:uid="{BDE8511D-E93F-47A2-A1C1-51D5FEF876E1}" name="Activity" dataDxfId="596"/>
    <tableColumn id="3" xr3:uid="{4B090B32-B78F-43F2-928F-1C0EEFF5C0BE}" name="Elapsed" dataDxfId="595">
      <calculatedColumnFormula>IF(OR(ISBLANK(Term1_Early_Dismissal_5[[#This Row],[Start]]),ISBLANK(Term1_Early_Dismissal_5[[#This Row],[End]])),"",(Term1_Early_Dismissal_5[[#This Row],[End]]-Term1_Early_Dismissal_5[[#This Row],[Start]])*1440)</calculatedColumnFormula>
    </tableColumn>
    <tableColumn id="5" xr3:uid="{4BD45C95-330E-4BF4-BDAC-C180B94AC7D5}" name="Instructional Time" dataDxfId="594">
      <calculatedColumnFormula>IF(ISBLANK(Term1_Early_Dismissal_5[[#This Row],[Activity]]),"",IF(_xlfn.XLOOKUP(Term1_Early_Dismissal_5[[#This Row],[Activity]],Types_of_Activity[Type of Activity],Types_of_Activity[Classification])=1,Term1_Early_Dismissal_5[[#This Row],[Elapsed]],0))</calculatedColumnFormula>
    </tableColumn>
    <tableColumn id="6" xr3:uid="{FF6E8C23-7FAE-41BB-AEEE-0331BE7F2F7E}" name="Assigned Time (Non-Instructional)" dataDxfId="593">
      <calculatedColumnFormula>IF(ISBLANK(Term1_Early_Dismissal_5[[#This Row],[Activity]]),"",IF(_xlfn.XLOOKUP(Term1_Early_Dismissal_5[[#This Row],[Activity]],Types_of_Activity[Type of Activity],Types_of_Activity[Classification])=2,Term1_Early_Dismissal_5[[#This Row],[Elapsed]],0))</calculatedColumnFormula>
    </tableColumn>
  </tableColumns>
  <tableStyleInfo name="TableStyleMedium9"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B9402196-0A48-4355-B3D5-37F8A569FC9B}" name="Term1_Early_Dismissal_6" displayName="Term1_Early_Dismissal_6" ref="AK56:AP89" totalsRowShown="0" headerRowDxfId="592" dataDxfId="591">
  <autoFilter ref="AK56:AP89" xr:uid="{B9402196-0A48-4355-B3D5-37F8A569FC9B}">
    <filterColumn colId="0" hiddenButton="1"/>
    <filterColumn colId="1" hiddenButton="1"/>
    <filterColumn colId="2" hiddenButton="1"/>
    <filterColumn colId="3" hiddenButton="1"/>
    <filterColumn colId="4" hiddenButton="1"/>
    <filterColumn colId="5" hiddenButton="1"/>
  </autoFilter>
  <tableColumns count="6">
    <tableColumn id="1" xr3:uid="{F80C532F-4042-49CF-B202-44761DA95C60}" name="Start" dataDxfId="590"/>
    <tableColumn id="2" xr3:uid="{91304BD5-9E30-4535-BC5A-32D1DC4DB7FD}" name="End" dataDxfId="589"/>
    <tableColumn id="4" xr3:uid="{970E7B08-445B-494B-A103-B702640464D2}" name="Activity" dataDxfId="588"/>
    <tableColumn id="3" xr3:uid="{ADA5915C-F037-42E1-98B9-9F00B320FD3C}" name="Elapsed" dataDxfId="587">
      <calculatedColumnFormula>IF(OR(ISBLANK(Term1_Early_Dismissal_6[[#This Row],[Start]]),ISBLANK(Term1_Early_Dismissal_6[[#This Row],[End]])),"",(Term1_Early_Dismissal_6[[#This Row],[End]]-Term1_Early_Dismissal_6[[#This Row],[Start]])*1440)</calculatedColumnFormula>
    </tableColumn>
    <tableColumn id="5" xr3:uid="{C8C0A025-60C7-4FD8-A592-B3CC44086D20}" name="Instructional Time" dataDxfId="586">
      <calculatedColumnFormula>IF(ISBLANK(Term1_Early_Dismissal_6[[#This Row],[Activity]]),"",IF(_xlfn.XLOOKUP(Term1_Early_Dismissal_6[[#This Row],[Activity]],Types_of_Activity[Type of Activity],Types_of_Activity[Classification])=1,Term1_Early_Dismissal_6[[#This Row],[Elapsed]],0))</calculatedColumnFormula>
    </tableColumn>
    <tableColumn id="6" xr3:uid="{D612A667-B00C-454A-82BD-E80ABCCB7A61}" name="Assigned Time (Non-Instructional)" dataDxfId="585">
      <calculatedColumnFormula>IF(ISBLANK(Term1_Early_Dismissal_6[[#This Row],[Activity]]),"",IF(_xlfn.XLOOKUP(Term1_Early_Dismissal_6[[#This Row],[Activity]],Types_of_Activity[Type of Activity],Types_of_Activity[Classification])=2,Term1_Early_Dismissal_6[[#This Row],[Elapsed]],0))</calculatedColumnFormula>
    </tableColumn>
  </tableColumns>
  <tableStyleInfo name="TableStyleMedium9"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9005A05B-56F6-4713-A53B-E9ECD23FF681}" name="Term2_Day_1" displayName="Term2_Day_1" ref="B17:G50" totalsRowShown="0" headerRowDxfId="584" dataDxfId="583">
  <autoFilter ref="B17:G50" xr:uid="{B136AA2D-167D-4FB0-80FF-9B5EB74FD3E6}">
    <filterColumn colId="0" hiddenButton="1"/>
    <filterColumn colId="1" hiddenButton="1"/>
    <filterColumn colId="2" hiddenButton="1"/>
    <filterColumn colId="3" hiddenButton="1"/>
    <filterColumn colId="4" hiddenButton="1"/>
    <filterColumn colId="5" hiddenButton="1"/>
  </autoFilter>
  <tableColumns count="6">
    <tableColumn id="1" xr3:uid="{5DAFF907-A359-4478-AF22-C1AC7DB708B7}" name="Start" dataDxfId="582"/>
    <tableColumn id="2" xr3:uid="{96F4A156-FBB5-40A2-BEC7-1D1B7E7958B4}" name="End" dataDxfId="581"/>
    <tableColumn id="4" xr3:uid="{1BE4D87F-0262-4ACB-8286-77A11EB11DBF}" name="Activity" dataDxfId="580"/>
    <tableColumn id="3" xr3:uid="{22CD194F-FAF6-4506-AF70-8BF9E7E56216}" name="Elapsed" dataDxfId="579">
      <calculatedColumnFormula>IF(OR(ISBLANK(Term2_Day_1[[#This Row],[Start]]),ISBLANK(Term2_Day_1[[#This Row],[End]])),"",(Term2_Day_1[[#This Row],[End]]-Term2_Day_1[[#This Row],[Start]])*1440)</calculatedColumnFormula>
    </tableColumn>
    <tableColumn id="5" xr3:uid="{68D2F9D3-3089-4475-B202-BCCC1446BD19}" name="Instructional Time" dataDxfId="578">
      <calculatedColumnFormula>IF(ISBLANK(Term2_Day_1[[#This Row],[Activity]]),"",IF(_xlfn.XLOOKUP(Term2_Day_1[[#This Row],[Activity]],Types_of_Activity[Type of Activity],Types_of_Activity[Classification])=1,Term2_Day_1[[#This Row],[Elapsed]],0))</calculatedColumnFormula>
    </tableColumn>
    <tableColumn id="6" xr3:uid="{B2129974-E8D8-4A82-BDF9-7B4060BEEDB5}" name="Assigned Time (Non-Instructional)" dataDxfId="577">
      <calculatedColumnFormula>IF(ISBLANK(Term2_Day_1[[#This Row],[Activity]]),"",IF(_xlfn.XLOOKUP(Term2_Day_1[[#This Row],[Activity]],Types_of_Activity[Type of Activity],Types_of_Activity[Classification])=2,Term2_Day_1[[#This Row],[Elapsed]],0))</calculatedColumnFormula>
    </tableColumn>
  </tableColumns>
  <tableStyleInfo name="TableStyleMedium9"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66AD837A-697A-473C-B997-396D491BAFE0}" name="Term2_Day_2" displayName="Term2_Day_2" ref="I17:N50" totalsRowShown="0" headerRowDxfId="576" dataDxfId="575">
  <autoFilter ref="I17:N50" xr:uid="{920CC304-28D5-4D8E-A5FC-1CB071FB46BE}">
    <filterColumn colId="0" hiddenButton="1"/>
    <filterColumn colId="1" hiddenButton="1"/>
    <filterColumn colId="2" hiddenButton="1"/>
    <filterColumn colId="3" hiddenButton="1"/>
    <filterColumn colId="4" hiddenButton="1"/>
    <filterColumn colId="5" hiddenButton="1"/>
  </autoFilter>
  <tableColumns count="6">
    <tableColumn id="1" xr3:uid="{D3E8D148-6E02-4A1A-86C6-7851EDEFBBAC}" name="Start" dataDxfId="574"/>
    <tableColumn id="2" xr3:uid="{4F5E4B18-EEA4-4D09-8FB0-4960D85BC944}" name="End" dataDxfId="573"/>
    <tableColumn id="4" xr3:uid="{A1353C23-47C2-4770-8795-9960A53CD006}" name="Activity" dataDxfId="572"/>
    <tableColumn id="3" xr3:uid="{87B428F1-CD0D-407D-B611-A840AED20092}" name="Elapsed" dataDxfId="571">
      <calculatedColumnFormula>IF(OR(ISBLANK(Term2_Day_2[[#This Row],[Start]]),ISBLANK(Term2_Day_2[[#This Row],[End]])),"",(Term2_Day_2[[#This Row],[End]]-Term2_Day_2[[#This Row],[Start]])*1440)</calculatedColumnFormula>
    </tableColumn>
    <tableColumn id="5" xr3:uid="{4FF30FC6-1AA6-49A4-A51C-FE0073E7D070}" name="Instructional Time" dataDxfId="570">
      <calculatedColumnFormula>IF(ISBLANK(Term2_Day_2[[#This Row],[Activity]]),"",IF(_xlfn.XLOOKUP(Term2_Day_2[[#This Row],[Activity]],Types_of_Activity[Type of Activity],Types_of_Activity[Classification])=1,Term2_Day_2[[#This Row],[Elapsed]],0))</calculatedColumnFormula>
    </tableColumn>
    <tableColumn id="6" xr3:uid="{306F00FE-C00E-4136-AE92-1A2BBB52FD68}" name="Assigned Time (Non-Instructional)" dataDxfId="569">
      <calculatedColumnFormula>IF(ISBLANK(Term2_Day_2[[#This Row],[Activity]]),"",IF(_xlfn.XLOOKUP(Term2_Day_2[[#This Row],[Activity]],Types_of_Activity[Type of Activity],Types_of_Activity[Classification])=2,Term2_Day_2[[#This Row],[Elapsed]],0))</calculatedColumnFormula>
    </tableColumn>
  </tableColumns>
  <tableStyleInfo name="TableStyleMedium9"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1014BD49-C86A-4E4A-BBBA-E511C2293EF1}" name="Term2_Day_3" displayName="Term2_Day_3" ref="P17:U50" totalsRowShown="0" headerRowDxfId="568" dataDxfId="567">
  <autoFilter ref="P17:U50" xr:uid="{A5552C8D-A374-464F-9A16-AA32C6A4F329}">
    <filterColumn colId="0" hiddenButton="1"/>
    <filterColumn colId="1" hiddenButton="1"/>
    <filterColumn colId="2" hiddenButton="1"/>
    <filterColumn colId="3" hiddenButton="1"/>
    <filterColumn colId="4" hiddenButton="1"/>
    <filterColumn colId="5" hiddenButton="1"/>
  </autoFilter>
  <tableColumns count="6">
    <tableColumn id="1" xr3:uid="{BA3E469E-AAEC-44B2-B829-F640E1CC4C6E}" name="Start" dataDxfId="566"/>
    <tableColumn id="2" xr3:uid="{7F47BEF3-11DB-40D8-B7A6-2F888FEF9C1E}" name="End" dataDxfId="565"/>
    <tableColumn id="4" xr3:uid="{8C0B899D-F1E3-4E43-9B4B-BC35095595FF}" name="Activity" dataDxfId="564"/>
    <tableColumn id="3" xr3:uid="{64CEB236-84C6-44A4-BE23-A30E1783B72E}" name="Elapsed" dataDxfId="563">
      <calculatedColumnFormula>IF(OR(ISBLANK(Term2_Day_3[[#This Row],[Start]]),ISBLANK(Term2_Day_3[[#This Row],[End]])),"",(Term2_Day_3[[#This Row],[End]]-Term2_Day_3[[#This Row],[Start]])*1440)</calculatedColumnFormula>
    </tableColumn>
    <tableColumn id="5" xr3:uid="{2C5171AB-C266-483A-9B8F-576250BE6776}" name="Instructional Time" dataDxfId="562">
      <calculatedColumnFormula>IF(ISBLANK(Term2_Day_3[[#This Row],[Activity]]),"",IF(_xlfn.XLOOKUP(Term2_Day_3[[#This Row],[Activity]],Types_of_Activity[Type of Activity],Types_of_Activity[Classification])=1,Term2_Day_3[[#This Row],[Elapsed]],0))</calculatedColumnFormula>
    </tableColumn>
    <tableColumn id="6" xr3:uid="{89859609-669E-4E9A-A29B-D234737CD4A5}" name="Assigned Time (Non-Instructional)" dataDxfId="561">
      <calculatedColumnFormula>IF(ISBLANK(Term2_Day_3[[#This Row],[Activity]]),"",IF(_xlfn.XLOOKUP(Term2_Day_3[[#This Row],[Activity]],Types_of_Activity[Type of Activity],Types_of_Activity[Classification])=2,Term2_Day_3[[#This Row],[Elapsed]],0))</calculatedColumnFormula>
    </tableColumn>
  </tableColumns>
  <tableStyleInfo name="TableStyleMedium9"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3367EEAC-6AEF-4B24-9F41-D43DA6DCADB9}" name="Term2_Day_4" displayName="Term2_Day_4" ref="W17:AB50" totalsRowShown="0" headerRowDxfId="560" dataDxfId="559">
  <autoFilter ref="W17:AB50" xr:uid="{ED863ACF-58C1-4D72-959F-71C1B6DE7A25}">
    <filterColumn colId="0" hiddenButton="1"/>
    <filterColumn colId="1" hiddenButton="1"/>
    <filterColumn colId="2" hiddenButton="1"/>
    <filterColumn colId="3" hiddenButton="1"/>
    <filterColumn colId="4" hiddenButton="1"/>
    <filterColumn colId="5" hiddenButton="1"/>
  </autoFilter>
  <tableColumns count="6">
    <tableColumn id="1" xr3:uid="{D0C0E90C-0B36-4FDF-B547-2E625EC3DC0E}" name="Start" dataDxfId="558"/>
    <tableColumn id="2" xr3:uid="{64F11DE3-B0F9-4A6C-8F47-13EB9697797B}" name="End" dataDxfId="557"/>
    <tableColumn id="4" xr3:uid="{EED05A1F-FEBD-443D-ADCF-D1BCE80DD4FA}" name="Activity" dataDxfId="556"/>
    <tableColumn id="3" xr3:uid="{38AEB462-3AF1-475D-B03A-40A1ED7D3ACB}" name="Elapsed" dataDxfId="555">
      <calculatedColumnFormula>IF(OR(ISBLANK(Term2_Day_4[[#This Row],[Start]]),ISBLANK(Term2_Day_4[[#This Row],[End]])),"",(Term2_Day_4[[#This Row],[End]]-Term2_Day_4[[#This Row],[Start]])*1440)</calculatedColumnFormula>
    </tableColumn>
    <tableColumn id="5" xr3:uid="{C201974D-2D3D-4A75-AF53-FCA1353E8D5B}" name="Instructional Time" dataDxfId="554">
      <calculatedColumnFormula>IF(ISBLANK(Term2_Day_4[[#This Row],[Activity]]),"",IF(_xlfn.XLOOKUP(Term2_Day_4[[#This Row],[Activity]],Types_of_Activity[Type of Activity],Types_of_Activity[Classification])=1,Term2_Day_4[[#This Row],[Elapsed]],0))</calculatedColumnFormula>
    </tableColumn>
    <tableColumn id="6" xr3:uid="{6896D259-B7A3-49FD-B747-E7D410775064}" name="Assigned Time (Non-Instructional)" dataDxfId="553">
      <calculatedColumnFormula>IF(ISBLANK(Term2_Day_4[[#This Row],[Activity]]),"",IF(_xlfn.XLOOKUP(Term2_Day_4[[#This Row],[Activity]],Types_of_Activity[Type of Activity],Types_of_Activity[Classification])=2,Term2_Day_4[[#This Row],[Elapsed]],0))</calculatedColumnFormula>
    </tableColumn>
  </tableColumns>
  <tableStyleInfo name="TableStyleMedium9"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5AC80DCB-9D57-444F-8738-AA13E85F26B5}" name="Term2_Day_5" displayName="Term2_Day_5" ref="AD17:AI50" totalsRowShown="0" headerRowDxfId="552" dataDxfId="551">
  <autoFilter ref="AD17:AI50" xr:uid="{838371F3-74A6-4468-8630-90FA9F2810C8}">
    <filterColumn colId="0" hiddenButton="1"/>
    <filterColumn colId="1" hiddenButton="1"/>
    <filterColumn colId="2" hiddenButton="1"/>
    <filterColumn colId="3" hiddenButton="1"/>
    <filterColumn colId="4" hiddenButton="1"/>
    <filterColumn colId="5" hiddenButton="1"/>
  </autoFilter>
  <tableColumns count="6">
    <tableColumn id="1" xr3:uid="{E7669B1C-0FA6-48FE-9B25-B6A1500F1963}" name="Start" dataDxfId="550"/>
    <tableColumn id="2" xr3:uid="{662764B1-596C-42D8-A8A3-D29E1B44C413}" name="End" dataDxfId="549"/>
    <tableColumn id="4" xr3:uid="{F9646F66-AB1D-42B3-99EA-148EE97E77CC}" name="Activity" dataDxfId="548"/>
    <tableColumn id="3" xr3:uid="{67EEBE3C-72E7-4CA6-B359-08B91BA91474}" name="Elapsed" dataDxfId="547">
      <calculatedColumnFormula>IF(OR(ISBLANK(Term2_Day_5[[#This Row],[Start]]),ISBLANK(Term2_Day_5[[#This Row],[End]])),"",(Term2_Day_5[[#This Row],[End]]-Term2_Day_5[[#This Row],[Start]])*1440)</calculatedColumnFormula>
    </tableColumn>
    <tableColumn id="5" xr3:uid="{703FFDAB-E548-4A62-BE1E-72B7499A608D}" name="Instructional Time" dataDxfId="546">
      <calculatedColumnFormula>IF(ISBLANK(Term2_Day_5[[#This Row],[Activity]]),"",IF(_xlfn.XLOOKUP(Term2_Day_5[[#This Row],[Activity]],Types_of_Activity[Type of Activity],Types_of_Activity[Classification])=1,Term2_Day_5[[#This Row],[Elapsed]],0))</calculatedColumnFormula>
    </tableColumn>
    <tableColumn id="6" xr3:uid="{3D0DDF44-C6BF-41F7-8E3B-3F8DA7EA9699}" name="Assigned Time (Non-Instructional)" dataDxfId="545">
      <calculatedColumnFormula>IF(ISBLANK(Term2_Day_5[[#This Row],[Activity]]),"",IF(_xlfn.XLOOKUP(Term2_Day_5[[#This Row],[Activity]],Types_of_Activity[Type of Activity],Types_of_Activity[Classification])=2,Term2_Day_5[[#This Row],[Elapsed]],0))</calculatedColumnFormula>
    </tableColumn>
  </tableColumns>
  <tableStyleInfo name="TableStyleMedium9"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42D32953-F493-47BE-8692-CCBE801129DC}" name="Term2_Day_6" displayName="Term2_Day_6" ref="AK17:AP50" totalsRowShown="0" headerRowDxfId="544" dataDxfId="543">
  <autoFilter ref="AK17:AP50" xr:uid="{DBCE6DC7-4B78-4556-BA9E-D00F0D5B9B5F}">
    <filterColumn colId="0" hiddenButton="1"/>
    <filterColumn colId="1" hiddenButton="1"/>
    <filterColumn colId="2" hiddenButton="1"/>
    <filterColumn colId="3" hiddenButton="1"/>
    <filterColumn colId="4" hiddenButton="1"/>
    <filterColumn colId="5" hiddenButton="1"/>
  </autoFilter>
  <tableColumns count="6">
    <tableColumn id="1" xr3:uid="{FB783D5B-4EC1-4DF1-800E-86A708378E94}" name="Start" dataDxfId="542"/>
    <tableColumn id="2" xr3:uid="{9E6B4E1D-20F9-479F-851A-93F2A3869187}" name="End" dataDxfId="541"/>
    <tableColumn id="4" xr3:uid="{41AE59D1-781F-47DD-8978-8998B32A49B9}" name="Activity" dataDxfId="540"/>
    <tableColumn id="3" xr3:uid="{E4C9D57A-900B-4CB2-BCE9-D4693FDA4A58}" name="Elapsed" dataDxfId="539">
      <calculatedColumnFormula>IF(OR(ISBLANK(Term2_Day_6[[#This Row],[Start]]),ISBLANK(Term2_Day_6[[#This Row],[End]])),"",(Term2_Day_6[[#This Row],[End]]-Term2_Day_6[[#This Row],[Start]])*1440)</calculatedColumnFormula>
    </tableColumn>
    <tableColumn id="5" xr3:uid="{7FCEC744-0538-4140-B113-C2B442DCBC58}" name="Instructional Time" dataDxfId="538">
      <calculatedColumnFormula>IF(ISBLANK(Term2_Day_6[[#This Row],[Activity]]),"",IF(_xlfn.XLOOKUP(Term2_Day_6[[#This Row],[Activity]],Types_of_Activity[Type of Activity],Types_of_Activity[Classification])=1,Term2_Day_6[[#This Row],[Elapsed]],0))</calculatedColumnFormula>
    </tableColumn>
    <tableColumn id="6" xr3:uid="{5BF012D0-9D74-45B4-8F68-78C53D9EFDA0}" name="Assigned Time (Non-Instructional)" dataDxfId="537">
      <calculatedColumnFormula>IF(ISBLANK(Term2_Day_6[[#This Row],[Activity]]),"",IF(_xlfn.XLOOKUP(Term2_Day_6[[#This Row],[Activity]],Types_of_Activity[Type of Activity],Types_of_Activity[Classification])=2,Term2_Day_6[[#This Row],[Elapsed]],0))</calculatedColumnFormula>
    </tableColumn>
  </tableColumns>
  <tableStyleInfo name="TableStyleMedium9"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D8D4A584-0740-4101-BD91-A55D886C94BD}" name="Term2_Day_10" displayName="Term2_Day_10" ref="BM17:BR50" totalsRowShown="0" headerRowDxfId="536" dataDxfId="535">
  <autoFilter ref="BM17:BR50" xr:uid="{7680EA40-2B46-4501-B37E-F9BAB4FFCA79}">
    <filterColumn colId="0" hiddenButton="1"/>
    <filterColumn colId="1" hiddenButton="1"/>
    <filterColumn colId="2" hiddenButton="1"/>
    <filterColumn colId="3" hiddenButton="1"/>
    <filterColumn colId="4" hiddenButton="1"/>
    <filterColumn colId="5" hiddenButton="1"/>
  </autoFilter>
  <tableColumns count="6">
    <tableColumn id="1" xr3:uid="{78BF31DC-292E-4D2B-A2ED-3942FC5BA061}" name="Start" dataDxfId="534"/>
    <tableColumn id="2" xr3:uid="{0B2C740E-5F19-4E0E-B843-787BB329D860}" name="End" dataDxfId="533"/>
    <tableColumn id="4" xr3:uid="{DE35AE6B-ED0B-44B5-8DF2-94E250A46CB8}" name="Activity" dataDxfId="532"/>
    <tableColumn id="3" xr3:uid="{DDDF7361-A060-48CA-8D5A-FAF5A94E36F8}" name="Elapsed" dataDxfId="531">
      <calculatedColumnFormula>IF(OR(ISBLANK(Term2_Day_10[[#This Row],[Start]]),ISBLANK(Term2_Day_10[[#This Row],[End]])),"",(Term2_Day_10[[#This Row],[End]]-Term2_Day_10[[#This Row],[Start]])*1440)</calculatedColumnFormula>
    </tableColumn>
    <tableColumn id="5" xr3:uid="{007A885A-EFED-4214-BAAE-A31503621E8C}" name="Instructional Time" dataDxfId="530">
      <calculatedColumnFormula>IF(ISBLANK(Term2_Day_10[[#This Row],[Activity]]),"",IF(_xlfn.XLOOKUP(Term2_Day_10[[#This Row],[Activity]],Types_of_Activity[Type of Activity],Types_of_Activity[Classification])=1,Term2_Day_10[[#This Row],[Elapsed]],0))</calculatedColumnFormula>
    </tableColumn>
    <tableColumn id="6" xr3:uid="{0B0C0D18-B987-467A-84F1-8F163DC4E31D}" name="Assigned Time (Non-Instructional)" dataDxfId="529">
      <calculatedColumnFormula>IF(ISBLANK(Term2_Day_10[[#This Row],[Activity]]),"",IF(_xlfn.XLOOKUP(Term2_Day_10[[#This Row],[Activity]],Types_of_Activity[Type of Activity],Types_of_Activity[Classification])=2,Term2_Day_10[[#This Row],[Elapsed]],0))</calculatedColumnFormula>
    </tableColumn>
  </tableColumns>
  <tableStyleInfo name="TableStyleMedium9"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C6DE89CA-99BC-4105-8DBD-B5E5FD943580}" name="Term2_Early_Dismissal_1" displayName="Term2_Early_Dismissal_1" ref="B56:G89" totalsRowShown="0" headerRowDxfId="528" dataDxfId="527">
  <autoFilter ref="B56:G89" xr:uid="{C6DE89CA-99BC-4105-8DBD-B5E5FD943580}">
    <filterColumn colId="0" hiddenButton="1"/>
    <filterColumn colId="1" hiddenButton="1"/>
    <filterColumn colId="2" hiddenButton="1"/>
    <filterColumn colId="3" hiddenButton="1"/>
    <filterColumn colId="4" hiddenButton="1"/>
    <filterColumn colId="5" hiddenButton="1"/>
  </autoFilter>
  <tableColumns count="6">
    <tableColumn id="1" xr3:uid="{C89EF65F-8C84-43ED-92D8-6BC97ADA4C2E}" name="Start" dataDxfId="526"/>
    <tableColumn id="2" xr3:uid="{DEE48A16-808D-4738-8E8F-46C4B8789DEA}" name="End" dataDxfId="525"/>
    <tableColumn id="4" xr3:uid="{43348BD4-E532-4061-9901-010D08D845E6}" name="Activity" dataDxfId="524"/>
    <tableColumn id="3" xr3:uid="{2F0C4CCA-1A28-4CB6-9439-0A8CB17B042A}" name="Elapsed" dataDxfId="523">
      <calculatedColumnFormula>IF(OR(ISBLANK(Term2_Early_Dismissal_1[[#This Row],[Start]]),ISBLANK(Term2_Early_Dismissal_1[[#This Row],[End]])),"",(Term2_Early_Dismissal_1[[#This Row],[End]]-Term2_Early_Dismissal_1[[#This Row],[Start]])*1440)</calculatedColumnFormula>
    </tableColumn>
    <tableColumn id="5" xr3:uid="{1E174D58-1E58-42AD-AF1C-701FE709E87E}" name="Instructional Time" dataDxfId="522">
      <calculatedColumnFormula>IF(ISBLANK(Term2_Early_Dismissal_1[[#This Row],[Activity]]),"",IF(_xlfn.XLOOKUP(Term2_Early_Dismissal_1[[#This Row],[Activity]],Types_of_Activity[Type of Activity],Types_of_Activity[Classification])=1,Term2_Early_Dismissal_1[[#This Row],[Elapsed]],0))</calculatedColumnFormula>
    </tableColumn>
    <tableColumn id="6" xr3:uid="{C74661A8-BB3A-4469-890B-0D93064D5CB8}" name="Assigned Time (Non-Instructional)" dataDxfId="521">
      <calculatedColumnFormula>IF(ISBLANK(Term2_Early_Dismissal_1[[#This Row],[Activity]]),"",IF(_xlfn.XLOOKUP(Term2_Early_Dismissal_1[[#This Row],[Activity]],Types_of_Activity[Type of Activity],Types_of_Activity[Classification])=2,Term2_Early_Dismissal_1[[#This Row],[Elapsed]],0))</calculatedColumnFormula>
    </tableColumn>
  </tableColumns>
  <tableStyleInfo name="TableStyleMedium9"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F533705E-4266-404B-AF64-076D23E3A96F}" name="Term2_Early_Dismissal_2" displayName="Term2_Early_Dismissal_2" ref="I56:N89" totalsRowShown="0" headerRowDxfId="520" dataDxfId="519">
  <autoFilter ref="I56:N89" xr:uid="{F533705E-4266-404B-AF64-076D23E3A96F}">
    <filterColumn colId="0" hiddenButton="1"/>
    <filterColumn colId="1" hiddenButton="1"/>
    <filterColumn colId="2" hiddenButton="1"/>
    <filterColumn colId="3" hiddenButton="1"/>
    <filterColumn colId="4" hiddenButton="1"/>
    <filterColumn colId="5" hiddenButton="1"/>
  </autoFilter>
  <tableColumns count="6">
    <tableColumn id="1" xr3:uid="{65DDA149-BBB5-4009-A42D-44C3C49018ED}" name="Start" dataDxfId="518"/>
    <tableColumn id="2" xr3:uid="{C9469850-3678-4453-ABC8-D769B4E421F0}" name="End" dataDxfId="517"/>
    <tableColumn id="4" xr3:uid="{5BDA274A-CC2B-448D-AA04-294091342042}" name="Activity" dataDxfId="516"/>
    <tableColumn id="3" xr3:uid="{6121D988-6435-46DF-B924-8B591C827B5D}" name="Elapsed" dataDxfId="515">
      <calculatedColumnFormula>IF(OR(ISBLANK(Term2_Early_Dismissal_2[[#This Row],[Start]]),ISBLANK(Term2_Early_Dismissal_2[[#This Row],[End]])),"",(Term2_Early_Dismissal_2[[#This Row],[End]]-Term2_Early_Dismissal_2[[#This Row],[Start]])*1440)</calculatedColumnFormula>
    </tableColumn>
    <tableColumn id="5" xr3:uid="{B6567694-6F88-4FB5-9C0A-F47879BD048D}" name="Instructional Time" dataDxfId="514">
      <calculatedColumnFormula>IF(ISBLANK(Term2_Early_Dismissal_2[[#This Row],[Activity]]),"",IF(_xlfn.XLOOKUP(Term2_Early_Dismissal_2[[#This Row],[Activity]],Types_of_Activity[Type of Activity],Types_of_Activity[Classification])=1,Term2_Early_Dismissal_2[[#This Row],[Elapsed]],0))</calculatedColumnFormula>
    </tableColumn>
    <tableColumn id="6" xr3:uid="{EFFDB7F1-F39A-429A-BBB8-65BC7D979410}" name="Assigned Time (Non-Instructional)" dataDxfId="513">
      <calculatedColumnFormula>IF(ISBLANK(Term2_Early_Dismissal_2[[#This Row],[Activity]]),"",IF(_xlfn.XLOOKUP(Term2_Early_Dismissal_2[[#This Row],[Activity]],Types_of_Activity[Type of Activity],Types_of_Activity[Classification])=2,Term2_Early_Dismissal_2[[#This Row],[Elapsed]],0))</calculatedColumnFormula>
    </tableColumn>
  </tableColumns>
  <tableStyleInfo name="TableStyleMedium9"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196E39DD-7C6D-4345-9ADA-3ED273AA0A08}" name="Term2_Special_Day_1" displayName="Term2_Special_Day_1" ref="B98:G131" totalsRowShown="0" headerRowDxfId="512" dataDxfId="511">
  <autoFilter ref="B98:G131" xr:uid="{196E39DD-7C6D-4345-9ADA-3ED273AA0A08}">
    <filterColumn colId="0" hiddenButton="1"/>
    <filterColumn colId="1" hiddenButton="1"/>
    <filterColumn colId="2" hiddenButton="1"/>
    <filterColumn colId="3" hiddenButton="1"/>
    <filterColumn colId="4" hiddenButton="1"/>
    <filterColumn colId="5" hiddenButton="1"/>
  </autoFilter>
  <tableColumns count="6">
    <tableColumn id="1" xr3:uid="{DE629DCB-D40B-408C-B86A-1FA17D7AF90F}" name="Start" dataDxfId="510"/>
    <tableColumn id="2" xr3:uid="{FA7F8132-CAD1-465C-AD96-8253749EEA81}" name="End" dataDxfId="509"/>
    <tableColumn id="4" xr3:uid="{F8A2C888-8303-497C-A534-EEB911086D82}" name="Activity" dataDxfId="508"/>
    <tableColumn id="3" xr3:uid="{CB188E08-F841-4E2E-A5ED-855065C3E784}" name="Elapsed" dataDxfId="507">
      <calculatedColumnFormula>IF(OR(ISBLANK(Term2_Special_Day_1[[#This Row],[Start]]),ISBLANK(Term2_Special_Day_1[[#This Row],[End]])),"",(Term2_Special_Day_1[[#This Row],[End]]-Term2_Special_Day_1[[#This Row],[Start]])*1440)</calculatedColumnFormula>
    </tableColumn>
    <tableColumn id="5" xr3:uid="{ADD54904-48C7-4311-91AD-7CF6220F4B51}" name="Instructional Time" dataDxfId="506">
      <calculatedColumnFormula>IF(ISBLANK(Term2_Special_Day_1[[#This Row],[Activity]]),"",IF(_xlfn.XLOOKUP(Term2_Special_Day_1[[#This Row],[Activity]],Types_of_Activity[Type of Activity],Types_of_Activity[Classification])=1,Term2_Special_Day_1[[#This Row],[Elapsed]],0))</calculatedColumnFormula>
    </tableColumn>
    <tableColumn id="6" xr3:uid="{23102D12-573A-475E-A8F7-242B4B33508A}" name="Assigned Time (Non-Instructional)" dataDxfId="505">
      <calculatedColumnFormula>IF(ISBLANK(Term2_Special_Day_1[[#This Row],[Activity]]),"",IF(_xlfn.XLOOKUP(Term2_Special_Day_1[[#This Row],[Activity]],Types_of_Activity[Type of Activity],Types_of_Activity[Classification])=2,Term2_Special_Day_1[[#This Row],[Elapsed]],0))</calculatedColumnFormula>
    </tableColumn>
  </tableColumns>
  <tableStyleInfo name="TableStyleMedium9"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5C1A770F-60DF-4187-AB03-62B3225F8538}" name="Term2_Special_Day_2" displayName="Term2_Special_Day_2" ref="I98:N131" totalsRowShown="0" headerRowDxfId="504" dataDxfId="503">
  <autoFilter ref="I98:N131" xr:uid="{5C1A770F-60DF-4187-AB03-62B3225F8538}">
    <filterColumn colId="0" hiddenButton="1"/>
    <filterColumn colId="1" hiddenButton="1"/>
    <filterColumn colId="2" hiddenButton="1"/>
    <filterColumn colId="3" hiddenButton="1"/>
    <filterColumn colId="4" hiddenButton="1"/>
    <filterColumn colId="5" hiddenButton="1"/>
  </autoFilter>
  <tableColumns count="6">
    <tableColumn id="1" xr3:uid="{4AA2ACC9-04A1-49AB-A2F4-B7F0DC377A1E}" name="Start" dataDxfId="502"/>
    <tableColumn id="2" xr3:uid="{A68CA384-8D1E-4474-B136-F99F41ED14BD}" name="End" dataDxfId="501"/>
    <tableColumn id="4" xr3:uid="{7F19E971-AF99-45DA-B5EF-BA373D79CBCD}" name="Activity" dataDxfId="500"/>
    <tableColumn id="3" xr3:uid="{DF3F312C-B682-404F-B08D-DF6837E41778}" name="Elapsed" dataDxfId="499">
      <calculatedColumnFormula>IF(OR(ISBLANK(Term2_Special_Day_2[[#This Row],[Start]]),ISBLANK(Term2_Special_Day_2[[#This Row],[End]])),"",(Term2_Special_Day_2[[#This Row],[End]]-Term2_Special_Day_2[[#This Row],[Start]])*1440)</calculatedColumnFormula>
    </tableColumn>
    <tableColumn id="5" xr3:uid="{8BCC497C-9360-4061-8E44-79C6DAC1193E}" name="Instructional Time" dataDxfId="498">
      <calculatedColumnFormula>IF(ISBLANK(Term2_Special_Day_2[[#This Row],[Activity]]),"",IF(_xlfn.XLOOKUP(Term2_Special_Day_2[[#This Row],[Activity]],Types_of_Activity[Type of Activity],Types_of_Activity[Classification])=1,Term2_Special_Day_2[[#This Row],[Elapsed]],0))</calculatedColumnFormula>
    </tableColumn>
    <tableColumn id="6" xr3:uid="{954E354F-F971-4794-A296-256AF021C412}" name="Assigned Time (Non-Instructional)" dataDxfId="497">
      <calculatedColumnFormula>IF(ISBLANK(Term2_Special_Day_2[[#This Row],[Activity]]),"",IF(_xlfn.XLOOKUP(Term2_Special_Day_2[[#This Row],[Activity]],Types_of_Activity[Type of Activity],Types_of_Activity[Classification])=2,Term2_Special_Day_2[[#This Row],[Elapsed]],0))</calculatedColumnFormula>
    </tableColumn>
  </tableColumns>
  <tableStyleInfo name="TableStyleMedium9"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672F68EA-349A-4213-B5BB-7C496434B484}" name="Term2_Special_Day_3" displayName="Term2_Special_Day_3" ref="P98:U131" totalsRowShown="0" headerRowDxfId="496" dataDxfId="495">
  <autoFilter ref="P98:U131" xr:uid="{672F68EA-349A-4213-B5BB-7C496434B484}">
    <filterColumn colId="0" hiddenButton="1"/>
    <filterColumn colId="1" hiddenButton="1"/>
    <filterColumn colId="2" hiddenButton="1"/>
    <filterColumn colId="3" hiddenButton="1"/>
    <filterColumn colId="4" hiddenButton="1"/>
    <filterColumn colId="5" hiddenButton="1"/>
  </autoFilter>
  <tableColumns count="6">
    <tableColumn id="1" xr3:uid="{D667EEE7-3974-41D7-8659-6945D3A839AA}" name="Start" dataDxfId="494"/>
    <tableColumn id="2" xr3:uid="{7118DEA7-19D2-4E2B-B9E1-E63AE9D1DCAE}" name="End" dataDxfId="493"/>
    <tableColumn id="4" xr3:uid="{79026B32-FBE3-4163-86E4-1C4ACAC0D203}" name="Activity" dataDxfId="492"/>
    <tableColumn id="3" xr3:uid="{30F7F8B3-EF40-4C1D-AE16-96861200AC4F}" name="Elapsed" dataDxfId="491">
      <calculatedColumnFormula>IF(OR(ISBLANK(Term2_Special_Day_3[[#This Row],[Start]]),ISBLANK(Term2_Special_Day_3[[#This Row],[End]])),"",(Term2_Special_Day_3[[#This Row],[End]]-Term2_Special_Day_3[[#This Row],[Start]])*1440)</calculatedColumnFormula>
    </tableColumn>
    <tableColumn id="5" xr3:uid="{95354198-729B-447E-9CC4-E4E885A9F6B8}" name="Instructional Time" dataDxfId="490">
      <calculatedColumnFormula>IF(ISBLANK(Term2_Special_Day_3[[#This Row],[Activity]]),"",IF(_xlfn.XLOOKUP(Term2_Special_Day_3[[#This Row],[Activity]],Types_of_Activity[Type of Activity],Types_of_Activity[Classification])=1,Term2_Special_Day_3[[#This Row],[Elapsed]],0))</calculatedColumnFormula>
    </tableColumn>
    <tableColumn id="6" xr3:uid="{5A58D61F-242D-4BB7-B42C-212EAEA8B278}" name="Assigned Time (Non-Instructional)" dataDxfId="489">
      <calculatedColumnFormula>IF(ISBLANK(Term2_Special_Day_3[[#This Row],[Activity]]),"",IF(_xlfn.XLOOKUP(Term2_Special_Day_3[[#This Row],[Activity]],Types_of_Activity[Type of Activity],Types_of_Activity[Classification])=2,Term2_Special_Day_3[[#This Row],[Elapsed]],0))</calculatedColumnFormula>
    </tableColumn>
  </tableColumns>
  <tableStyleInfo name="TableStyleMedium9"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A17022D-2CAD-4C73-9AFA-39B9172843C1}" name="Term2_Early_Dismissal_3" displayName="Term2_Early_Dismissal_3" ref="P56:U89" totalsRowShown="0" headerRowDxfId="488" dataDxfId="487">
  <autoFilter ref="P56:U89" xr:uid="{0A17022D-2CAD-4C73-9AFA-39B9172843C1}">
    <filterColumn colId="0" hiddenButton="1"/>
    <filterColumn colId="1" hiddenButton="1"/>
    <filterColumn colId="2" hiddenButton="1"/>
    <filterColumn colId="3" hiddenButton="1"/>
    <filterColumn colId="4" hiddenButton="1"/>
    <filterColumn colId="5" hiddenButton="1"/>
  </autoFilter>
  <tableColumns count="6">
    <tableColumn id="1" xr3:uid="{8CB81E56-D0C4-4787-87F2-5447F769C501}" name="Start" dataDxfId="486"/>
    <tableColumn id="2" xr3:uid="{8C11B563-9050-486F-B0E6-14DD23241574}" name="End" dataDxfId="485"/>
    <tableColumn id="4" xr3:uid="{809DA328-4B56-4B2E-B57D-5EC308007701}" name="Activity" dataDxfId="484"/>
    <tableColumn id="3" xr3:uid="{95E9AE4D-CD6C-4818-A349-8B4AC05A97DE}" name="Elapsed" dataDxfId="483">
      <calculatedColumnFormula>IF(OR(ISBLANK(Term2_Early_Dismissal_3[[#This Row],[Start]]),ISBLANK(Term2_Early_Dismissal_3[[#This Row],[End]])),"",(Term2_Early_Dismissal_3[[#This Row],[End]]-Term2_Early_Dismissal_3[[#This Row],[Start]])*1440)</calculatedColumnFormula>
    </tableColumn>
    <tableColumn id="5" xr3:uid="{BB777F62-0D8A-4D36-ADF9-6971DF167FF4}" name="Instructional Time" dataDxfId="482">
      <calculatedColumnFormula>IF(ISBLANK(Term2_Early_Dismissal_3[[#This Row],[Activity]]),"",IF(_xlfn.XLOOKUP(Term2_Early_Dismissal_3[[#This Row],[Activity]],Types_of_Activity[Type of Activity],Types_of_Activity[Classification])=1,Term2_Early_Dismissal_3[[#This Row],[Elapsed]],0))</calculatedColumnFormula>
    </tableColumn>
    <tableColumn id="6" xr3:uid="{6D81AAE0-6816-47E2-9493-93FE9F36CCC4}" name="Assigned Time (Non-Instructional)" dataDxfId="481">
      <calculatedColumnFormula>IF(ISBLANK(Term2_Early_Dismissal_3[[#This Row],[Activity]]),"",IF(_xlfn.XLOOKUP(Term2_Early_Dismissal_3[[#This Row],[Activity]],Types_of_Activity[Type of Activity],Types_of_Activity[Classification])=2,Term2_Early_Dismissal_3[[#This Row],[Elapsed]],0))</calculatedColumnFormula>
    </tableColumn>
  </tableColumns>
  <tableStyleInfo name="TableStyleMedium9"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1A83075C-B06A-4850-AF39-5190A8CF98B7}" name="Term2_Day_7" displayName="Term2_Day_7" ref="AR17:AW50" totalsRowShown="0" headerRowDxfId="480" dataDxfId="479">
  <autoFilter ref="AR17:AW50" xr:uid="{1A83075C-B06A-4850-AF39-5190A8CF98B7}">
    <filterColumn colId="0" hiddenButton="1"/>
    <filterColumn colId="1" hiddenButton="1"/>
    <filterColumn colId="2" hiddenButton="1"/>
    <filterColumn colId="3" hiddenButton="1"/>
    <filterColumn colId="4" hiddenButton="1"/>
    <filterColumn colId="5" hiddenButton="1"/>
  </autoFilter>
  <tableColumns count="6">
    <tableColumn id="1" xr3:uid="{19DD7D3C-BB34-4982-9B75-5A567C4CC806}" name="Start" dataDxfId="478"/>
    <tableColumn id="2" xr3:uid="{B8E43CBD-1D97-44D3-9FA4-A6324540EF5B}" name="End" dataDxfId="477"/>
    <tableColumn id="4" xr3:uid="{81C7CEF1-B664-47C1-9F1F-D79623F6610C}" name="Activity" dataDxfId="476"/>
    <tableColumn id="3" xr3:uid="{7E5EDF5D-5179-421C-AAB1-EC6AD48DABF3}" name="Elapsed" dataDxfId="475">
      <calculatedColumnFormula>IF(OR(ISBLANK(Term2_Day_7[[#This Row],[Start]]),ISBLANK(Term2_Day_7[[#This Row],[End]])),"",(Term2_Day_7[[#This Row],[End]]-Term2_Day_7[[#This Row],[Start]])*1440)</calculatedColumnFormula>
    </tableColumn>
    <tableColumn id="5" xr3:uid="{1A42EE9F-46DF-4D1B-8986-3370E81D3AB3}" name="Instructional Time" dataDxfId="474">
      <calculatedColumnFormula>IF(ISBLANK(Term2_Day_7[[#This Row],[Activity]]),"",IF(_xlfn.XLOOKUP(Term2_Day_7[[#This Row],[Activity]],Types_of_Activity[Type of Activity],Types_of_Activity[Classification])=1,Term2_Day_7[[#This Row],[Elapsed]],0))</calculatedColumnFormula>
    </tableColumn>
    <tableColumn id="6" xr3:uid="{A32EB6DA-AD40-4B78-B74A-A7A7AA431C4F}" name="Assigned Time (Non-Instructional)" dataDxfId="473">
      <calculatedColumnFormula>IF(ISBLANK(Term2_Day_7[[#This Row],[Activity]]),"",IF(_xlfn.XLOOKUP(Term2_Day_7[[#This Row],[Activity]],Types_of_Activity[Type of Activity],Types_of_Activity[Classification])=2,Term2_Day_7[[#This Row],[Elapsed]],0))</calculatedColumnFormula>
    </tableColumn>
  </tableColumns>
  <tableStyleInfo name="TableStyleMedium9"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D799812B-23BB-4B71-818D-73F4044B3A1C}" name="Term2_Day_8" displayName="Term2_Day_8" ref="AY17:BD50" totalsRowShown="0" headerRowDxfId="472" dataDxfId="471">
  <autoFilter ref="AY17:BD50" xr:uid="{D799812B-23BB-4B71-818D-73F4044B3A1C}">
    <filterColumn colId="0" hiddenButton="1"/>
    <filterColumn colId="1" hiddenButton="1"/>
    <filterColumn colId="2" hiddenButton="1"/>
    <filterColumn colId="3" hiddenButton="1"/>
    <filterColumn colId="4" hiddenButton="1"/>
    <filterColumn colId="5" hiddenButton="1"/>
  </autoFilter>
  <tableColumns count="6">
    <tableColumn id="1" xr3:uid="{E28E74F4-9802-4E60-8DA7-684494595CE3}" name="Start" dataDxfId="470"/>
    <tableColumn id="2" xr3:uid="{73207271-C93B-47D7-9C26-7FDABD52D423}" name="End" dataDxfId="469"/>
    <tableColumn id="4" xr3:uid="{CB872A83-5F9B-4EC9-ADCF-55E61200D479}" name="Activity" dataDxfId="468"/>
    <tableColumn id="3" xr3:uid="{E0C9B3C8-23ED-4A2C-AABE-B21BBF9213A7}" name="Elapsed" dataDxfId="467">
      <calculatedColumnFormula>IF(OR(ISBLANK(Term2_Day_8[[#This Row],[Start]]),ISBLANK(Term2_Day_8[[#This Row],[End]])),"",(Term2_Day_8[[#This Row],[End]]-Term2_Day_8[[#This Row],[Start]])*1440)</calculatedColumnFormula>
    </tableColumn>
    <tableColumn id="5" xr3:uid="{25585D8B-B760-4281-B610-AD79D801DAC0}" name="Instructional Time" dataDxfId="466">
      <calculatedColumnFormula>IF(ISBLANK(Term2_Day_8[[#This Row],[Activity]]),"",IF(_xlfn.XLOOKUP(Term2_Day_8[[#This Row],[Activity]],Types_of_Activity[Type of Activity],Types_of_Activity[Classification])=1,Term2_Day_8[[#This Row],[Elapsed]],0))</calculatedColumnFormula>
    </tableColumn>
    <tableColumn id="6" xr3:uid="{E3D0581E-CC68-4789-A52F-156BB1DFF247}" name="Assigned Time (Non-Instructional)" dataDxfId="465">
      <calculatedColumnFormula>IF(ISBLANK(Term2_Day_8[[#This Row],[Activity]]),"",IF(_xlfn.XLOOKUP(Term2_Day_8[[#This Row],[Activity]],Types_of_Activity[Type of Activity],Types_of_Activity[Classification])=2,Term2_Day_8[[#This Row],[Elapsed]],0))</calculatedColumnFormula>
    </tableColumn>
  </tableColumns>
  <tableStyleInfo name="TableStyleMedium9"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331AD752-7286-4EFF-9A08-838E11CE7F74}" name="Term2_Day_9" displayName="Term2_Day_9" ref="BF17:BK50" totalsRowShown="0" headerRowDxfId="464" dataDxfId="463">
  <autoFilter ref="BF17:BK50" xr:uid="{331AD752-7286-4EFF-9A08-838E11CE7F74}">
    <filterColumn colId="0" hiddenButton="1"/>
    <filterColumn colId="1" hiddenButton="1"/>
    <filterColumn colId="2" hiddenButton="1"/>
    <filterColumn colId="3" hiddenButton="1"/>
    <filterColumn colId="4" hiddenButton="1"/>
    <filterColumn colId="5" hiddenButton="1"/>
  </autoFilter>
  <tableColumns count="6">
    <tableColumn id="1" xr3:uid="{71318B11-6816-4577-B54A-E534D9614BF0}" name="Start" dataDxfId="462"/>
    <tableColumn id="2" xr3:uid="{C3746E37-854F-461B-9253-08F58072DAE2}" name="End" dataDxfId="461"/>
    <tableColumn id="4" xr3:uid="{4FEA3510-BF33-43CB-8B4C-14A200BFD7EF}" name="Activity" dataDxfId="460"/>
    <tableColumn id="3" xr3:uid="{E5EC16A6-CE34-43CD-BBED-314F5F6A0204}" name="Elapsed" dataDxfId="459">
      <calculatedColumnFormula>IF(OR(ISBLANK(Term2_Day_9[[#This Row],[Start]]),ISBLANK(Term2_Day_9[[#This Row],[End]])),"",(Term2_Day_9[[#This Row],[End]]-Term2_Day_9[[#This Row],[Start]])*1440)</calculatedColumnFormula>
    </tableColumn>
    <tableColumn id="5" xr3:uid="{494C6B67-67E6-454F-B446-6B0959B7CD2C}" name="Instructional Time" dataDxfId="458">
      <calculatedColumnFormula>IF(ISBLANK(Term2_Day_9[[#This Row],[Activity]]),"",IF(_xlfn.XLOOKUP(Term2_Day_9[[#This Row],[Activity]],Types_of_Activity[Type of Activity],Types_of_Activity[Classification])=1,Term2_Day_9[[#This Row],[Elapsed]],0))</calculatedColumnFormula>
    </tableColumn>
    <tableColumn id="6" xr3:uid="{B62913B5-5D86-4753-8208-C95AAB158386}" name="Assigned Time (Non-Instructional)" dataDxfId="457">
      <calculatedColumnFormula>IF(ISBLANK(Term2_Day_9[[#This Row],[Activity]]),"",IF(_xlfn.XLOOKUP(Term2_Day_9[[#This Row],[Activity]],Types_of_Activity[Type of Activity],Types_of_Activity[Classification])=2,Term2_Day_9[[#This Row],[Elapsed]],0))</calculatedColumnFormula>
    </tableColumn>
  </tableColumns>
  <tableStyleInfo name="TableStyleMedium9"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778D9602-D2C2-4915-ADF1-81FC476F8AD6}" name="Term2_Early_Dismissal_4" displayName="Term2_Early_Dismissal_4" ref="W56:AB89" totalsRowShown="0" headerRowDxfId="456" dataDxfId="455">
  <autoFilter ref="W56:AB89" xr:uid="{778D9602-D2C2-4915-ADF1-81FC476F8AD6}">
    <filterColumn colId="0" hiddenButton="1"/>
    <filterColumn colId="1" hiddenButton="1"/>
    <filterColumn colId="2" hiddenButton="1"/>
    <filterColumn colId="3" hiddenButton="1"/>
    <filterColumn colId="4" hiddenButton="1"/>
    <filterColumn colId="5" hiddenButton="1"/>
  </autoFilter>
  <tableColumns count="6">
    <tableColumn id="1" xr3:uid="{97D9DB4B-AA9F-4FCF-B092-14B8BC65794E}" name="Start" dataDxfId="454"/>
    <tableColumn id="2" xr3:uid="{22D8D239-8B94-4BF5-A653-63075C39976E}" name="End" dataDxfId="453"/>
    <tableColumn id="4" xr3:uid="{34B596AB-CD1A-4D1E-B876-23E6FF0C3B92}" name="Activity" dataDxfId="452"/>
    <tableColumn id="3" xr3:uid="{3D341792-DCF2-40F6-AF21-72A3DA070E45}" name="Elapsed" dataDxfId="451">
      <calculatedColumnFormula>IF(OR(ISBLANK(Term2_Early_Dismissal_4[[#This Row],[Start]]),ISBLANK(Term2_Early_Dismissal_4[[#This Row],[End]])),"",(Term2_Early_Dismissal_4[[#This Row],[End]]-Term2_Early_Dismissal_4[[#This Row],[Start]])*1440)</calculatedColumnFormula>
    </tableColumn>
    <tableColumn id="5" xr3:uid="{7C1487B5-1D32-4FFD-89EF-6E22D063196B}" name="Instructional Time" dataDxfId="450">
      <calculatedColumnFormula>IF(ISBLANK(Term2_Early_Dismissal_4[[#This Row],[Activity]]),"",IF(_xlfn.XLOOKUP(Term2_Early_Dismissal_4[[#This Row],[Activity]],Types_of_Activity[Type of Activity],Types_of_Activity[Classification])=1,Term2_Early_Dismissal_4[[#This Row],[Elapsed]],0))</calculatedColumnFormula>
    </tableColumn>
    <tableColumn id="6" xr3:uid="{DAEF6319-096E-4EAA-B349-C1F1D648F72B}" name="Assigned Time (Non-Instructional)" dataDxfId="449">
      <calculatedColumnFormula>IF(ISBLANK(Term2_Early_Dismissal_4[[#This Row],[Activity]]),"",IF(_xlfn.XLOOKUP(Term2_Early_Dismissal_4[[#This Row],[Activity]],Types_of_Activity[Type of Activity],Types_of_Activity[Classification])=2,Term2_Early_Dismissal_4[[#This Row],[Elapsed]],0))</calculatedColumnFormula>
    </tableColumn>
  </tableColumns>
  <tableStyleInfo name="TableStyleMedium9"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4CE09530-6F82-4912-902B-866F9D82DE9F}" name="Term2_Early_Dismissal_5" displayName="Term2_Early_Dismissal_5" ref="AD56:AI89" totalsRowShown="0" headerRowDxfId="448" dataDxfId="447">
  <autoFilter ref="AD56:AI89" xr:uid="{4CE09530-6F82-4912-902B-866F9D82DE9F}">
    <filterColumn colId="0" hiddenButton="1"/>
    <filterColumn colId="1" hiddenButton="1"/>
    <filterColumn colId="2" hiddenButton="1"/>
    <filterColumn colId="3" hiddenButton="1"/>
    <filterColumn colId="4" hiddenButton="1"/>
    <filterColumn colId="5" hiddenButton="1"/>
  </autoFilter>
  <tableColumns count="6">
    <tableColumn id="1" xr3:uid="{AC5BC0C3-FE8E-42BD-8AB3-5D4094577F7C}" name="Start" dataDxfId="446"/>
    <tableColumn id="2" xr3:uid="{2BB5286F-58B2-4ECE-90AC-A2372F0CAD84}" name="End" dataDxfId="445"/>
    <tableColumn id="4" xr3:uid="{DE2A0D75-878D-48B5-A532-2E538D47777C}" name="Activity" dataDxfId="444"/>
    <tableColumn id="3" xr3:uid="{91FAFA73-6FD8-42FE-8DD2-DCD3E5598ED8}" name="Elapsed" dataDxfId="443">
      <calculatedColumnFormula>IF(OR(ISBLANK(Term2_Early_Dismissal_5[[#This Row],[Start]]),ISBLANK(Term2_Early_Dismissal_5[[#This Row],[End]])),"",(Term2_Early_Dismissal_5[[#This Row],[End]]-Term2_Early_Dismissal_5[[#This Row],[Start]])*1440)</calculatedColumnFormula>
    </tableColumn>
    <tableColumn id="5" xr3:uid="{E31EBB0D-C13C-4099-B684-559BA5CCDA23}" name="Instructional Time" dataDxfId="442">
      <calculatedColumnFormula>IF(ISBLANK(Term2_Early_Dismissal_5[[#This Row],[Activity]]),"",IF(_xlfn.XLOOKUP(Term2_Early_Dismissal_5[[#This Row],[Activity]],Types_of_Activity[Type of Activity],Types_of_Activity[Classification])=1,Term2_Early_Dismissal_5[[#This Row],[Elapsed]],0))</calculatedColumnFormula>
    </tableColumn>
    <tableColumn id="6" xr3:uid="{2F83A9E7-552E-4789-BB68-14E56A4B1FD9}" name="Assigned Time (Non-Instructional)" dataDxfId="441">
      <calculatedColumnFormula>IF(ISBLANK(Term2_Early_Dismissal_5[[#This Row],[Activity]]),"",IF(_xlfn.XLOOKUP(Term2_Early_Dismissal_5[[#This Row],[Activity]],Types_of_Activity[Type of Activity],Types_of_Activity[Classification])=2,Term2_Early_Dismissal_5[[#This Row],[Elapsed]],0))</calculatedColumnFormula>
    </tableColumn>
  </tableColumns>
  <tableStyleInfo name="TableStyleMedium9"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446AF60D-BDAC-463B-85B3-4C166FFEFE97}" name="Term2_Early_Dismissal_6" displayName="Term2_Early_Dismissal_6" ref="AK56:AP89" totalsRowShown="0" headerRowDxfId="440" dataDxfId="439">
  <autoFilter ref="AK56:AP89" xr:uid="{446AF60D-BDAC-463B-85B3-4C166FFEFE97}">
    <filterColumn colId="0" hiddenButton="1"/>
    <filterColumn colId="1" hiddenButton="1"/>
    <filterColumn colId="2" hiddenButton="1"/>
    <filterColumn colId="3" hiddenButton="1"/>
    <filterColumn colId="4" hiddenButton="1"/>
    <filterColumn colId="5" hiddenButton="1"/>
  </autoFilter>
  <tableColumns count="6">
    <tableColumn id="1" xr3:uid="{90E4DD4E-32CF-4074-ACB0-594D87E260CC}" name="Start" dataDxfId="438"/>
    <tableColumn id="2" xr3:uid="{D33E54A6-E01B-4A3B-A8C3-90FE4C133E0C}" name="End" dataDxfId="437"/>
    <tableColumn id="4" xr3:uid="{142C59B9-A150-48A1-B2ED-A4ECC46A1583}" name="Activity" dataDxfId="436"/>
    <tableColumn id="3" xr3:uid="{76CB81CE-5669-47CA-9D91-8AD98E18FF73}" name="Elapsed" dataDxfId="435">
      <calculatedColumnFormula>IF(OR(ISBLANK(Term2_Early_Dismissal_6[[#This Row],[Start]]),ISBLANK(Term2_Early_Dismissal_6[[#This Row],[End]])),"",(Term2_Early_Dismissal_6[[#This Row],[End]]-Term2_Early_Dismissal_6[[#This Row],[Start]])*1440)</calculatedColumnFormula>
    </tableColumn>
    <tableColumn id="5" xr3:uid="{2990105E-9AD0-4B10-9136-14DBB3A761E8}" name="Instructional Time" dataDxfId="434">
      <calculatedColumnFormula>IF(ISBLANK(Term2_Early_Dismissal_6[[#This Row],[Activity]]),"",IF(_xlfn.XLOOKUP(Term2_Early_Dismissal_6[[#This Row],[Activity]],Types_of_Activity[Type of Activity],Types_of_Activity[Classification])=1,Term2_Early_Dismissal_6[[#This Row],[Elapsed]],0))</calculatedColumnFormula>
    </tableColumn>
    <tableColumn id="6" xr3:uid="{E262B49C-FFBC-42D2-828C-FEA74597627D}" name="Assigned Time (Non-Instructional)" dataDxfId="433">
      <calculatedColumnFormula>IF(ISBLANK(Term2_Early_Dismissal_6[[#This Row],[Activity]]),"",IF(_xlfn.XLOOKUP(Term2_Early_Dismissal_6[[#This Row],[Activity]],Types_of_Activity[Type of Activity],Types_of_Activity[Classification])=2,Term2_Early_Dismissal_6[[#This Row],[Elapsed]],0))</calculatedColumnFormula>
    </tableColumn>
  </tableColumns>
  <tableStyleInfo name="TableStyleMedium9"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7C5469DC-20CF-4241-9F8F-6BD128F61FFD}" name="Term3_Day_1" displayName="Term3_Day_1" ref="B17:G50" totalsRowShown="0" headerRowDxfId="432" dataDxfId="431">
  <autoFilter ref="B17:G50" xr:uid="{B136AA2D-167D-4FB0-80FF-9B5EB74FD3E6}">
    <filterColumn colId="0" hiddenButton="1"/>
    <filterColumn colId="1" hiddenButton="1"/>
    <filterColumn colId="2" hiddenButton="1"/>
    <filterColumn colId="3" hiddenButton="1"/>
    <filterColumn colId="4" hiddenButton="1"/>
    <filterColumn colId="5" hiddenButton="1"/>
  </autoFilter>
  <tableColumns count="6">
    <tableColumn id="1" xr3:uid="{EDB0B9E3-25DE-4B8A-B431-870D38C76C96}" name="Start" dataDxfId="430"/>
    <tableColumn id="2" xr3:uid="{B9B89137-8CFC-4F53-91B1-5348F3E5AD5F}" name="End" dataDxfId="429"/>
    <tableColumn id="4" xr3:uid="{79E28F67-ABC2-4701-A46C-BDC25E7CDC8D}" name="Activity" dataDxfId="428"/>
    <tableColumn id="3" xr3:uid="{1027FC55-0218-4FB1-BD3C-49B9DEEABF78}" name="Elapsed" dataDxfId="427">
      <calculatedColumnFormula>IF(OR(ISBLANK(Term3_Day_1[[#This Row],[Start]]),ISBLANK(Term3_Day_1[[#This Row],[End]])),"",(Term3_Day_1[[#This Row],[End]]-Term3_Day_1[[#This Row],[Start]])*1440)</calculatedColumnFormula>
    </tableColumn>
    <tableColumn id="5" xr3:uid="{F55E5205-5688-467E-838D-E1163ADD402B}" name="Instructional Time" dataDxfId="426">
      <calculatedColumnFormula>IF(ISBLANK(Term3_Day_1[[#This Row],[Activity]]),"",IF(_xlfn.XLOOKUP(Term3_Day_1[[#This Row],[Activity]],Types_of_Activity[Type of Activity],Types_of_Activity[Classification])=1,Term3_Day_1[[#This Row],[Elapsed]],0))</calculatedColumnFormula>
    </tableColumn>
    <tableColumn id="6" xr3:uid="{1E4FF41D-1F9B-4D28-9861-CB1E32538167}" name="Assigned Time (Non-Instructional)" dataDxfId="425">
      <calculatedColumnFormula>IF(ISBLANK(Term3_Day_1[[#This Row],[Activity]]),"",IF(_xlfn.XLOOKUP(Term3_Day_1[[#This Row],[Activity]],Types_of_Activity[Type of Activity],Types_of_Activity[Classification])=2,Term3_Day_1[[#This Row],[Elapsed]],0))</calculatedColumnFormula>
    </tableColumn>
  </tableColumns>
  <tableStyleInfo name="TableStyleMedium9"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EF814A34-D282-423C-8391-3AE865B4A73E}" name="Term3_Day_2" displayName="Term3_Day_2" ref="I17:N50" totalsRowShown="0" headerRowDxfId="424" dataDxfId="423">
  <autoFilter ref="I17:N50" xr:uid="{920CC304-28D5-4D8E-A5FC-1CB071FB46BE}">
    <filterColumn colId="0" hiddenButton="1"/>
    <filterColumn colId="1" hiddenButton="1"/>
    <filterColumn colId="2" hiddenButton="1"/>
    <filterColumn colId="3" hiddenButton="1"/>
    <filterColumn colId="4" hiddenButton="1"/>
    <filterColumn colId="5" hiddenButton="1"/>
  </autoFilter>
  <tableColumns count="6">
    <tableColumn id="1" xr3:uid="{21787C92-5AF6-467B-B072-BA3E48EDF27E}" name="Start" dataDxfId="422"/>
    <tableColumn id="2" xr3:uid="{027481C6-808B-477D-95E4-EEE7507A417C}" name="End" dataDxfId="421"/>
    <tableColumn id="4" xr3:uid="{5F611680-5D59-46AD-8687-782F388970F0}" name="Activity" dataDxfId="420"/>
    <tableColumn id="3" xr3:uid="{B8EACC22-7745-4372-AB73-39BC2AD477CD}" name="Elapsed" dataDxfId="419">
      <calculatedColumnFormula>IF(OR(ISBLANK(Term3_Day_2[[#This Row],[Start]]),ISBLANK(Term3_Day_2[[#This Row],[End]])),"",(Term3_Day_2[[#This Row],[End]]-Term3_Day_2[[#This Row],[Start]])*1440)</calculatedColumnFormula>
    </tableColumn>
    <tableColumn id="5" xr3:uid="{AFD464FB-3F6A-4792-9146-E6A6E84C0514}" name="Instructional Time" dataDxfId="418">
      <calculatedColumnFormula>IF(ISBLANK(Term3_Day_2[[#This Row],[Activity]]),"",IF(_xlfn.XLOOKUP(Term3_Day_2[[#This Row],[Activity]],Types_of_Activity[Type of Activity],Types_of_Activity[Classification])=1,Term3_Day_2[[#This Row],[Elapsed]],0))</calculatedColumnFormula>
    </tableColumn>
    <tableColumn id="6" xr3:uid="{DB04C9CF-BCE8-4113-B265-93DF39D83990}" name="Assigned Time (Non-Instructional)" dataDxfId="417">
      <calculatedColumnFormula>IF(ISBLANK(Term3_Day_2[[#This Row],[Activity]]),"",IF(_xlfn.XLOOKUP(Term3_Day_2[[#This Row],[Activity]],Types_of_Activity[Type of Activity],Types_of_Activity[Classification])=2,Term3_Day_2[[#This Row],[Elapsed]],0))</calculatedColumnFormula>
    </tableColumn>
  </tableColumns>
  <tableStyleInfo name="TableStyleMedium9"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5B2D7761-F142-4EC2-A890-E92D8ACC6F5B}" name="Term3_Day_3" displayName="Term3_Day_3" ref="P17:U50" totalsRowShown="0" headerRowDxfId="416" dataDxfId="415">
  <autoFilter ref="P17:U50" xr:uid="{A5552C8D-A374-464F-9A16-AA32C6A4F329}">
    <filterColumn colId="0" hiddenButton="1"/>
    <filterColumn colId="1" hiddenButton="1"/>
    <filterColumn colId="2" hiddenButton="1"/>
    <filterColumn colId="3" hiddenButton="1"/>
    <filterColumn colId="4" hiddenButton="1"/>
    <filterColumn colId="5" hiddenButton="1"/>
  </autoFilter>
  <tableColumns count="6">
    <tableColumn id="1" xr3:uid="{F84EB729-E99E-4BDD-A8DE-78A4364C7608}" name="Start" dataDxfId="414"/>
    <tableColumn id="2" xr3:uid="{1428D8DA-7017-4B0B-A18F-19C07E68F9DB}" name="End" dataDxfId="413"/>
    <tableColumn id="4" xr3:uid="{ED4CB978-5072-4214-ACF2-6EC8BA67D8BB}" name="Activity" dataDxfId="412"/>
    <tableColumn id="3" xr3:uid="{3B8A87A5-69FE-4252-8819-07D0B9DFF4A9}" name="Elapsed" dataDxfId="411">
      <calculatedColumnFormula>IF(OR(ISBLANK(Term3_Day_3[[#This Row],[Start]]),ISBLANK(Term3_Day_3[[#This Row],[End]])),"",(Term3_Day_3[[#This Row],[End]]-Term3_Day_3[[#This Row],[Start]])*1440)</calculatedColumnFormula>
    </tableColumn>
    <tableColumn id="5" xr3:uid="{145BB7DD-0792-446A-B05C-83965D49B65F}" name="Instructional Time" dataDxfId="410">
      <calculatedColumnFormula>IF(ISBLANK(Term3_Day_3[[#This Row],[Activity]]),"",IF(_xlfn.XLOOKUP(Term3_Day_3[[#This Row],[Activity]],Types_of_Activity[Type of Activity],Types_of_Activity[Classification])=1,Term3_Day_3[[#This Row],[Elapsed]],0))</calculatedColumnFormula>
    </tableColumn>
    <tableColumn id="6" xr3:uid="{361ADD69-0842-4579-83FA-1A1BD5ED0892}" name="Assigned Time (Non-Instructional)" dataDxfId="409">
      <calculatedColumnFormula>IF(ISBLANK(Term3_Day_3[[#This Row],[Activity]]),"",IF(_xlfn.XLOOKUP(Term3_Day_3[[#This Row],[Activity]],Types_of_Activity[Type of Activity],Types_of_Activity[Classification])=2,Term3_Day_3[[#This Row],[Elapsed]],0))</calculatedColumnFormula>
    </tableColumn>
  </tableColumns>
  <tableStyleInfo name="TableStyleMedium9"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FE003A32-FE58-466C-BB39-ED0B0044EA4B}" name="Term3_Day_4" displayName="Term3_Day_4" ref="W17:AB50" totalsRowShown="0" headerRowDxfId="408" dataDxfId="407">
  <autoFilter ref="W17:AB50" xr:uid="{ED863ACF-58C1-4D72-959F-71C1B6DE7A25}">
    <filterColumn colId="0" hiddenButton="1"/>
    <filterColumn colId="1" hiddenButton="1"/>
    <filterColumn colId="2" hiddenButton="1"/>
    <filterColumn colId="3" hiddenButton="1"/>
    <filterColumn colId="4" hiddenButton="1"/>
    <filterColumn colId="5" hiddenButton="1"/>
  </autoFilter>
  <tableColumns count="6">
    <tableColumn id="1" xr3:uid="{B9C5669C-F79C-48E0-BB3B-38C7528AAF4A}" name="Start" dataDxfId="406"/>
    <tableColumn id="2" xr3:uid="{B5BC0360-3195-4B12-9DCE-6C719121B7BA}" name="End" dataDxfId="405"/>
    <tableColumn id="4" xr3:uid="{45F2E754-DA11-4992-BE42-3D3C31C9BF84}" name="Activity" dataDxfId="404"/>
    <tableColumn id="3" xr3:uid="{F7AD8F1D-194D-4661-AEF4-01E004DE98FB}" name="Elapsed" dataDxfId="403">
      <calculatedColumnFormula>IF(OR(ISBLANK(Term3_Day_4[[#This Row],[Start]]),ISBLANK(Term3_Day_4[[#This Row],[End]])),"",(Term3_Day_4[[#This Row],[End]]-Term3_Day_4[[#This Row],[Start]])*1440)</calculatedColumnFormula>
    </tableColumn>
    <tableColumn id="5" xr3:uid="{335C54A6-1DAA-4412-8777-4DE8D610F0F6}" name="Instructional Time" dataDxfId="402">
      <calculatedColumnFormula>IF(ISBLANK(Term3_Day_4[[#This Row],[Activity]]),"",IF(_xlfn.XLOOKUP(Term3_Day_4[[#This Row],[Activity]],Types_of_Activity[Type of Activity],Types_of_Activity[Classification])=1,Term3_Day_4[[#This Row],[Elapsed]],0))</calculatedColumnFormula>
    </tableColumn>
    <tableColumn id="6" xr3:uid="{81871E32-C0B3-4CBC-BCAB-6AEB857A2DDA}" name="Assigned Time (Non-Instructional)" dataDxfId="401">
      <calculatedColumnFormula>IF(ISBLANK(Term3_Day_4[[#This Row],[Activity]]),"",IF(_xlfn.XLOOKUP(Term3_Day_4[[#This Row],[Activity]],Types_of_Activity[Type of Activity],Types_of_Activity[Classification])=2,Term3_Day_4[[#This Row],[Elapsed]],0))</calculatedColumnFormula>
    </tableColumn>
  </tableColumns>
  <tableStyleInfo name="TableStyleMedium9"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785BFA4C-87ED-47F8-8426-2501F48E4034}" name="Term3_Day_5" displayName="Term3_Day_5" ref="AD17:AI50" totalsRowShown="0" headerRowDxfId="400" dataDxfId="399">
  <autoFilter ref="AD17:AI50" xr:uid="{838371F3-74A6-4468-8630-90FA9F2810C8}">
    <filterColumn colId="0" hiddenButton="1"/>
    <filterColumn colId="1" hiddenButton="1"/>
    <filterColumn colId="2" hiddenButton="1"/>
    <filterColumn colId="3" hiddenButton="1"/>
    <filterColumn colId="4" hiddenButton="1"/>
    <filterColumn colId="5" hiddenButton="1"/>
  </autoFilter>
  <tableColumns count="6">
    <tableColumn id="1" xr3:uid="{5EE3C3FD-3BA2-4DC0-98A7-33FE8D9F93B9}" name="Start" dataDxfId="398"/>
    <tableColumn id="2" xr3:uid="{848EC7A1-A382-4DFE-AAF6-B067F6FD4713}" name="End" dataDxfId="397"/>
    <tableColumn id="4" xr3:uid="{3E604C95-312E-49FD-9D40-3E00339CE66F}" name="Activity" dataDxfId="396"/>
    <tableColumn id="3" xr3:uid="{0DA93A49-F6C5-4A69-8CEB-CD67D8B60A00}" name="Elapsed" dataDxfId="395">
      <calculatedColumnFormula>IF(OR(ISBLANK(Term3_Day_5[[#This Row],[Start]]),ISBLANK(Term3_Day_5[[#This Row],[End]])),"",(Term3_Day_5[[#This Row],[End]]-Term3_Day_5[[#This Row],[Start]])*1440)</calculatedColumnFormula>
    </tableColumn>
    <tableColumn id="5" xr3:uid="{912E8747-7A31-4C2B-865F-2B9294B4C21A}" name="Instructional Time" dataDxfId="394">
      <calculatedColumnFormula>IF(ISBLANK(Term3_Day_5[[#This Row],[Activity]]),"",IF(_xlfn.XLOOKUP(Term3_Day_5[[#This Row],[Activity]],Types_of_Activity[Type of Activity],Types_of_Activity[Classification])=1,Term3_Day_5[[#This Row],[Elapsed]],0))</calculatedColumnFormula>
    </tableColumn>
    <tableColumn id="6" xr3:uid="{2C472B64-EE6E-4F73-992E-D27B396DB261}" name="Assigned Time (Non-Instructional)" dataDxfId="393">
      <calculatedColumnFormula>IF(ISBLANK(Term3_Day_5[[#This Row],[Activity]]),"",IF(_xlfn.XLOOKUP(Term3_Day_5[[#This Row],[Activity]],Types_of_Activity[Type of Activity],Types_of_Activity[Classification])=2,Term3_Day_5[[#This Row],[Elapsed]],0))</calculatedColumnFormula>
    </tableColumn>
  </tableColumns>
  <tableStyleInfo name="TableStyleMedium9"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263DA067-6C70-49B6-A5CF-C1D44ADBE301}" name="Term3_Day_6" displayName="Term3_Day_6" ref="AK17:AP50" totalsRowShown="0" headerRowDxfId="392" dataDxfId="391">
  <autoFilter ref="AK17:AP50" xr:uid="{DBCE6DC7-4B78-4556-BA9E-D00F0D5B9B5F}">
    <filterColumn colId="0" hiddenButton="1"/>
    <filterColumn colId="1" hiddenButton="1"/>
    <filterColumn colId="2" hiddenButton="1"/>
    <filterColumn colId="3" hiddenButton="1"/>
    <filterColumn colId="4" hiddenButton="1"/>
    <filterColumn colId="5" hiddenButton="1"/>
  </autoFilter>
  <tableColumns count="6">
    <tableColumn id="1" xr3:uid="{AD2EEAE7-25DF-49EE-92CE-AADD2C9FFA37}" name="Start" dataDxfId="390"/>
    <tableColumn id="2" xr3:uid="{B40AD160-8C5E-4F48-9340-6B9E5EE75157}" name="End" dataDxfId="389"/>
    <tableColumn id="4" xr3:uid="{80EE5928-7DDF-41FE-ADE0-337192002DB7}" name="Activity" dataDxfId="388"/>
    <tableColumn id="3" xr3:uid="{5D6382E2-B9BA-4D1D-8271-AEF12BF36428}" name="Elapsed" dataDxfId="387">
      <calculatedColumnFormula>IF(OR(ISBLANK(Term3_Day_6[[#This Row],[Start]]),ISBLANK(Term3_Day_6[[#This Row],[End]])),"",(Term3_Day_6[[#This Row],[End]]-Term3_Day_6[[#This Row],[Start]])*1440)</calculatedColumnFormula>
    </tableColumn>
    <tableColumn id="5" xr3:uid="{A209726D-F294-4CA2-BA11-D7A7F73F469D}" name="Instructional Time" dataDxfId="386">
      <calculatedColumnFormula>IF(ISBLANK(Term3_Day_6[[#This Row],[Activity]]),"",IF(_xlfn.XLOOKUP(Term3_Day_6[[#This Row],[Activity]],Types_of_Activity[Type of Activity],Types_of_Activity[Classification])=1,Term3_Day_6[[#This Row],[Elapsed]],0))</calculatedColumnFormula>
    </tableColumn>
    <tableColumn id="6" xr3:uid="{826A0ECF-DB2C-4C62-B88E-944D1F9F55DF}" name="Assigned Time (Non-Instructional)" dataDxfId="385">
      <calculatedColumnFormula>IF(ISBLANK(Term3_Day_6[[#This Row],[Activity]]),"",IF(_xlfn.XLOOKUP(Term3_Day_6[[#This Row],[Activity]],Types_of_Activity[Type of Activity],Types_of_Activity[Classification])=2,Term3_Day_6[[#This Row],[Elapsed]],0))</calculatedColumnFormula>
    </tableColumn>
  </tableColumns>
  <tableStyleInfo name="TableStyleMedium9"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6DDD726A-7803-4676-B157-D1611D1092E3}" name="Term3_Day_10" displayName="Term3_Day_10" ref="BM17:BR50" totalsRowShown="0" headerRowDxfId="384" dataDxfId="383">
  <autoFilter ref="BM17:BR50" xr:uid="{7680EA40-2B46-4501-B37E-F9BAB4FFCA79}">
    <filterColumn colId="0" hiddenButton="1"/>
    <filterColumn colId="1" hiddenButton="1"/>
    <filterColumn colId="2" hiddenButton="1"/>
    <filterColumn colId="3" hiddenButton="1"/>
    <filterColumn colId="4" hiddenButton="1"/>
    <filterColumn colId="5" hiddenButton="1"/>
  </autoFilter>
  <tableColumns count="6">
    <tableColumn id="1" xr3:uid="{501B07A0-3E57-4274-A708-33578FF2A7EC}" name="Start" dataDxfId="382"/>
    <tableColumn id="2" xr3:uid="{2E8843B6-06AE-4DFE-81AC-1F0DD0A076A7}" name="End" dataDxfId="381"/>
    <tableColumn id="4" xr3:uid="{61C259DE-16A8-4BC8-B9FD-7C3A0FBBC5A0}" name="Activity" dataDxfId="380"/>
    <tableColumn id="3" xr3:uid="{B872D6D4-E4A5-49A0-8776-6A158739E3BE}" name="Elapsed" dataDxfId="379">
      <calculatedColumnFormula>IF(OR(ISBLANK(Term3_Day_10[[#This Row],[Start]]),ISBLANK(Term3_Day_10[[#This Row],[End]])),"",(Term3_Day_10[[#This Row],[End]]-Term3_Day_10[[#This Row],[Start]])*1440)</calculatedColumnFormula>
    </tableColumn>
    <tableColumn id="5" xr3:uid="{83FDCCFC-6107-4346-BF9B-232A068AB7A7}" name="Instructional Time" dataDxfId="378">
      <calculatedColumnFormula>IF(ISBLANK(Term3_Day_10[[#This Row],[Activity]]),"",IF(_xlfn.XLOOKUP(Term3_Day_10[[#This Row],[Activity]],Types_of_Activity[Type of Activity],Types_of_Activity[Classification])=1,Term3_Day_10[[#This Row],[Elapsed]],0))</calculatedColumnFormula>
    </tableColumn>
    <tableColumn id="6" xr3:uid="{A4453485-DA59-40B5-9A22-439FF073C047}" name="Assigned Time (Non-Instructional)" dataDxfId="377">
      <calculatedColumnFormula>IF(ISBLANK(Term3_Day_10[[#This Row],[Activity]]),"",IF(_xlfn.XLOOKUP(Term3_Day_10[[#This Row],[Activity]],Types_of_Activity[Type of Activity],Types_of_Activity[Classification])=2,Term3_Day_10[[#This Row],[Elapsed]],0))</calculatedColumnFormula>
    </tableColumn>
  </tableColumns>
  <tableStyleInfo name="TableStyleMedium9"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7781AA1C-E9BF-49D1-AA98-DB3B2DDD9A69}" name="Term3_Early_Dismissal_1" displayName="Term3_Early_Dismissal_1" ref="B56:G89" totalsRowShown="0" headerRowDxfId="376" dataDxfId="375">
  <autoFilter ref="B56:G89" xr:uid="{7781AA1C-E9BF-49D1-AA98-DB3B2DDD9A69}">
    <filterColumn colId="0" hiddenButton="1"/>
    <filterColumn colId="1" hiddenButton="1"/>
    <filterColumn colId="2" hiddenButton="1"/>
    <filterColumn colId="3" hiddenButton="1"/>
    <filterColumn colId="4" hiddenButton="1"/>
    <filterColumn colId="5" hiddenButton="1"/>
  </autoFilter>
  <tableColumns count="6">
    <tableColumn id="1" xr3:uid="{92F9B00F-E9B5-493F-AA34-F9959493AB70}" name="Start" dataDxfId="374"/>
    <tableColumn id="2" xr3:uid="{EA65AD24-5B14-4357-AD81-C74033693134}" name="End" dataDxfId="373"/>
    <tableColumn id="4" xr3:uid="{F3FF3153-A2CE-44C1-A073-77080B862CB4}" name="Activity" dataDxfId="372"/>
    <tableColumn id="3" xr3:uid="{3847BA0A-6F11-4F43-8057-4BDDB3B368B8}" name="Elapsed" dataDxfId="371">
      <calculatedColumnFormula>IF(OR(ISBLANK(Term3_Early_Dismissal_1[[#This Row],[Start]]),ISBLANK(Term3_Early_Dismissal_1[[#This Row],[End]])),"",(Term3_Early_Dismissal_1[[#This Row],[End]]-Term3_Early_Dismissal_1[[#This Row],[Start]])*1440)</calculatedColumnFormula>
    </tableColumn>
    <tableColumn id="5" xr3:uid="{EAB561A5-E033-4E25-9F85-6202D5D01541}" name="Instructional Time" dataDxfId="370">
      <calculatedColumnFormula>IF(ISBLANK(Term3_Early_Dismissal_1[[#This Row],[Activity]]),"",IF(_xlfn.XLOOKUP(Term3_Early_Dismissal_1[[#This Row],[Activity]],Types_of_Activity[Type of Activity],Types_of_Activity[Classification])=1,Term3_Early_Dismissal_1[[#This Row],[Elapsed]],0))</calculatedColumnFormula>
    </tableColumn>
    <tableColumn id="6" xr3:uid="{492CC933-FFA0-4E26-BF67-E90BBD8B82E3}" name="Assigned Time (Non-Instructional)" dataDxfId="369">
      <calculatedColumnFormula>IF(ISBLANK(Term3_Early_Dismissal_1[[#This Row],[Activity]]),"",IF(_xlfn.XLOOKUP(Term3_Early_Dismissal_1[[#This Row],[Activity]],Types_of_Activity[Type of Activity],Types_of_Activity[Classification])=2,Term3_Early_Dismissal_1[[#This Row],[Elapsed]],0))</calculatedColumnFormula>
    </tableColumn>
  </tableColumns>
  <tableStyleInfo name="TableStyleMedium9"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A322CE0F-DF4A-4776-885F-DF20A8CFD813}" name="Term3_Early_Dismissal_2" displayName="Term3_Early_Dismissal_2" ref="I56:N89" totalsRowShown="0" headerRowDxfId="368" dataDxfId="367">
  <autoFilter ref="I56:N89" xr:uid="{A322CE0F-DF4A-4776-885F-DF20A8CFD813}">
    <filterColumn colId="0" hiddenButton="1"/>
    <filterColumn colId="1" hiddenButton="1"/>
    <filterColumn colId="2" hiddenButton="1"/>
    <filterColumn colId="3" hiddenButton="1"/>
    <filterColumn colId="4" hiddenButton="1"/>
    <filterColumn colId="5" hiddenButton="1"/>
  </autoFilter>
  <tableColumns count="6">
    <tableColumn id="1" xr3:uid="{0EC2293E-64D2-44C1-B43A-12BD54283BE3}" name="Start" dataDxfId="366"/>
    <tableColumn id="2" xr3:uid="{2F1BB871-20C0-493E-A9CF-78EB9AA472BE}" name="End" dataDxfId="365"/>
    <tableColumn id="4" xr3:uid="{BB58115C-BF90-4EA5-B8C7-853449C04E69}" name="Activity" dataDxfId="364"/>
    <tableColumn id="3" xr3:uid="{25EBCA3B-0BC6-4645-BB96-BBD89C3C5619}" name="Elapsed" dataDxfId="363">
      <calculatedColumnFormula>IF(OR(ISBLANK(Term3_Early_Dismissal_2[[#This Row],[Start]]),ISBLANK(Term3_Early_Dismissal_2[[#This Row],[End]])),"",(Term3_Early_Dismissal_2[[#This Row],[End]]-Term3_Early_Dismissal_2[[#This Row],[Start]])*1440)</calculatedColumnFormula>
    </tableColumn>
    <tableColumn id="5" xr3:uid="{505852F2-2A50-4DC3-A966-14634AD084B6}" name="Instructional Time" dataDxfId="362">
      <calculatedColumnFormula>IF(ISBLANK(Term3_Early_Dismissal_2[[#This Row],[Activity]]),"",IF(_xlfn.XLOOKUP(Term3_Early_Dismissal_2[[#This Row],[Activity]],Types_of_Activity[Type of Activity],Types_of_Activity[Classification])=1,Term3_Early_Dismissal_2[[#This Row],[Elapsed]],0))</calculatedColumnFormula>
    </tableColumn>
    <tableColumn id="6" xr3:uid="{82628F9B-A0E9-4106-B893-259399B70463}" name="Assigned Time (Non-Instructional)" dataDxfId="361">
      <calculatedColumnFormula>IF(ISBLANK(Term3_Early_Dismissal_2[[#This Row],[Activity]]),"",IF(_xlfn.XLOOKUP(Term3_Early_Dismissal_2[[#This Row],[Activity]],Types_of_Activity[Type of Activity],Types_of_Activity[Classification])=2,Term3_Early_Dismissal_2[[#This Row],[Elapsed]],0))</calculatedColumnFormula>
    </tableColumn>
  </tableColumns>
  <tableStyleInfo name="TableStyleMedium9"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24484B58-23AE-4A22-80AD-62CF0514380D}" name="Term3_Special_Day_1" displayName="Term3_Special_Day_1" ref="B98:G131" totalsRowShown="0" headerRowDxfId="360" dataDxfId="359">
  <autoFilter ref="B98:G131" xr:uid="{24484B58-23AE-4A22-80AD-62CF0514380D}">
    <filterColumn colId="0" hiddenButton="1"/>
    <filterColumn colId="1" hiddenButton="1"/>
    <filterColumn colId="2" hiddenButton="1"/>
    <filterColumn colId="3" hiddenButton="1"/>
    <filterColumn colId="4" hiddenButton="1"/>
    <filterColumn colId="5" hiddenButton="1"/>
  </autoFilter>
  <tableColumns count="6">
    <tableColumn id="1" xr3:uid="{A3520E56-55F5-42F9-BE5E-E4F619C893EB}" name="Start" dataDxfId="358"/>
    <tableColumn id="2" xr3:uid="{7A0FB7E7-5292-42BE-AF21-8A4EAE012973}" name="End" dataDxfId="357"/>
    <tableColumn id="4" xr3:uid="{EE820A31-6585-4337-8247-3C8533E990B3}" name="Activity" dataDxfId="356"/>
    <tableColumn id="3" xr3:uid="{D05FC5E8-A578-4496-BB37-A2663836DD20}" name="Elapsed" dataDxfId="355">
      <calculatedColumnFormula>IF(OR(ISBLANK(Term3_Special_Day_1[[#This Row],[Start]]),ISBLANK(Term3_Special_Day_1[[#This Row],[End]])),"",(Term3_Special_Day_1[[#This Row],[End]]-Term3_Special_Day_1[[#This Row],[Start]])*1440)</calculatedColumnFormula>
    </tableColumn>
    <tableColumn id="5" xr3:uid="{0161CFBC-7738-40E6-AF85-1570D138CDAC}" name="Instructional Time" dataDxfId="354">
      <calculatedColumnFormula>IF(ISBLANK(Term3_Special_Day_1[[#This Row],[Activity]]),"",IF(_xlfn.XLOOKUP(Term3_Special_Day_1[[#This Row],[Activity]],Types_of_Activity[Type of Activity],Types_of_Activity[Classification])=1,Term3_Special_Day_1[[#This Row],[Elapsed]],0))</calculatedColumnFormula>
    </tableColumn>
    <tableColumn id="6" xr3:uid="{2794E5FF-7464-4C7C-BBFC-04ED4B0A3B95}" name="Assigned Time (Non-Instructional)" dataDxfId="353">
      <calculatedColumnFormula>IF(ISBLANK(Term3_Special_Day_1[[#This Row],[Activity]]),"",IF(_xlfn.XLOOKUP(Term3_Special_Day_1[[#This Row],[Activity]],Types_of_Activity[Type of Activity],Types_of_Activity[Classification])=2,Term3_Special_Day_1[[#This Row],[Elapsed]],0))</calculatedColumnFormula>
    </tableColumn>
  </tableColumns>
  <tableStyleInfo name="TableStyleMedium9"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40E8B507-3C4C-48F5-863E-9011C9B3A23F}" name="Term3_Special_Day_2" displayName="Term3_Special_Day_2" ref="I98:N131" totalsRowShown="0" headerRowDxfId="352" dataDxfId="351">
  <autoFilter ref="I98:N131" xr:uid="{40E8B507-3C4C-48F5-863E-9011C9B3A23F}">
    <filterColumn colId="0" hiddenButton="1"/>
    <filterColumn colId="1" hiddenButton="1"/>
    <filterColumn colId="2" hiddenButton="1"/>
    <filterColumn colId="3" hiddenButton="1"/>
    <filterColumn colId="4" hiddenButton="1"/>
    <filterColumn colId="5" hiddenButton="1"/>
  </autoFilter>
  <tableColumns count="6">
    <tableColumn id="1" xr3:uid="{6CAFFB51-CD2E-4EE5-B7FC-4189845CC820}" name="Start" dataDxfId="350"/>
    <tableColumn id="2" xr3:uid="{63F3D8D5-7A65-4B30-9CD9-4CDFC936E91D}" name="End" dataDxfId="349"/>
    <tableColumn id="4" xr3:uid="{FF033A7F-D68D-4125-AE98-22FA384869AC}" name="Activity" dataDxfId="348"/>
    <tableColumn id="3" xr3:uid="{0481A9CE-3F26-48C6-99DF-2AEB20F83829}" name="Elapsed" dataDxfId="347">
      <calculatedColumnFormula>IF(OR(ISBLANK(Term3_Special_Day_2[[#This Row],[Start]]),ISBLANK(Term3_Special_Day_2[[#This Row],[End]])),"",(Term3_Special_Day_2[[#This Row],[End]]-Term3_Special_Day_2[[#This Row],[Start]])*1440)</calculatedColumnFormula>
    </tableColumn>
    <tableColumn id="5" xr3:uid="{AADC71FD-3121-4888-8E0D-F7B2533A3800}" name="Instructional Time" dataDxfId="346">
      <calculatedColumnFormula>IF(ISBLANK(Term3_Special_Day_2[[#This Row],[Activity]]),"",IF(_xlfn.XLOOKUP(Term3_Special_Day_2[[#This Row],[Activity]],Types_of_Activity[Type of Activity],Types_of_Activity[Classification])=1,Term3_Special_Day_2[[#This Row],[Elapsed]],0))</calculatedColumnFormula>
    </tableColumn>
    <tableColumn id="6" xr3:uid="{A9F9F0DC-0B42-4AE0-B1A8-EADD9E1E3105}" name="Assigned Time (Non-Instructional)" dataDxfId="345">
      <calculatedColumnFormula>IF(ISBLANK(Term3_Special_Day_2[[#This Row],[Activity]]),"",IF(_xlfn.XLOOKUP(Term3_Special_Day_2[[#This Row],[Activity]],Types_of_Activity[Type of Activity],Types_of_Activity[Classification])=2,Term3_Special_Day_2[[#This Row],[Elapsed]],0))</calculatedColumnFormula>
    </tableColumn>
  </tableColumns>
  <tableStyleInfo name="TableStyleMedium9"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BD39A76E-6C18-42B9-A720-1FACE88C314F}" name="Term3_Special_Day_3" displayName="Term3_Special_Day_3" ref="P98:U131" totalsRowShown="0" headerRowDxfId="344" dataDxfId="343">
  <autoFilter ref="P98:U131" xr:uid="{BD39A76E-6C18-42B9-A720-1FACE88C314F}">
    <filterColumn colId="0" hiddenButton="1"/>
    <filterColumn colId="1" hiddenButton="1"/>
    <filterColumn colId="2" hiddenButton="1"/>
    <filterColumn colId="3" hiddenButton="1"/>
    <filterColumn colId="4" hiddenButton="1"/>
    <filterColumn colId="5" hiddenButton="1"/>
  </autoFilter>
  <tableColumns count="6">
    <tableColumn id="1" xr3:uid="{C4C7CF4A-A769-4C58-A2D9-1990EABAF5CB}" name="Start" dataDxfId="342"/>
    <tableColumn id="2" xr3:uid="{03F896A0-1788-4B21-B42E-390D374083B8}" name="End" dataDxfId="341"/>
    <tableColumn id="4" xr3:uid="{7BD936E8-06E1-4C4D-8119-F94BDBAF97EF}" name="Activity" dataDxfId="340"/>
    <tableColumn id="3" xr3:uid="{74AE980B-971E-440E-9DC8-0A3D1051885A}" name="Elapsed" dataDxfId="339">
      <calculatedColumnFormula>IF(OR(ISBLANK(Term3_Special_Day_3[[#This Row],[Start]]),ISBLANK(Term3_Special_Day_3[[#This Row],[End]])),"",(Term3_Special_Day_3[[#This Row],[End]]-Term3_Special_Day_3[[#This Row],[Start]])*1440)</calculatedColumnFormula>
    </tableColumn>
    <tableColumn id="5" xr3:uid="{D84C073F-6965-4ACE-8487-F21A5C7231DA}" name="Instructional Time" dataDxfId="338">
      <calculatedColumnFormula>IF(ISBLANK(Term3_Special_Day_3[[#This Row],[Activity]]),"",IF(_xlfn.XLOOKUP(Term3_Special_Day_3[[#This Row],[Activity]],Types_of_Activity[Type of Activity],Types_of_Activity[Classification])=1,Term3_Special_Day_3[[#This Row],[Elapsed]],0))</calculatedColumnFormula>
    </tableColumn>
    <tableColumn id="6" xr3:uid="{4B3B6140-337E-4C41-B3ED-8205E3E42F43}" name="Assigned Time (Non-Instructional)" dataDxfId="337">
      <calculatedColumnFormula>IF(ISBLANK(Term3_Special_Day_3[[#This Row],[Activity]]),"",IF(_xlfn.XLOOKUP(Term3_Special_Day_3[[#This Row],[Activity]],Types_of_Activity[Type of Activity],Types_of_Activity[Classification])=2,Term3_Special_Day_3[[#This Row],[Elapsed]],0))</calculatedColumnFormula>
    </tableColumn>
  </tableColumns>
  <tableStyleInfo name="TableStyleMedium9"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47DDE619-608F-4ED6-A808-77E9BE73D5F6}" name="Term3_Early_Dismissal_3" displayName="Term3_Early_Dismissal_3" ref="P56:U89" totalsRowShown="0" headerRowDxfId="336" dataDxfId="335">
  <autoFilter ref="P56:U89" xr:uid="{47DDE619-608F-4ED6-A808-77E9BE73D5F6}">
    <filterColumn colId="0" hiddenButton="1"/>
    <filterColumn colId="1" hiddenButton="1"/>
    <filterColumn colId="2" hiddenButton="1"/>
    <filterColumn colId="3" hiddenButton="1"/>
    <filterColumn colId="4" hiddenButton="1"/>
    <filterColumn colId="5" hiddenButton="1"/>
  </autoFilter>
  <tableColumns count="6">
    <tableColumn id="1" xr3:uid="{61BC4EB5-78D5-4789-86CA-05344A8F46FF}" name="Start" dataDxfId="334"/>
    <tableColumn id="2" xr3:uid="{59DD13D2-AF93-42BF-8ED0-9B7992866406}" name="End" dataDxfId="333"/>
    <tableColumn id="4" xr3:uid="{863C3555-EB11-4D65-8F8F-4879E3190537}" name="Activity" dataDxfId="332"/>
    <tableColumn id="3" xr3:uid="{490F0A2B-9BB8-4157-882A-C03D20590EFF}" name="Elapsed" dataDxfId="331">
      <calculatedColumnFormula>IF(OR(ISBLANK(Term3_Early_Dismissal_3[[#This Row],[Start]]),ISBLANK(Term3_Early_Dismissal_3[[#This Row],[End]])),"",(Term3_Early_Dismissal_3[[#This Row],[End]]-Term3_Early_Dismissal_3[[#This Row],[Start]])*1440)</calculatedColumnFormula>
    </tableColumn>
    <tableColumn id="5" xr3:uid="{8236B088-451C-48B8-9909-946B6BA18465}" name="Instructional Time" dataDxfId="330">
      <calculatedColumnFormula>IF(ISBLANK(Term3_Early_Dismissal_3[[#This Row],[Activity]]),"",IF(_xlfn.XLOOKUP(Term3_Early_Dismissal_3[[#This Row],[Activity]],Types_of_Activity[Type of Activity],Types_of_Activity[Classification])=1,Term3_Early_Dismissal_3[[#This Row],[Elapsed]],0))</calculatedColumnFormula>
    </tableColumn>
    <tableColumn id="6" xr3:uid="{147F4F36-6D62-4813-B6A9-440C80048B27}" name="Assigned Time (Non-Instructional)" dataDxfId="329">
      <calculatedColumnFormula>IF(ISBLANK(Term3_Early_Dismissal_3[[#This Row],[Activity]]),"",IF(_xlfn.XLOOKUP(Term3_Early_Dismissal_3[[#This Row],[Activity]],Types_of_Activity[Type of Activity],Types_of_Activity[Classification])=2,Term3_Early_Dismissal_3[[#This Row],[Elapsed]],0))</calculatedColumnFormula>
    </tableColumn>
  </tableColumns>
  <tableStyleInfo name="TableStyleMedium9"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14CDD264-6536-43FD-9D7B-BD23472A1A17}" name="Term3_Day_7" displayName="Term3_Day_7" ref="AR17:AW50" totalsRowShown="0" headerRowDxfId="328" dataDxfId="327">
  <autoFilter ref="AR17:AW50" xr:uid="{14CDD264-6536-43FD-9D7B-BD23472A1A17}">
    <filterColumn colId="0" hiddenButton="1"/>
    <filterColumn colId="1" hiddenButton="1"/>
    <filterColumn colId="2" hiddenButton="1"/>
    <filterColumn colId="3" hiddenButton="1"/>
    <filterColumn colId="4" hiddenButton="1"/>
    <filterColumn colId="5" hiddenButton="1"/>
  </autoFilter>
  <tableColumns count="6">
    <tableColumn id="1" xr3:uid="{83E6DD99-AB5C-4CB8-9FD0-FF09FEE518CE}" name="Start" dataDxfId="326"/>
    <tableColumn id="2" xr3:uid="{8F1D7DC0-6B3F-468B-A00A-D9499E53D7F2}" name="End" dataDxfId="325"/>
    <tableColumn id="4" xr3:uid="{A830CDAC-2103-4252-AE99-BDCBBC83824E}" name="Activity" dataDxfId="324"/>
    <tableColumn id="3" xr3:uid="{B3F080A0-F664-453B-A6B7-3CE978B3ADCB}" name="Elapsed" dataDxfId="323">
      <calculatedColumnFormula>IF(OR(ISBLANK(Term3_Day_7[[#This Row],[Start]]),ISBLANK(Term3_Day_7[[#This Row],[End]])),"",(Term3_Day_7[[#This Row],[End]]-Term3_Day_7[[#This Row],[Start]])*1440)</calculatedColumnFormula>
    </tableColumn>
    <tableColumn id="5" xr3:uid="{59B52BC2-9A4E-4786-872F-464590C1BDA3}" name="Instructional Time" dataDxfId="322">
      <calculatedColumnFormula>IF(ISBLANK(Term3_Day_7[[#This Row],[Activity]]),"",IF(_xlfn.XLOOKUP(Term3_Day_7[[#This Row],[Activity]],Types_of_Activity[Type of Activity],Types_of_Activity[Classification])=1,Term3_Day_7[[#This Row],[Elapsed]],0))</calculatedColumnFormula>
    </tableColumn>
    <tableColumn id="6" xr3:uid="{B982DAC9-4FDD-4EEA-98AA-722C8D7DD339}" name="Assigned Time (Non-Instructional)" dataDxfId="321">
      <calculatedColumnFormula>IF(ISBLANK(Term3_Day_7[[#This Row],[Activity]]),"",IF(_xlfn.XLOOKUP(Term3_Day_7[[#This Row],[Activity]],Types_of_Activity[Type of Activity],Types_of_Activity[Classification])=2,Term3_Day_7[[#This Row],[Elapsed]],0))</calculatedColumnFormula>
    </tableColumn>
  </tableColumns>
  <tableStyleInfo name="TableStyleMedium9"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71D7209-1424-4C6A-80C3-4DE9611CC849}" name="Term3_Day_8" displayName="Term3_Day_8" ref="AY17:BD50" totalsRowShown="0" headerRowDxfId="320" dataDxfId="319">
  <autoFilter ref="AY17:BD50" xr:uid="{071D7209-1424-4C6A-80C3-4DE9611CC849}">
    <filterColumn colId="0" hiddenButton="1"/>
    <filterColumn colId="1" hiddenButton="1"/>
    <filterColumn colId="2" hiddenButton="1"/>
    <filterColumn colId="3" hiddenButton="1"/>
    <filterColumn colId="4" hiddenButton="1"/>
    <filterColumn colId="5" hiddenButton="1"/>
  </autoFilter>
  <tableColumns count="6">
    <tableColumn id="1" xr3:uid="{3C09ED0D-A6D3-48DE-8625-948A6CB550F4}" name="Start" dataDxfId="318"/>
    <tableColumn id="2" xr3:uid="{50BD227A-3F67-4A25-97BC-CED2656AA4F7}" name="End" dataDxfId="317"/>
    <tableColumn id="4" xr3:uid="{19A86368-E224-4856-A1A1-3C2AAAA6C08E}" name="Activity" dataDxfId="316"/>
    <tableColumn id="3" xr3:uid="{1F277888-6AEB-4769-91C3-1AD5C5D3F596}" name="Elapsed" dataDxfId="315">
      <calculatedColumnFormula>IF(OR(ISBLANK(Term3_Day_8[[#This Row],[Start]]),ISBLANK(Term3_Day_8[[#This Row],[End]])),"",(Term3_Day_8[[#This Row],[End]]-Term3_Day_8[[#This Row],[Start]])*1440)</calculatedColumnFormula>
    </tableColumn>
    <tableColumn id="5" xr3:uid="{2112893D-9D1D-4528-9669-80C8B5CC38F6}" name="Instructional Time" dataDxfId="314">
      <calculatedColumnFormula>IF(ISBLANK(Term3_Day_8[[#This Row],[Activity]]),"",IF(_xlfn.XLOOKUP(Term3_Day_8[[#This Row],[Activity]],Types_of_Activity[Type of Activity],Types_of_Activity[Classification])=1,Term3_Day_8[[#This Row],[Elapsed]],0))</calculatedColumnFormula>
    </tableColumn>
    <tableColumn id="6" xr3:uid="{E1A74FFF-1D9F-4CF1-8B99-CCDAE1F00722}" name="Assigned Time (Non-Instructional)" dataDxfId="313">
      <calculatedColumnFormula>IF(ISBLANK(Term3_Day_8[[#This Row],[Activity]]),"",IF(_xlfn.XLOOKUP(Term3_Day_8[[#This Row],[Activity]],Types_of_Activity[Type of Activity],Types_of_Activity[Classification])=2,Term3_Day_8[[#This Row],[Elapsed]],0))</calculatedColumnFormula>
    </tableColumn>
  </tableColumns>
  <tableStyleInfo name="TableStyleMedium9"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96326F9D-D5DC-4D43-92A7-515BE4AA5F12}" name="Term3_Day_9" displayName="Term3_Day_9" ref="BF17:BK50" totalsRowShown="0" headerRowDxfId="312" dataDxfId="311">
  <autoFilter ref="BF17:BK50" xr:uid="{96326F9D-D5DC-4D43-92A7-515BE4AA5F12}">
    <filterColumn colId="0" hiddenButton="1"/>
    <filterColumn colId="1" hiddenButton="1"/>
    <filterColumn colId="2" hiddenButton="1"/>
    <filterColumn colId="3" hiddenButton="1"/>
    <filterColumn colId="4" hiddenButton="1"/>
    <filterColumn colId="5" hiddenButton="1"/>
  </autoFilter>
  <tableColumns count="6">
    <tableColumn id="1" xr3:uid="{EFD75DAF-F66A-4BD2-827C-870B64EF39BF}" name="Start" dataDxfId="310"/>
    <tableColumn id="2" xr3:uid="{0FE9D3C2-63EF-4854-96C1-469C65AC9636}" name="End" dataDxfId="309"/>
    <tableColumn id="4" xr3:uid="{023DDACB-2E26-4063-801D-0A301958120B}" name="Activity" dataDxfId="308"/>
    <tableColumn id="3" xr3:uid="{2FA8CF55-BD2C-4E73-AFF2-728F311CDEC7}" name="Elapsed" dataDxfId="307">
      <calculatedColumnFormula>IF(OR(ISBLANK(Term3_Day_9[[#This Row],[Start]]),ISBLANK(Term3_Day_9[[#This Row],[End]])),"",(Term3_Day_9[[#This Row],[End]]-Term3_Day_9[[#This Row],[Start]])*1440)</calculatedColumnFormula>
    </tableColumn>
    <tableColumn id="5" xr3:uid="{73D323B6-751F-4702-8F86-394BD370A812}" name="Instructional Time" dataDxfId="306">
      <calculatedColumnFormula>IF(ISBLANK(Term3_Day_9[[#This Row],[Activity]]),"",IF(_xlfn.XLOOKUP(Term3_Day_9[[#This Row],[Activity]],Types_of_Activity[Type of Activity],Types_of_Activity[Classification])=1,Term3_Day_9[[#This Row],[Elapsed]],0))</calculatedColumnFormula>
    </tableColumn>
    <tableColumn id="6" xr3:uid="{ACB38047-D3BC-4D2A-B1EF-F53945474B9C}" name="Assigned Time (Non-Instructional)" dataDxfId="305">
      <calculatedColumnFormula>IF(ISBLANK(Term3_Day_9[[#This Row],[Activity]]),"",IF(_xlfn.XLOOKUP(Term3_Day_9[[#This Row],[Activity]],Types_of_Activity[Type of Activity],Types_of_Activity[Classification])=2,Term3_Day_9[[#This Row],[Elapsed]],0))</calculatedColumnFormula>
    </tableColumn>
  </tableColumns>
  <tableStyleInfo name="TableStyleMedium9"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E420AD55-B4F9-4C1C-806A-64EB5DAC0FE7}" name="Term3_Early_Dismissal_4" displayName="Term3_Early_Dismissal_4" ref="W56:AB89" totalsRowShown="0" headerRowDxfId="304" dataDxfId="303">
  <autoFilter ref="W56:AB89" xr:uid="{E420AD55-B4F9-4C1C-806A-64EB5DAC0FE7}">
    <filterColumn colId="0" hiddenButton="1"/>
    <filterColumn colId="1" hiddenButton="1"/>
    <filterColumn colId="2" hiddenButton="1"/>
    <filterColumn colId="3" hiddenButton="1"/>
    <filterColumn colId="4" hiddenButton="1"/>
    <filterColumn colId="5" hiddenButton="1"/>
  </autoFilter>
  <tableColumns count="6">
    <tableColumn id="1" xr3:uid="{B831BE5D-0D8E-4583-A078-3F094F3FA2A7}" name="Start" dataDxfId="302"/>
    <tableColumn id="2" xr3:uid="{989E7E59-5CE8-48CD-BA67-C8A9FF5F73C3}" name="End" dataDxfId="301"/>
    <tableColumn id="4" xr3:uid="{8DAEBC86-9441-4806-BA7F-BC6459C7264F}" name="Activity" dataDxfId="300"/>
    <tableColumn id="3" xr3:uid="{6C67DB29-F529-4503-A59A-987094614606}" name="Elapsed" dataDxfId="299">
      <calculatedColumnFormula>IF(OR(ISBLANK(Term3_Early_Dismissal_4[[#This Row],[Start]]),ISBLANK(Term3_Early_Dismissal_4[[#This Row],[End]])),"",(Term3_Early_Dismissal_4[[#This Row],[End]]-Term3_Early_Dismissal_4[[#This Row],[Start]])*1440)</calculatedColumnFormula>
    </tableColumn>
    <tableColumn id="5" xr3:uid="{38692747-39DE-4DF1-AC6C-EF12CA2754A3}" name="Instructional Time" dataDxfId="298">
      <calculatedColumnFormula>IF(ISBLANK(Term3_Early_Dismissal_4[[#This Row],[Activity]]),"",IF(_xlfn.XLOOKUP(Term3_Early_Dismissal_4[[#This Row],[Activity]],Types_of_Activity[Type of Activity],Types_of_Activity[Classification])=1,Term3_Early_Dismissal_4[[#This Row],[Elapsed]],0))</calculatedColumnFormula>
    </tableColumn>
    <tableColumn id="6" xr3:uid="{5C362FEA-FCFC-409D-9E37-F01B706CEC2A}" name="Assigned Time (Non-Instructional)" dataDxfId="297">
      <calculatedColumnFormula>IF(ISBLANK(Term3_Early_Dismissal_4[[#This Row],[Activity]]),"",IF(_xlfn.XLOOKUP(Term3_Early_Dismissal_4[[#This Row],[Activity]],Types_of_Activity[Type of Activity],Types_of_Activity[Classification])=2,Term3_Early_Dismissal_4[[#This Row],[Elapsed]],0))</calculatedColumnFormula>
    </tableColumn>
  </tableColumns>
  <tableStyleInfo name="TableStyleMedium9"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50C122BC-1A2A-4666-A52C-89C36DCD3E66}" name="Term3_Early_Dismissal_5" displayName="Term3_Early_Dismissal_5" ref="AD56:AI89" totalsRowShown="0" headerRowDxfId="296" dataDxfId="295">
  <autoFilter ref="AD56:AI89" xr:uid="{50C122BC-1A2A-4666-A52C-89C36DCD3E66}">
    <filterColumn colId="0" hiddenButton="1"/>
    <filterColumn colId="1" hiddenButton="1"/>
    <filterColumn colId="2" hiddenButton="1"/>
    <filterColumn colId="3" hiddenButton="1"/>
    <filterColumn colId="4" hiddenButton="1"/>
    <filterColumn colId="5" hiddenButton="1"/>
  </autoFilter>
  <tableColumns count="6">
    <tableColumn id="1" xr3:uid="{6E3E9E7C-0EAB-4FCC-9CAA-78FAC9FA5E10}" name="Start" dataDxfId="294"/>
    <tableColumn id="2" xr3:uid="{66B32859-4F25-428B-BF7B-CACFF31A1F8C}" name="End" dataDxfId="293"/>
    <tableColumn id="4" xr3:uid="{6FD9F5B4-7B6D-41F7-BB01-C0D92DABBA76}" name="Activity" dataDxfId="292"/>
    <tableColumn id="3" xr3:uid="{A10A3EB8-1884-4D2A-BEFD-7EBBAC7C0307}" name="Elapsed" dataDxfId="291">
      <calculatedColumnFormula>IF(OR(ISBLANK(Term3_Early_Dismissal_5[[#This Row],[Start]]),ISBLANK(Term3_Early_Dismissal_5[[#This Row],[End]])),"",(Term3_Early_Dismissal_5[[#This Row],[End]]-Term3_Early_Dismissal_5[[#This Row],[Start]])*1440)</calculatedColumnFormula>
    </tableColumn>
    <tableColumn id="5" xr3:uid="{11E9B6F3-14C0-4261-8FF6-BE61B297F137}" name="Instructional Time" dataDxfId="290">
      <calculatedColumnFormula>IF(ISBLANK(Term3_Early_Dismissal_5[[#This Row],[Activity]]),"",IF(_xlfn.XLOOKUP(Term3_Early_Dismissal_5[[#This Row],[Activity]],Types_of_Activity[Type of Activity],Types_of_Activity[Classification])=1,Term3_Early_Dismissal_5[[#This Row],[Elapsed]],0))</calculatedColumnFormula>
    </tableColumn>
    <tableColumn id="6" xr3:uid="{FC303D6C-F7F6-4BDE-980E-C597CECF31C8}" name="Assigned Time (Non-Instructional)" dataDxfId="289">
      <calculatedColumnFormula>IF(ISBLANK(Term3_Early_Dismissal_5[[#This Row],[Activity]]),"",IF(_xlfn.XLOOKUP(Term3_Early_Dismissal_5[[#This Row],[Activity]],Types_of_Activity[Type of Activity],Types_of_Activity[Classification])=2,Term3_Early_Dismissal_5[[#This Row],[Elapsed]],0))</calculatedColumnFormula>
    </tableColumn>
  </tableColumns>
  <tableStyleInfo name="TableStyleMedium9"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FE21D943-5137-4CC9-8489-3D1EB0826463}" name="Term3_Early_Dismissal_6" displayName="Term3_Early_Dismissal_6" ref="AK56:AP89" totalsRowShown="0" headerRowDxfId="288" dataDxfId="287">
  <autoFilter ref="AK56:AP89" xr:uid="{FE21D943-5137-4CC9-8489-3D1EB0826463}">
    <filterColumn colId="0" hiddenButton="1"/>
    <filterColumn colId="1" hiddenButton="1"/>
    <filterColumn colId="2" hiddenButton="1"/>
    <filterColumn colId="3" hiddenButton="1"/>
    <filterColumn colId="4" hiddenButton="1"/>
    <filterColumn colId="5" hiddenButton="1"/>
  </autoFilter>
  <tableColumns count="6">
    <tableColumn id="1" xr3:uid="{51B38651-2ADE-476E-99B0-543C44995C92}" name="Start" dataDxfId="286"/>
    <tableColumn id="2" xr3:uid="{AC5B1379-DBBF-4166-9D31-7FDE324BAB8D}" name="End" dataDxfId="285"/>
    <tableColumn id="4" xr3:uid="{AEDB857D-6082-42E8-8B09-C2338756DDCE}" name="Activity" dataDxfId="284"/>
    <tableColumn id="3" xr3:uid="{F3EC9391-536D-4D8E-84D7-C721B6AC94FD}" name="Elapsed" dataDxfId="283">
      <calculatedColumnFormula>IF(OR(ISBLANK(Term3_Early_Dismissal_6[[#This Row],[Start]]),ISBLANK(Term3_Early_Dismissal_6[[#This Row],[End]])),"",(Term3_Early_Dismissal_6[[#This Row],[End]]-Term3_Early_Dismissal_6[[#This Row],[Start]])*1440)</calculatedColumnFormula>
    </tableColumn>
    <tableColumn id="5" xr3:uid="{8EF13CA4-BBB4-437A-B931-9664496AA8D4}" name="Instructional Time" dataDxfId="282">
      <calculatedColumnFormula>IF(ISBLANK(Term3_Early_Dismissal_6[[#This Row],[Activity]]),"",IF(_xlfn.XLOOKUP(Term3_Early_Dismissal_6[[#This Row],[Activity]],Types_of_Activity[Type of Activity],Types_of_Activity[Classification])=1,Term3_Early_Dismissal_6[[#This Row],[Elapsed]],0))</calculatedColumnFormula>
    </tableColumn>
    <tableColumn id="6" xr3:uid="{4E416D13-D916-45D1-8B6C-E74312AE83DA}" name="Assigned Time (Non-Instructional)" dataDxfId="281">
      <calculatedColumnFormula>IF(ISBLANK(Term3_Early_Dismissal_6[[#This Row],[Activity]]),"",IF(_xlfn.XLOOKUP(Term3_Early_Dismissal_6[[#This Row],[Activity]],Types_of_Activity[Type of Activity],Types_of_Activity[Classification])=2,Term3_Early_Dismissal_6[[#This Row],[Elapsed]],0))</calculatedColumnFormula>
    </tableColumn>
  </tableColumns>
  <tableStyleInfo name="TableStyleMedium9"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D0807779-AD42-487E-B696-45F6A92208B5}" name="Term4_Day_1" displayName="Term4_Day_1" ref="B17:G50" totalsRowShown="0" headerRowDxfId="280" dataDxfId="279">
  <autoFilter ref="B17:G50" xr:uid="{B136AA2D-167D-4FB0-80FF-9B5EB74FD3E6}">
    <filterColumn colId="0" hiddenButton="1"/>
    <filterColumn colId="1" hiddenButton="1"/>
    <filterColumn colId="2" hiddenButton="1"/>
    <filterColumn colId="3" hiddenButton="1"/>
    <filterColumn colId="4" hiddenButton="1"/>
    <filterColumn colId="5" hiddenButton="1"/>
  </autoFilter>
  <tableColumns count="6">
    <tableColumn id="1" xr3:uid="{67004C0C-C7B8-4320-9B92-59D8CE414CC7}" name="Start" dataDxfId="278"/>
    <tableColumn id="2" xr3:uid="{292B31D2-4234-4516-9DDD-4A8790489882}" name="End" dataDxfId="277"/>
    <tableColumn id="4" xr3:uid="{7EC009A9-3319-4C28-9771-D8AC69A14551}" name="Activity" dataDxfId="276"/>
    <tableColumn id="3" xr3:uid="{CFBDFD8D-399F-4453-9ED2-174A301EF7E1}" name="Elapsed" dataDxfId="275">
      <calculatedColumnFormula>IF(OR(ISBLANK(Term4_Day_1[[#This Row],[Start]]),ISBLANK(Term4_Day_1[[#This Row],[End]])),"",(Term4_Day_1[[#This Row],[End]]-Term4_Day_1[[#This Row],[Start]])*1440)</calculatedColumnFormula>
    </tableColumn>
    <tableColumn id="5" xr3:uid="{67877A2B-5DB8-4212-A9D0-65EC55961ED4}" name="Instructional Time" dataDxfId="274">
      <calculatedColumnFormula>IF(ISBLANK(Term4_Day_1[[#This Row],[Activity]]),"",IF(_xlfn.XLOOKUP(Term4_Day_1[[#This Row],[Activity]],Types_of_Activity[Type of Activity],Types_of_Activity[Classification])=1,Term4_Day_1[[#This Row],[Elapsed]],0))</calculatedColumnFormula>
    </tableColumn>
    <tableColumn id="6" xr3:uid="{8A08B8EA-D9B7-47EE-9611-0847ECFCB91A}" name="Assigned Time (Non-Instructional)" dataDxfId="273">
      <calculatedColumnFormula>IF(ISBLANK(Term4_Day_1[[#This Row],[Activity]]),"",IF(_xlfn.XLOOKUP(Term4_Day_1[[#This Row],[Activity]],Types_of_Activity[Type of Activity],Types_of_Activity[Classification])=2,Term4_Day_1[[#This Row],[Elapsed]],0))</calculatedColumnFormula>
    </tableColumn>
  </tableColumns>
  <tableStyleInfo name="TableStyleMedium9"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1C42E0D-0DED-4428-AD0F-96EDBB18F826}" name="Term4_Day_2" displayName="Term4_Day_2" ref="I17:N50" totalsRowShown="0" headerRowDxfId="272" dataDxfId="271">
  <autoFilter ref="I17:N50" xr:uid="{920CC304-28D5-4D8E-A5FC-1CB071FB46BE}">
    <filterColumn colId="0" hiddenButton="1"/>
    <filterColumn colId="1" hiddenButton="1"/>
    <filterColumn colId="2" hiddenButton="1"/>
    <filterColumn colId="3" hiddenButton="1"/>
    <filterColumn colId="4" hiddenButton="1"/>
    <filterColumn colId="5" hiddenButton="1"/>
  </autoFilter>
  <tableColumns count="6">
    <tableColumn id="1" xr3:uid="{B45DB027-3CFA-4A7C-9CFF-59925E3C3122}" name="Start" dataDxfId="270"/>
    <tableColumn id="2" xr3:uid="{D25FDDF6-1A62-4A21-9E04-0CA2B92DAD6C}" name="End" dataDxfId="269"/>
    <tableColumn id="4" xr3:uid="{EF09BA31-0E6F-48BC-91F6-02053CC9BC08}" name="Activity" dataDxfId="268"/>
    <tableColumn id="3" xr3:uid="{EBBFC59B-1F5F-43E8-A443-9491EC7F0896}" name="Elapsed" dataDxfId="267">
      <calculatedColumnFormula>IF(OR(ISBLANK(Term4_Day_2[[#This Row],[Start]]),ISBLANK(Term4_Day_2[[#This Row],[End]])),"",(Term4_Day_2[[#This Row],[End]]-Term4_Day_2[[#This Row],[Start]])*1440)</calculatedColumnFormula>
    </tableColumn>
    <tableColumn id="5" xr3:uid="{B2E64C3D-652B-4A37-B3B5-AAEB76C3E250}" name="Instructional Time" dataDxfId="266">
      <calculatedColumnFormula>IF(ISBLANK(Term4_Day_2[[#This Row],[Activity]]),"",IF(_xlfn.XLOOKUP(Term4_Day_2[[#This Row],[Activity]],Types_of_Activity[Type of Activity],Types_of_Activity[Classification])=1,Term4_Day_2[[#This Row],[Elapsed]],0))</calculatedColumnFormula>
    </tableColumn>
    <tableColumn id="6" xr3:uid="{CD707163-BDC3-4597-BBD0-590527406573}" name="Assigned Time (Non-Instructional)" dataDxfId="265">
      <calculatedColumnFormula>IF(ISBLANK(Term4_Day_2[[#This Row],[Activity]]),"",IF(_xlfn.XLOOKUP(Term4_Day_2[[#This Row],[Activity]],Types_of_Activity[Type of Activity],Types_of_Activity[Classification])=2,Term4_Day_2[[#This Row],[Elapsed]],0))</calculatedColumnFormula>
    </tableColumn>
  </tableColumns>
  <tableStyleInfo name="TableStyleMedium9"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A6C9947C-4982-4299-9A1A-C9BD9FEBA3CE}" name="Term4_Day_3" displayName="Term4_Day_3" ref="P17:U50" totalsRowShown="0" headerRowDxfId="264" dataDxfId="263">
  <autoFilter ref="P17:U50" xr:uid="{A5552C8D-A374-464F-9A16-AA32C6A4F329}">
    <filterColumn colId="0" hiddenButton="1"/>
    <filterColumn colId="1" hiddenButton="1"/>
    <filterColumn colId="2" hiddenButton="1"/>
    <filterColumn colId="3" hiddenButton="1"/>
    <filterColumn colId="4" hiddenButton="1"/>
    <filterColumn colId="5" hiddenButton="1"/>
  </autoFilter>
  <tableColumns count="6">
    <tableColumn id="1" xr3:uid="{82FE198E-7C3C-4245-829E-1F3425E46E5E}" name="Start" dataDxfId="262"/>
    <tableColumn id="2" xr3:uid="{98952826-50DE-4E76-B24F-91CF60C459D2}" name="End" dataDxfId="261"/>
    <tableColumn id="4" xr3:uid="{2DD84657-C2E9-4483-9758-30B3893441F6}" name="Activity" dataDxfId="260"/>
    <tableColumn id="3" xr3:uid="{77A33473-A8B2-46BB-BC3B-2B3224642A94}" name="Elapsed" dataDxfId="259">
      <calculatedColumnFormula>IF(OR(ISBLANK(Term4_Day_3[[#This Row],[Start]]),ISBLANK(Term4_Day_3[[#This Row],[End]])),"",(Term4_Day_3[[#This Row],[End]]-Term4_Day_3[[#This Row],[Start]])*1440)</calculatedColumnFormula>
    </tableColumn>
    <tableColumn id="5" xr3:uid="{EC92A205-6563-48B5-A65B-C856BFA69A02}" name="Instructional Time" dataDxfId="258">
      <calculatedColumnFormula>IF(ISBLANK(Term4_Day_3[[#This Row],[Activity]]),"",IF(_xlfn.XLOOKUP(Term4_Day_3[[#This Row],[Activity]],Types_of_Activity[Type of Activity],Types_of_Activity[Classification])=1,Term4_Day_3[[#This Row],[Elapsed]],0))</calculatedColumnFormula>
    </tableColumn>
    <tableColumn id="6" xr3:uid="{67B63D9F-A2CC-49E2-AD46-A33219C58D43}" name="Assigned Time (Non-Instructional)" dataDxfId="257">
      <calculatedColumnFormula>IF(ISBLANK(Term4_Day_3[[#This Row],[Activity]]),"",IF(_xlfn.XLOOKUP(Term4_Day_3[[#This Row],[Activity]],Types_of_Activity[Type of Activity],Types_of_Activity[Classification])=2,Term4_Day_3[[#This Row],[Elapsed]],0))</calculatedColumnFormula>
    </tableColumn>
  </tableColumns>
  <tableStyleInfo name="TableStyleMedium9"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BFF26E5C-BEEE-4EE8-95C3-87F2CA2BA919}" name="Term4_Day_4" displayName="Term4_Day_4" ref="W17:AB50" totalsRowShown="0" headerRowDxfId="256" dataDxfId="255">
  <autoFilter ref="W17:AB50" xr:uid="{ED863ACF-58C1-4D72-959F-71C1B6DE7A25}">
    <filterColumn colId="0" hiddenButton="1"/>
    <filterColumn colId="1" hiddenButton="1"/>
    <filterColumn colId="2" hiddenButton="1"/>
    <filterColumn colId="3" hiddenButton="1"/>
    <filterColumn colId="4" hiddenButton="1"/>
    <filterColumn colId="5" hiddenButton="1"/>
  </autoFilter>
  <tableColumns count="6">
    <tableColumn id="1" xr3:uid="{036A2F82-FAF0-461C-A54A-34215F3E9FDA}" name="Start" dataDxfId="254"/>
    <tableColumn id="2" xr3:uid="{40AE573C-1855-4B32-8B02-8FBFEB9223CC}" name="End" dataDxfId="253"/>
    <tableColumn id="4" xr3:uid="{6A1331AF-0D23-41C1-A8CB-46CE1737A3F7}" name="Activity" dataDxfId="252"/>
    <tableColumn id="3" xr3:uid="{18BB8417-78FA-407C-B743-9EEA93374B84}" name="Elapsed" dataDxfId="251">
      <calculatedColumnFormula>IF(OR(ISBLANK(Term4_Day_4[[#This Row],[Start]]),ISBLANK(Term4_Day_4[[#This Row],[End]])),"",(Term4_Day_4[[#This Row],[End]]-Term4_Day_4[[#This Row],[Start]])*1440)</calculatedColumnFormula>
    </tableColumn>
    <tableColumn id="5" xr3:uid="{FC2F9C05-443E-4E77-853D-4933C7BF337D}" name="Instructional Time" dataDxfId="250">
      <calculatedColumnFormula>IF(ISBLANK(Term4_Day_4[[#This Row],[Activity]]),"",IF(_xlfn.XLOOKUP(Term4_Day_4[[#This Row],[Activity]],Types_of_Activity[Type of Activity],Types_of_Activity[Classification])=1,Term4_Day_4[[#This Row],[Elapsed]],0))</calculatedColumnFormula>
    </tableColumn>
    <tableColumn id="6" xr3:uid="{07D0C5F2-33A2-49AA-8A74-EF507FB0675F}" name="Assigned Time (Non-Instructional)" dataDxfId="249">
      <calculatedColumnFormula>IF(ISBLANK(Term4_Day_4[[#This Row],[Activity]]),"",IF(_xlfn.XLOOKUP(Term4_Day_4[[#This Row],[Activity]],Types_of_Activity[Type of Activity],Types_of_Activity[Classification])=2,Term4_Day_4[[#This Row],[Elapsed]],0))</calculatedColumnFormula>
    </tableColumn>
  </tableColumns>
  <tableStyleInfo name="TableStyleMedium9"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EF23C081-8F3C-4692-915A-9C6EE82855A1}" name="Term4_Day_5" displayName="Term4_Day_5" ref="AD17:AI50" totalsRowShown="0" headerRowDxfId="248" dataDxfId="247">
  <autoFilter ref="AD17:AI50" xr:uid="{838371F3-74A6-4468-8630-90FA9F2810C8}">
    <filterColumn colId="0" hiddenButton="1"/>
    <filterColumn colId="1" hiddenButton="1"/>
    <filterColumn colId="2" hiddenButton="1"/>
    <filterColumn colId="3" hiddenButton="1"/>
    <filterColumn colId="4" hiddenButton="1"/>
    <filterColumn colId="5" hiddenButton="1"/>
  </autoFilter>
  <tableColumns count="6">
    <tableColumn id="1" xr3:uid="{341BA7DF-FF79-4AAA-AE1F-B297A1DC51B5}" name="Start" dataDxfId="246"/>
    <tableColumn id="2" xr3:uid="{FEE8C15E-9940-4E5E-B570-9754752EC22F}" name="End" dataDxfId="245"/>
    <tableColumn id="4" xr3:uid="{02CEB08C-3D50-497E-A995-D4B86100B67C}" name="Activity" dataDxfId="244"/>
    <tableColumn id="3" xr3:uid="{9E793A67-E893-4BCB-BA42-0856963B37EB}" name="Elapsed" dataDxfId="243">
      <calculatedColumnFormula>IF(OR(ISBLANK(Term4_Day_5[[#This Row],[Start]]),ISBLANK(Term4_Day_5[[#This Row],[End]])),"",(Term4_Day_5[[#This Row],[End]]-Term4_Day_5[[#This Row],[Start]])*1440)</calculatedColumnFormula>
    </tableColumn>
    <tableColumn id="5" xr3:uid="{28DC365E-3425-48EA-AFEA-6FDB86405F65}" name="Instructional Time" dataDxfId="242">
      <calculatedColumnFormula>IF(ISBLANK(Term4_Day_5[[#This Row],[Activity]]),"",IF(_xlfn.XLOOKUP(Term4_Day_5[[#This Row],[Activity]],Types_of_Activity[Type of Activity],Types_of_Activity[Classification])=1,Term4_Day_5[[#This Row],[Elapsed]],0))</calculatedColumnFormula>
    </tableColumn>
    <tableColumn id="6" xr3:uid="{C52A1080-8ED3-4005-86C3-81B4CA6300E2}" name="Assigned Time (Non-Instructional)" dataDxfId="241">
      <calculatedColumnFormula>IF(ISBLANK(Term4_Day_5[[#This Row],[Activity]]),"",IF(_xlfn.XLOOKUP(Term4_Day_5[[#This Row],[Activity]],Types_of_Activity[Type of Activity],Types_of_Activity[Classification])=2,Term4_Day_5[[#This Row],[Elapsed]],0))</calculatedColumnFormula>
    </tableColumn>
  </tableColumns>
  <tableStyleInfo name="TableStyleMedium9"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5EF19060-68E2-4CB1-9F59-63FC25D79657}" name="Term4_Day_6" displayName="Term4_Day_6" ref="AK17:AP50" totalsRowShown="0" headerRowDxfId="240" dataDxfId="239">
  <autoFilter ref="AK17:AP50" xr:uid="{DBCE6DC7-4B78-4556-BA9E-D00F0D5B9B5F}">
    <filterColumn colId="0" hiddenButton="1"/>
    <filterColumn colId="1" hiddenButton="1"/>
    <filterColumn colId="2" hiddenButton="1"/>
    <filterColumn colId="3" hiddenButton="1"/>
    <filterColumn colId="4" hiddenButton="1"/>
    <filterColumn colId="5" hiddenButton="1"/>
  </autoFilter>
  <tableColumns count="6">
    <tableColumn id="1" xr3:uid="{30E27197-6E4E-49C9-A8EF-59DCE916265B}" name="Start" dataDxfId="238"/>
    <tableColumn id="2" xr3:uid="{BDC2B9A4-B3D8-4906-8DA2-749851B5B39B}" name="End" dataDxfId="237"/>
    <tableColumn id="4" xr3:uid="{C0CAB3EC-C23A-4838-927D-37D53A812998}" name="Activity" dataDxfId="236"/>
    <tableColumn id="3" xr3:uid="{7FF38EF9-3598-4B0A-9DF2-4CE832B9BB3B}" name="Elapsed" dataDxfId="235">
      <calculatedColumnFormula>IF(OR(ISBLANK(Term4_Day_6[[#This Row],[Start]]),ISBLANK(Term4_Day_6[[#This Row],[End]])),"",(Term4_Day_6[[#This Row],[End]]-Term4_Day_6[[#This Row],[Start]])*1440)</calculatedColumnFormula>
    </tableColumn>
    <tableColumn id="5" xr3:uid="{EACE5EA0-C7C7-4452-8D28-0B7CD999A757}" name="Instructional Time" dataDxfId="234">
      <calculatedColumnFormula>IF(ISBLANK(Term4_Day_6[[#This Row],[Activity]]),"",IF(_xlfn.XLOOKUP(Term4_Day_6[[#This Row],[Activity]],Types_of_Activity[Type of Activity],Types_of_Activity[Classification])=1,Term4_Day_6[[#This Row],[Elapsed]],0))</calculatedColumnFormula>
    </tableColumn>
    <tableColumn id="6" xr3:uid="{31255044-A926-4846-9936-53E73EDE341C}" name="Assigned Time (Non-Instructional)" dataDxfId="233">
      <calculatedColumnFormula>IF(ISBLANK(Term4_Day_6[[#This Row],[Activity]]),"",IF(_xlfn.XLOOKUP(Term4_Day_6[[#This Row],[Activity]],Types_of_Activity[Type of Activity],Types_of_Activity[Classification])=2,Term4_Day_6[[#This Row],[Elapsed]],0))</calculatedColumnFormula>
    </tableColumn>
  </tableColumns>
  <tableStyleInfo name="TableStyleMedium9"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A62BDE42-FCEE-4CA1-A103-E8422340CC86}" name="Term4_Day_10" displayName="Term4_Day_10" ref="BM17:BR50" totalsRowShown="0" headerRowDxfId="232" dataDxfId="231">
  <autoFilter ref="BM17:BR50" xr:uid="{7680EA40-2B46-4501-B37E-F9BAB4FFCA79}">
    <filterColumn colId="0" hiddenButton="1"/>
    <filterColumn colId="1" hiddenButton="1"/>
    <filterColumn colId="2" hiddenButton="1"/>
    <filterColumn colId="3" hiddenButton="1"/>
    <filterColumn colId="4" hiddenButton="1"/>
    <filterColumn colId="5" hiddenButton="1"/>
  </autoFilter>
  <tableColumns count="6">
    <tableColumn id="1" xr3:uid="{0A7B90A3-CAFB-440B-B208-65DB620A80B7}" name="Start" dataDxfId="230"/>
    <tableColumn id="2" xr3:uid="{DEBCE743-1A0D-471F-9C7B-77314A5C08CD}" name="End" dataDxfId="229"/>
    <tableColumn id="4" xr3:uid="{93355F63-A5EC-4170-8BDF-CE19A4E6A3DB}" name="Activity" dataDxfId="228"/>
    <tableColumn id="3" xr3:uid="{D104ACF3-3539-449D-9012-AD12E6B5DDC4}" name="Elapsed" dataDxfId="227">
      <calculatedColumnFormula>IF(OR(ISBLANK(Term4_Day_10[[#This Row],[Start]]),ISBLANK(Term4_Day_10[[#This Row],[End]])),"",(Term4_Day_10[[#This Row],[End]]-Term4_Day_10[[#This Row],[Start]])*1440)</calculatedColumnFormula>
    </tableColumn>
    <tableColumn id="5" xr3:uid="{EB963D2C-AEF3-4854-97F1-3045A0240B52}" name="Instructional Time" dataDxfId="226">
      <calculatedColumnFormula>IF(ISBLANK(Term4_Day_10[[#This Row],[Activity]]),"",IF(_xlfn.XLOOKUP(Term4_Day_10[[#This Row],[Activity]],Types_of_Activity[Type of Activity],Types_of_Activity[Classification])=1,Term4_Day_10[[#This Row],[Elapsed]],0))</calculatedColumnFormula>
    </tableColumn>
    <tableColumn id="6" xr3:uid="{173F74B5-7DDE-4329-840B-155EDCFB5ECE}" name="Assigned Time (Non-Instructional)" dataDxfId="225">
      <calculatedColumnFormula>IF(ISBLANK(Term4_Day_10[[#This Row],[Activity]]),"",IF(_xlfn.XLOOKUP(Term4_Day_10[[#This Row],[Activity]],Types_of_Activity[Type of Activity],Types_of_Activity[Classification])=2,Term4_Day_10[[#This Row],[Elapsed]],0))</calculatedColumnFormula>
    </tableColumn>
  </tableColumns>
  <tableStyleInfo name="TableStyleMedium9"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57DC345B-C2F3-43EC-B662-4698C8EE213F}" name="Term4_Early_Dismissal_1" displayName="Term4_Early_Dismissal_1" ref="B56:G89" totalsRowShown="0" headerRowDxfId="224" dataDxfId="223">
  <autoFilter ref="B56:G89" xr:uid="{57DC345B-C2F3-43EC-B662-4698C8EE213F}">
    <filterColumn colId="0" hiddenButton="1"/>
    <filterColumn colId="1" hiddenButton="1"/>
    <filterColumn colId="2" hiddenButton="1"/>
    <filterColumn colId="3" hiddenButton="1"/>
    <filterColumn colId="4" hiddenButton="1"/>
    <filterColumn colId="5" hiddenButton="1"/>
  </autoFilter>
  <tableColumns count="6">
    <tableColumn id="1" xr3:uid="{A707D912-6E1D-4ED8-8DBA-39618D1D8994}" name="Start" dataDxfId="222"/>
    <tableColumn id="2" xr3:uid="{20FE7D8B-355A-4BE1-992D-622A686969E6}" name="End" dataDxfId="221"/>
    <tableColumn id="4" xr3:uid="{85CA907B-6266-4A45-9F4F-C89E35239367}" name="Activity" dataDxfId="220"/>
    <tableColumn id="3" xr3:uid="{90A71C1E-7393-432F-A418-86A83417557A}" name="Elapsed" dataDxfId="219">
      <calculatedColumnFormula>IF(OR(ISBLANK(Term4_Early_Dismissal_1[[#This Row],[Start]]),ISBLANK(Term4_Early_Dismissal_1[[#This Row],[End]])),"",(Term4_Early_Dismissal_1[[#This Row],[End]]-Term4_Early_Dismissal_1[[#This Row],[Start]])*1440)</calculatedColumnFormula>
    </tableColumn>
    <tableColumn id="5" xr3:uid="{0B62F9E5-6998-4C6A-A770-56BEECB05E46}" name="Instructional Time" dataDxfId="218">
      <calculatedColumnFormula>IF(ISBLANK(Term4_Early_Dismissal_1[[#This Row],[Activity]]),"",IF(_xlfn.XLOOKUP(Term4_Early_Dismissal_1[[#This Row],[Activity]],Types_of_Activity[Type of Activity],Types_of_Activity[Classification])=1,Term4_Early_Dismissal_1[[#This Row],[Elapsed]],0))</calculatedColumnFormula>
    </tableColumn>
    <tableColumn id="6" xr3:uid="{85D67E5F-9B68-4951-BA5B-C52FAFA63A0F}" name="Assigned Time (Non-Instructional)" dataDxfId="217">
      <calculatedColumnFormula>IF(ISBLANK(Term4_Early_Dismissal_1[[#This Row],[Activity]]),"",IF(_xlfn.XLOOKUP(Term4_Early_Dismissal_1[[#This Row],[Activity]],Types_of_Activity[Type of Activity],Types_of_Activity[Classification])=2,Term4_Early_Dismissal_1[[#This Row],[Elapsed]],0))</calculatedColumnFormula>
    </tableColumn>
  </tableColumns>
  <tableStyleInfo name="TableStyleMedium9"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BB71FCC4-D86F-4D4E-AE3C-6674D39FF586}" name="Term4_Early_Dismissal_2" displayName="Term4_Early_Dismissal_2" ref="I56:N89" totalsRowShown="0" headerRowDxfId="216" dataDxfId="215">
  <autoFilter ref="I56:N89" xr:uid="{BB71FCC4-D86F-4D4E-AE3C-6674D39FF586}">
    <filterColumn colId="0" hiddenButton="1"/>
    <filterColumn colId="1" hiddenButton="1"/>
    <filterColumn colId="2" hiddenButton="1"/>
    <filterColumn colId="3" hiddenButton="1"/>
    <filterColumn colId="4" hiddenButton="1"/>
    <filterColumn colId="5" hiddenButton="1"/>
  </autoFilter>
  <tableColumns count="6">
    <tableColumn id="1" xr3:uid="{45BA0B5C-6B03-4835-9B37-AE77AE69645D}" name="Start" dataDxfId="214"/>
    <tableColumn id="2" xr3:uid="{09400ACC-531F-49CE-BAF2-A6B4A187C971}" name="End" dataDxfId="213"/>
    <tableColumn id="4" xr3:uid="{9838BA9B-62B7-42C3-BC73-61EE4182F3E6}" name="Activity" dataDxfId="212"/>
    <tableColumn id="3" xr3:uid="{58DDDC81-B4B2-4D53-A21D-88C1F42A7455}" name="Elapsed" dataDxfId="211">
      <calculatedColumnFormula>IF(OR(ISBLANK(Term4_Early_Dismissal_2[[#This Row],[Start]]),ISBLANK(Term4_Early_Dismissal_2[[#This Row],[End]])),"",(Term4_Early_Dismissal_2[[#This Row],[End]]-Term4_Early_Dismissal_2[[#This Row],[Start]])*1440)</calculatedColumnFormula>
    </tableColumn>
    <tableColumn id="5" xr3:uid="{D9E023FB-E990-45C3-97E2-E53350B308D2}" name="Instructional Time" dataDxfId="210">
      <calculatedColumnFormula>IF(ISBLANK(Term4_Early_Dismissal_2[[#This Row],[Activity]]),"",IF(_xlfn.XLOOKUP(Term4_Early_Dismissal_2[[#This Row],[Activity]],Types_of_Activity[Type of Activity],Types_of_Activity[Classification])=1,Term4_Early_Dismissal_2[[#This Row],[Elapsed]],0))</calculatedColumnFormula>
    </tableColumn>
    <tableColumn id="6" xr3:uid="{3B9A18AB-44EA-46AD-A858-2B84D2FF4E74}" name="Assigned Time (Non-Instructional)" dataDxfId="209">
      <calculatedColumnFormula>IF(ISBLANK(Term4_Early_Dismissal_2[[#This Row],[Activity]]),"",IF(_xlfn.XLOOKUP(Term4_Early_Dismissal_2[[#This Row],[Activity]],Types_of_Activity[Type of Activity],Types_of_Activity[Classification])=2,Term4_Early_Dismissal_2[[#This Row],[Elapsed]],0))</calculatedColumnFormula>
    </tableColumn>
  </tableColumns>
  <tableStyleInfo name="TableStyleMedium9"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1215FBE4-35B0-46BE-99FF-5A95E16CDEDE}" name="Term4_Special_Day_1" displayName="Term4_Special_Day_1" ref="B98:G131" totalsRowShown="0" headerRowDxfId="208" dataDxfId="207">
  <autoFilter ref="B98:G131" xr:uid="{1215FBE4-35B0-46BE-99FF-5A95E16CDEDE}">
    <filterColumn colId="0" hiddenButton="1"/>
    <filterColumn colId="1" hiddenButton="1"/>
    <filterColumn colId="2" hiddenButton="1"/>
    <filterColumn colId="3" hiddenButton="1"/>
    <filterColumn colId="4" hiddenButton="1"/>
    <filterColumn colId="5" hiddenButton="1"/>
  </autoFilter>
  <tableColumns count="6">
    <tableColumn id="1" xr3:uid="{4D00FBC7-C397-41E6-8D3F-95E86588ADFC}" name="Start" dataDxfId="206"/>
    <tableColumn id="2" xr3:uid="{91567121-6736-4FBE-AD21-B480C0E8DAC3}" name="End" dataDxfId="205"/>
    <tableColumn id="4" xr3:uid="{3F45F77B-8F22-458A-9F28-56D028877CE2}" name="Activity" dataDxfId="204"/>
    <tableColumn id="3" xr3:uid="{1C50C5F0-BE18-498E-9D22-7BDFDA4C3A08}" name="Elapsed" dataDxfId="203">
      <calculatedColumnFormula>IF(OR(ISBLANK(Term4_Special_Day_1[[#This Row],[Start]]),ISBLANK(Term4_Special_Day_1[[#This Row],[End]])),"",(Term4_Special_Day_1[[#This Row],[End]]-Term4_Special_Day_1[[#This Row],[Start]])*1440)</calculatedColumnFormula>
    </tableColumn>
    <tableColumn id="5" xr3:uid="{CC3C693C-E949-4DC7-9327-5F81864C409F}" name="Instructional Time" dataDxfId="202">
      <calculatedColumnFormula>IF(ISBLANK(Term4_Special_Day_1[[#This Row],[Activity]]),"",IF(_xlfn.XLOOKUP(Term4_Special_Day_1[[#This Row],[Activity]],Types_of_Activity[Type of Activity],Types_of_Activity[Classification])=1,Term4_Special_Day_1[[#This Row],[Elapsed]],0))</calculatedColumnFormula>
    </tableColumn>
    <tableColumn id="6" xr3:uid="{FCF46450-A55D-4A3F-8AD3-0CCD25BF5005}" name="Assigned Time (Non-Instructional)" dataDxfId="201">
      <calculatedColumnFormula>IF(ISBLANK(Term4_Special_Day_1[[#This Row],[Activity]]),"",IF(_xlfn.XLOOKUP(Term4_Special_Day_1[[#This Row],[Activity]],Types_of_Activity[Type of Activity],Types_of_Activity[Classification])=2,Term4_Special_Day_1[[#This Row],[Elapsed]],0))</calculatedColumnFormula>
    </tableColumn>
  </tableColumns>
  <tableStyleInfo name="TableStyleMedium9"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BC2132A5-FCFE-408C-AC77-300BC9247150}" name="Term4_Special_Day_2" displayName="Term4_Special_Day_2" ref="I98:N131" totalsRowShown="0" headerRowDxfId="200" dataDxfId="199">
  <autoFilter ref="I98:N131" xr:uid="{BC2132A5-FCFE-408C-AC77-300BC9247150}">
    <filterColumn colId="0" hiddenButton="1"/>
    <filterColumn colId="1" hiddenButton="1"/>
    <filterColumn colId="2" hiddenButton="1"/>
    <filterColumn colId="3" hiddenButton="1"/>
    <filterColumn colId="4" hiddenButton="1"/>
    <filterColumn colId="5" hiddenButton="1"/>
  </autoFilter>
  <tableColumns count="6">
    <tableColumn id="1" xr3:uid="{935B61D1-E8EC-44BB-B057-44F0D3920437}" name="Start" dataDxfId="198"/>
    <tableColumn id="2" xr3:uid="{8778567B-ABE7-4DBF-90BF-96129BC47660}" name="End" dataDxfId="197"/>
    <tableColumn id="4" xr3:uid="{249B7200-0E90-4FF4-8D1D-D8584E36DEA6}" name="Activity" dataDxfId="196"/>
    <tableColumn id="3" xr3:uid="{E725446B-CC1F-4C80-A9FF-1E05615ABC17}" name="Elapsed" dataDxfId="195">
      <calculatedColumnFormula>IF(OR(ISBLANK(Term4_Special_Day_2[[#This Row],[Start]]),ISBLANK(Term4_Special_Day_2[[#This Row],[End]])),"",(Term4_Special_Day_2[[#This Row],[End]]-Term4_Special_Day_2[[#This Row],[Start]])*1440)</calculatedColumnFormula>
    </tableColumn>
    <tableColumn id="5" xr3:uid="{0A90A26E-8096-4E1A-B944-C87CBAAA6648}" name="Instructional Time" dataDxfId="194">
      <calculatedColumnFormula>IF(ISBLANK(Term4_Special_Day_2[[#This Row],[Activity]]),"",IF(_xlfn.XLOOKUP(Term4_Special_Day_2[[#This Row],[Activity]],Types_of_Activity[Type of Activity],Types_of_Activity[Classification])=1,Term4_Special_Day_2[[#This Row],[Elapsed]],0))</calculatedColumnFormula>
    </tableColumn>
    <tableColumn id="6" xr3:uid="{BD385464-FCD9-48CF-AE7D-5C47718D5B5A}" name="Assigned Time (Non-Instructional)" dataDxfId="193">
      <calculatedColumnFormula>IF(ISBLANK(Term4_Special_Day_2[[#This Row],[Activity]]),"",IF(_xlfn.XLOOKUP(Term4_Special_Day_2[[#This Row],[Activity]],Types_of_Activity[Type of Activity],Types_of_Activity[Classification])=2,Term4_Special_Day_2[[#This Row],[Elapsed]],0))</calculatedColumnFormula>
    </tableColumn>
  </tableColumns>
  <tableStyleInfo name="TableStyleMedium9"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65320605-9886-4639-B085-0E902EE8814D}" name="Term4_Early_Dismissal_3" displayName="Term4_Early_Dismissal_3" ref="P56:U89" totalsRowShown="0" headerRowDxfId="192" dataDxfId="191">
  <autoFilter ref="P56:U89" xr:uid="{65320605-9886-4639-B085-0E902EE8814D}">
    <filterColumn colId="0" hiddenButton="1"/>
    <filterColumn colId="1" hiddenButton="1"/>
    <filterColumn colId="2" hiddenButton="1"/>
    <filterColumn colId="3" hiddenButton="1"/>
    <filterColumn colId="4" hiddenButton="1"/>
    <filterColumn colId="5" hiddenButton="1"/>
  </autoFilter>
  <tableColumns count="6">
    <tableColumn id="1" xr3:uid="{8EF427BB-08D1-4A6E-A6D1-67DD32064FBE}" name="Start" dataDxfId="190"/>
    <tableColumn id="2" xr3:uid="{83837AE2-D42B-4811-B469-CE489B4C5E8F}" name="End" dataDxfId="189"/>
    <tableColumn id="4" xr3:uid="{A7D9AABD-4E20-4367-AC83-F138648C352D}" name="Activity" dataDxfId="188"/>
    <tableColumn id="3" xr3:uid="{62E8FEA5-74D7-478F-B875-A9D79C28F2A3}" name="Elapsed" dataDxfId="187">
      <calculatedColumnFormula>IF(OR(ISBLANK(Term4_Early_Dismissal_3[[#This Row],[Start]]),ISBLANK(Term4_Early_Dismissal_3[[#This Row],[End]])),"",(Term4_Early_Dismissal_3[[#This Row],[End]]-Term4_Early_Dismissal_3[[#This Row],[Start]])*1440)</calculatedColumnFormula>
    </tableColumn>
    <tableColumn id="5" xr3:uid="{0581C3E2-F2DF-413E-B56E-65DA20AE8AFE}" name="Instructional Time" dataDxfId="186">
      <calculatedColumnFormula>IF(ISBLANK(Term4_Early_Dismissal_3[[#This Row],[Activity]]),"",IF(_xlfn.XLOOKUP(Term4_Early_Dismissal_3[[#This Row],[Activity]],Types_of_Activity[Type of Activity],Types_of_Activity[Classification])=1,Term4_Early_Dismissal_3[[#This Row],[Elapsed]],0))</calculatedColumnFormula>
    </tableColumn>
    <tableColumn id="6" xr3:uid="{93FF3DC7-E768-4086-91CC-7C9923B37928}" name="Assigned Time (Non-Instructional)" dataDxfId="185">
      <calculatedColumnFormula>IF(ISBLANK(Term4_Early_Dismissal_3[[#This Row],[Activity]]),"",IF(_xlfn.XLOOKUP(Term4_Early_Dismissal_3[[#This Row],[Activity]],Types_of_Activity[Type of Activity],Types_of_Activity[Classification])=2,Term4_Early_Dismissal_3[[#This Row],[Elapsed]],0))</calculatedColumnFormula>
    </tableColumn>
  </tableColumns>
  <tableStyleInfo name="TableStyleMedium9"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968475B5-CAB9-4390-B0E2-67A4D43EC9CC}" name="Term4_Special_Day_3" displayName="Term4_Special_Day_3" ref="P98:U131" totalsRowShown="0" headerRowDxfId="184" dataDxfId="183">
  <autoFilter ref="P98:U131" xr:uid="{968475B5-CAB9-4390-B0E2-67A4D43EC9CC}">
    <filterColumn colId="0" hiddenButton="1"/>
    <filterColumn colId="1" hiddenButton="1"/>
    <filterColumn colId="2" hiddenButton="1"/>
    <filterColumn colId="3" hiddenButton="1"/>
    <filterColumn colId="4" hiddenButton="1"/>
    <filterColumn colId="5" hiddenButton="1"/>
  </autoFilter>
  <tableColumns count="6">
    <tableColumn id="1" xr3:uid="{AC3E3737-C5D8-4A64-8A25-6D6E625D4614}" name="Start" dataDxfId="182"/>
    <tableColumn id="2" xr3:uid="{A4347588-A2ED-4B1C-B0B2-6DE0E54CF85A}" name="End" dataDxfId="181"/>
    <tableColumn id="4" xr3:uid="{862ED852-220E-456D-8DA5-3198A1F58BD6}" name="Activity" dataDxfId="180"/>
    <tableColumn id="3" xr3:uid="{FC10F368-C1C7-4BE5-B96B-2F374F5B470E}" name="Elapsed" dataDxfId="179">
      <calculatedColumnFormula>IF(OR(ISBLANK(Term4_Special_Day_3[[#This Row],[Start]]),ISBLANK(Term4_Special_Day_3[[#This Row],[End]])),"",(Term4_Special_Day_3[[#This Row],[End]]-Term4_Special_Day_3[[#This Row],[Start]])*1440)</calculatedColumnFormula>
    </tableColumn>
    <tableColumn id="5" xr3:uid="{A29D4CAB-27A4-4D97-AB05-D0F4C02DFB0E}" name="Instructional Time" dataDxfId="178">
      <calculatedColumnFormula>IF(ISBLANK(Term4_Special_Day_3[[#This Row],[Activity]]),"",IF(_xlfn.XLOOKUP(Term4_Special_Day_3[[#This Row],[Activity]],Types_of_Activity[Type of Activity],Types_of_Activity[Classification])=1,Term4_Special_Day_3[[#This Row],[Elapsed]],0))</calculatedColumnFormula>
    </tableColumn>
    <tableColumn id="6" xr3:uid="{28F97909-7DBF-4366-9467-6C09C073858F}" name="Assigned Time (Non-Instructional)" dataDxfId="177">
      <calculatedColumnFormula>IF(ISBLANK(Term4_Special_Day_3[[#This Row],[Activity]]),"",IF(_xlfn.XLOOKUP(Term4_Special_Day_3[[#This Row],[Activity]],Types_of_Activity[Type of Activity],Types_of_Activity[Classification])=2,Term4_Special_Day_3[[#This Row],[Elapsed]],0))</calculatedColumnFormula>
    </tableColumn>
  </tableColumns>
  <tableStyleInfo name="TableStyleMedium9"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38E96358-2D03-4935-A604-C7ADB34384B0}" name="Term4_Day_7" displayName="Term4_Day_7" ref="AR17:AW50" totalsRowShown="0" headerRowDxfId="176" dataDxfId="175">
  <autoFilter ref="AR17:AW50" xr:uid="{38E96358-2D03-4935-A604-C7ADB34384B0}">
    <filterColumn colId="0" hiddenButton="1"/>
    <filterColumn colId="1" hiddenButton="1"/>
    <filterColumn colId="2" hiddenButton="1"/>
    <filterColumn colId="3" hiddenButton="1"/>
    <filterColumn colId="4" hiddenButton="1"/>
    <filterColumn colId="5" hiddenButton="1"/>
  </autoFilter>
  <tableColumns count="6">
    <tableColumn id="1" xr3:uid="{0FE516A7-D712-401F-99DF-49A3CCD30F20}" name="Start" dataDxfId="174"/>
    <tableColumn id="2" xr3:uid="{806134C9-6C5C-4286-BB80-3EEFA71F10A4}" name="End" dataDxfId="173"/>
    <tableColumn id="4" xr3:uid="{136D6671-1DE6-47A6-8AE7-87FF0824DCF2}" name="Activity" dataDxfId="172"/>
    <tableColumn id="3" xr3:uid="{1AF1C586-8C94-4077-BD41-2680B98D6600}" name="Elapsed" dataDxfId="171">
      <calculatedColumnFormula>IF(OR(ISBLANK(Term4_Day_7[[#This Row],[Start]]),ISBLANK(Term4_Day_7[[#This Row],[End]])),"",(Term4_Day_7[[#This Row],[End]]-Term4_Day_7[[#This Row],[Start]])*1440)</calculatedColumnFormula>
    </tableColumn>
    <tableColumn id="5" xr3:uid="{F457EBE5-1E82-467B-908C-6AFF95348A88}" name="Instructional Time" dataDxfId="170">
      <calculatedColumnFormula>IF(ISBLANK(Term4_Day_7[[#This Row],[Activity]]),"",IF(_xlfn.XLOOKUP(Term4_Day_7[[#This Row],[Activity]],Types_of_Activity[Type of Activity],Types_of_Activity[Classification])=1,Term4_Day_7[[#This Row],[Elapsed]],0))</calculatedColumnFormula>
    </tableColumn>
    <tableColumn id="6" xr3:uid="{04E3D597-1B59-4862-92DC-B591AC90DEF5}" name="Assigned Time (Non-Instructional)" dataDxfId="169">
      <calculatedColumnFormula>IF(ISBLANK(Term4_Day_7[[#This Row],[Activity]]),"",IF(_xlfn.XLOOKUP(Term4_Day_7[[#This Row],[Activity]],Types_of_Activity[Type of Activity],Types_of_Activity[Classification])=2,Term4_Day_7[[#This Row],[Elapsed]],0))</calculatedColumnFormula>
    </tableColumn>
  </tableColumns>
  <tableStyleInfo name="TableStyleMedium9"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57071C11-B785-4833-847B-20FBACC99509}" name="Term4_Day_8" displayName="Term4_Day_8" ref="AY17:BD50" totalsRowShown="0" headerRowDxfId="168" dataDxfId="167">
  <autoFilter ref="AY17:BD50" xr:uid="{57071C11-B785-4833-847B-20FBACC99509}">
    <filterColumn colId="0" hiddenButton="1"/>
    <filterColumn colId="1" hiddenButton="1"/>
    <filterColumn colId="2" hiddenButton="1"/>
    <filterColumn colId="3" hiddenButton="1"/>
    <filterColumn colId="4" hiddenButton="1"/>
    <filterColumn colId="5" hiddenButton="1"/>
  </autoFilter>
  <tableColumns count="6">
    <tableColumn id="1" xr3:uid="{F9DE75E9-A8FB-42A6-B19F-F23EF49338C6}" name="Start" dataDxfId="166"/>
    <tableColumn id="2" xr3:uid="{B6FF3AEB-658C-44A4-9379-F19D52C5F248}" name="End" dataDxfId="165"/>
    <tableColumn id="4" xr3:uid="{1D392B8D-12C4-40C2-AE4C-8AAD70BDA1E1}" name="Activity" dataDxfId="164"/>
    <tableColumn id="3" xr3:uid="{36D25592-E820-4E9B-A53B-C08A358D9E98}" name="Elapsed" dataDxfId="163">
      <calculatedColumnFormula>IF(OR(ISBLANK(Term4_Day_8[[#This Row],[Start]]),ISBLANK(Term4_Day_8[[#This Row],[End]])),"",(Term4_Day_8[[#This Row],[End]]-Term4_Day_8[[#This Row],[Start]])*1440)</calculatedColumnFormula>
    </tableColumn>
    <tableColumn id="5" xr3:uid="{083B479E-4741-488E-B773-C5FA31A0F34D}" name="Instructional Time" dataDxfId="162">
      <calculatedColumnFormula>IF(ISBLANK(Term4_Day_8[[#This Row],[Activity]]),"",IF(_xlfn.XLOOKUP(Term4_Day_8[[#This Row],[Activity]],Types_of_Activity[Type of Activity],Types_of_Activity[Classification])=1,Term4_Day_8[[#This Row],[Elapsed]],0))</calculatedColumnFormula>
    </tableColumn>
    <tableColumn id="6" xr3:uid="{5CB3043B-85C9-4C1C-8E24-9F7C6B88FDED}" name="Assigned Time (Non-Instructional)" dataDxfId="161">
      <calculatedColumnFormula>IF(ISBLANK(Term4_Day_8[[#This Row],[Activity]]),"",IF(_xlfn.XLOOKUP(Term4_Day_8[[#This Row],[Activity]],Types_of_Activity[Type of Activity],Types_of_Activity[Classification])=2,Term4_Day_8[[#This Row],[Elapsed]],0))</calculatedColumnFormula>
    </tableColumn>
  </tableColumns>
  <tableStyleInfo name="TableStyleMedium9"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E5503751-F68D-4479-979B-0461DC8D4995}" name="Term4_Day_9" displayName="Term4_Day_9" ref="BF17:BK50" totalsRowShown="0" headerRowDxfId="160" dataDxfId="159">
  <autoFilter ref="BF17:BK50" xr:uid="{E5503751-F68D-4479-979B-0461DC8D4995}">
    <filterColumn colId="0" hiddenButton="1"/>
    <filterColumn colId="1" hiddenButton="1"/>
    <filterColumn colId="2" hiddenButton="1"/>
    <filterColumn colId="3" hiddenButton="1"/>
    <filterColumn colId="4" hiddenButton="1"/>
    <filterColumn colId="5" hiddenButton="1"/>
  </autoFilter>
  <tableColumns count="6">
    <tableColumn id="1" xr3:uid="{6502036D-9B28-4D3B-BBBF-803DAA22AF3B}" name="Start" dataDxfId="158"/>
    <tableColumn id="2" xr3:uid="{65FDA9AB-B8E8-495A-95C7-F4FFFC5B2F0B}" name="End" dataDxfId="157"/>
    <tableColumn id="4" xr3:uid="{91417F09-279A-4095-982F-5B240806C616}" name="Activity" dataDxfId="156"/>
    <tableColumn id="3" xr3:uid="{33A07C4B-2E7A-423A-A54C-11FFFE72DD0B}" name="Elapsed" dataDxfId="155">
      <calculatedColumnFormula>IF(OR(ISBLANK(Term4_Day_9[[#This Row],[Start]]),ISBLANK(Term4_Day_9[[#This Row],[End]])),"",(Term4_Day_9[[#This Row],[End]]-Term4_Day_9[[#This Row],[Start]])*1440)</calculatedColumnFormula>
    </tableColumn>
    <tableColumn id="5" xr3:uid="{E70A7C1E-DB68-439D-A52B-A1D0CFD96D9B}" name="Instructional Time" dataDxfId="154">
      <calculatedColumnFormula>IF(ISBLANK(Term4_Day_9[[#This Row],[Activity]]),"",IF(_xlfn.XLOOKUP(Term4_Day_9[[#This Row],[Activity]],Types_of_Activity[Type of Activity],Types_of_Activity[Classification])=1,Term4_Day_9[[#This Row],[Elapsed]],0))</calculatedColumnFormula>
    </tableColumn>
    <tableColumn id="6" xr3:uid="{D199F7A6-9117-43E8-B316-A53C2BF1E802}" name="Assigned Time (Non-Instructional)" dataDxfId="153">
      <calculatedColumnFormula>IF(ISBLANK(Term4_Day_9[[#This Row],[Activity]]),"",IF(_xlfn.XLOOKUP(Term4_Day_9[[#This Row],[Activity]],Types_of_Activity[Type of Activity],Types_of_Activity[Classification])=2,Term4_Day_9[[#This Row],[Elapsed]],0))</calculatedColumnFormula>
    </tableColumn>
  </tableColumns>
  <tableStyleInfo name="TableStyleMedium9"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2EF97137-2F15-4090-B0E8-2F99928C3EF5}" name="Term4_Early_Dismissal_4" displayName="Term4_Early_Dismissal_4" ref="W56:AB89" totalsRowShown="0" headerRowDxfId="152" dataDxfId="151">
  <autoFilter ref="W56:AB89" xr:uid="{2EF97137-2F15-4090-B0E8-2F99928C3EF5}">
    <filterColumn colId="0" hiddenButton="1"/>
    <filterColumn colId="1" hiddenButton="1"/>
    <filterColumn colId="2" hiddenButton="1"/>
    <filterColumn colId="3" hiddenButton="1"/>
    <filterColumn colId="4" hiddenButton="1"/>
    <filterColumn colId="5" hiddenButton="1"/>
  </autoFilter>
  <tableColumns count="6">
    <tableColumn id="1" xr3:uid="{9C45F46B-16D8-4D1F-A793-39ADA9C29567}" name="Start" dataDxfId="150"/>
    <tableColumn id="2" xr3:uid="{D1252331-A605-4146-8B2F-4D2A04A0B357}" name="End" dataDxfId="149"/>
    <tableColumn id="4" xr3:uid="{A866E705-23CB-4E62-AFF9-655B5195B50D}" name="Activity" dataDxfId="148"/>
    <tableColumn id="3" xr3:uid="{0E0A0F81-3C82-44D7-87AF-B7DB0C472907}" name="Elapsed" dataDxfId="147">
      <calculatedColumnFormula>IF(OR(ISBLANK(Term4_Early_Dismissal_4[[#This Row],[Start]]),ISBLANK(Term4_Early_Dismissal_4[[#This Row],[End]])),"",(Term4_Early_Dismissal_4[[#This Row],[End]]-Term4_Early_Dismissal_4[[#This Row],[Start]])*1440)</calculatedColumnFormula>
    </tableColumn>
    <tableColumn id="5" xr3:uid="{425046B5-8C87-443B-A087-D50CB2DB7EC0}" name="Instructional Time" dataDxfId="146">
      <calculatedColumnFormula>IF(ISBLANK(Term4_Early_Dismissal_4[[#This Row],[Activity]]),"",IF(_xlfn.XLOOKUP(Term4_Early_Dismissal_4[[#This Row],[Activity]],Types_of_Activity[Type of Activity],Types_of_Activity[Classification])=1,Term4_Early_Dismissal_4[[#This Row],[Elapsed]],0))</calculatedColumnFormula>
    </tableColumn>
    <tableColumn id="6" xr3:uid="{3116B0B6-E4B6-430A-AD8A-59CB44BEFC70}" name="Assigned Time (Non-Instructional)" dataDxfId="145">
      <calculatedColumnFormula>IF(ISBLANK(Term4_Early_Dismissal_4[[#This Row],[Activity]]),"",IF(_xlfn.XLOOKUP(Term4_Early_Dismissal_4[[#This Row],[Activity]],Types_of_Activity[Type of Activity],Types_of_Activity[Classification])=2,Term4_Early_Dismissal_4[[#This Row],[Elapsed]],0))</calculatedColumnFormula>
    </tableColumn>
  </tableColumns>
  <tableStyleInfo name="TableStyleMedium9"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61E87C87-8EB7-4C88-B971-7EC4D311B362}" name="Term4_Early_Dismissal_5" displayName="Term4_Early_Dismissal_5" ref="AD56:AI89" totalsRowShown="0" headerRowDxfId="144" dataDxfId="143">
  <autoFilter ref="AD56:AI89" xr:uid="{61E87C87-8EB7-4C88-B971-7EC4D311B362}">
    <filterColumn colId="0" hiddenButton="1"/>
    <filterColumn colId="1" hiddenButton="1"/>
    <filterColumn colId="2" hiddenButton="1"/>
    <filterColumn colId="3" hiddenButton="1"/>
    <filterColumn colId="4" hiddenButton="1"/>
    <filterColumn colId="5" hiddenButton="1"/>
  </autoFilter>
  <tableColumns count="6">
    <tableColumn id="1" xr3:uid="{CDD63003-A3FF-40AC-B938-1D66B95BD7C5}" name="Start" dataDxfId="142"/>
    <tableColumn id="2" xr3:uid="{E333FBDF-0A2E-415E-9BF0-88B0A7B31DD4}" name="End" dataDxfId="141"/>
    <tableColumn id="4" xr3:uid="{04305FE7-314C-4274-912E-852D1124B388}" name="Activity" dataDxfId="140"/>
    <tableColumn id="3" xr3:uid="{6973BB0A-5468-4606-B036-8E6005F91253}" name="Elapsed" dataDxfId="139">
      <calculatedColumnFormula>IF(OR(ISBLANK(Term4_Early_Dismissal_5[[#This Row],[Start]]),ISBLANK(Term4_Early_Dismissal_5[[#This Row],[End]])),"",(Term4_Early_Dismissal_5[[#This Row],[End]]-Term4_Early_Dismissal_5[[#This Row],[Start]])*1440)</calculatedColumnFormula>
    </tableColumn>
    <tableColumn id="5" xr3:uid="{BDFBD451-0A4E-4CB2-B4E5-22EED1C9BE0C}" name="Instructional Time" dataDxfId="138">
      <calculatedColumnFormula>IF(ISBLANK(Term4_Early_Dismissal_5[[#This Row],[Activity]]),"",IF(_xlfn.XLOOKUP(Term4_Early_Dismissal_5[[#This Row],[Activity]],Types_of_Activity[Type of Activity],Types_of_Activity[Classification])=1,Term4_Early_Dismissal_5[[#This Row],[Elapsed]],0))</calculatedColumnFormula>
    </tableColumn>
    <tableColumn id="6" xr3:uid="{2D0ECD31-7F71-4323-936C-3F2E7055734A}" name="Assigned Time (Non-Instructional)" dataDxfId="137">
      <calculatedColumnFormula>IF(ISBLANK(Term4_Early_Dismissal_5[[#This Row],[Activity]]),"",IF(_xlfn.XLOOKUP(Term4_Early_Dismissal_5[[#This Row],[Activity]],Types_of_Activity[Type of Activity],Types_of_Activity[Classification])=2,Term4_Early_Dismissal_5[[#This Row],[Elapsed]],0))</calculatedColumnFormula>
    </tableColumn>
  </tableColumns>
  <tableStyleInfo name="TableStyleMedium9"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F77FC1D8-9169-4EBD-A485-D5BAC0ECA798}" name="Term4_Early_Dismissal_6" displayName="Term4_Early_Dismissal_6" ref="AK56:AP89" totalsRowShown="0" headerRowDxfId="136" dataDxfId="135">
  <autoFilter ref="AK56:AP89" xr:uid="{F77FC1D8-9169-4EBD-A485-D5BAC0ECA798}">
    <filterColumn colId="0" hiddenButton="1"/>
    <filterColumn colId="1" hiddenButton="1"/>
    <filterColumn colId="2" hiddenButton="1"/>
    <filterColumn colId="3" hiddenButton="1"/>
    <filterColumn colId="4" hiddenButton="1"/>
    <filterColumn colId="5" hiddenButton="1"/>
  </autoFilter>
  <tableColumns count="6">
    <tableColumn id="1" xr3:uid="{AA324F99-78AE-449F-AA98-10A9F33FEEB4}" name="Start" dataDxfId="134"/>
    <tableColumn id="2" xr3:uid="{7F625FF5-F60E-49C8-B8F6-616B03CAE525}" name="End" dataDxfId="133"/>
    <tableColumn id="4" xr3:uid="{8D668EE9-30DC-4B0B-AB28-F89E15F14EA6}" name="Activity" dataDxfId="132"/>
    <tableColumn id="3" xr3:uid="{995B0937-CDEC-48A2-89C1-597427A67B8E}" name="Elapsed" dataDxfId="131">
      <calculatedColumnFormula>IF(OR(ISBLANK(Term4_Early_Dismissal_6[[#This Row],[Start]]),ISBLANK(Term4_Early_Dismissal_6[[#This Row],[End]])),"",(Term4_Early_Dismissal_6[[#This Row],[End]]-Term4_Early_Dismissal_6[[#This Row],[Start]])*1440)</calculatedColumnFormula>
    </tableColumn>
    <tableColumn id="5" xr3:uid="{D6C52993-919E-476D-B09B-AEF744754895}" name="Instructional Time" dataDxfId="130">
      <calculatedColumnFormula>IF(ISBLANK(Term4_Early_Dismissal_6[[#This Row],[Activity]]),"",IF(_xlfn.XLOOKUP(Term4_Early_Dismissal_6[[#This Row],[Activity]],Types_of_Activity[Type of Activity],Types_of_Activity[Classification])=1,Term4_Early_Dismissal_6[[#This Row],[Elapsed]],0))</calculatedColumnFormula>
    </tableColumn>
    <tableColumn id="6" xr3:uid="{A8553692-9010-4910-83F1-1A4DF9A4B8D5}" name="Assigned Time (Non-Instructional)" dataDxfId="129">
      <calculatedColumnFormula>IF(ISBLANK(Term4_Early_Dismissal_6[[#This Row],[Activity]]),"",IF(_xlfn.XLOOKUP(Term4_Early_Dismissal_6[[#This Row],[Activity]],Types_of_Activity[Type of Activity],Types_of_Activity[Classification])=2,Term4_Early_Dismissal_6[[#This Row],[Elapsed]],0))</calculatedColumnFormula>
    </tableColumn>
  </tableColumns>
  <tableStyleInfo name="TableStyleMedium9"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BC0754CA-40D7-4D15-97D3-FE7FB45A40A5}" name="Schools" displayName="Schools" ref="A1:D2040" totalsRowShown="0">
  <autoFilter ref="A1:D2040" xr:uid="{BC0754CA-40D7-4D15-97D3-FE7FB45A40A5}"/>
  <sortState xmlns:xlrd2="http://schemas.microsoft.com/office/spreadsheetml/2017/richdata2" ref="A2:D2040">
    <sortCondition ref="B1:B2040"/>
  </sortState>
  <tableColumns count="4">
    <tableColumn id="1" xr3:uid="{499BD031-10EF-4240-87C7-6BC247696A8E}" name="AuthCode"/>
    <tableColumn id="2" xr3:uid="{9B31E609-DBB9-4B94-9E26-E64E9235D955}" name="AuthName"/>
    <tableColumn id="3" xr3:uid="{9654D24F-2691-41F9-870B-0A3A521F30A3}" name="SchCode"/>
    <tableColumn id="4" xr3:uid="{029459C2-2B23-4673-AB3D-3D48279F0180}" name="SchName"/>
  </tableColumns>
  <tableStyleInfo name="TableStyleMedium2"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484869DC-DCA8-420F-A271-7A1037E0ADE1}" name="Daily_Totals" displayName="Daily_Totals" ref="AC3:AG91" totalsRowShown="0">
  <autoFilter ref="AC3:AG91" xr:uid="{484869DC-DCA8-420F-A271-7A1037E0ADE1}"/>
  <tableColumns count="5">
    <tableColumn id="1" xr3:uid="{54F7C4A3-C047-4014-84CB-B1D927733D11}" name="Day"/>
    <tableColumn id="5" xr3:uid="{6717E8FE-8861-43FF-A4B0-14889EF84CA0}" name="Term"/>
    <tableColumn id="2" xr3:uid="{0DA5584F-9AFE-4D2C-A501-AA01E40D988B}" name="Instruction" dataDxfId="128"/>
    <tableColumn id="3" xr3:uid="{83E88585-1250-437D-9A28-FBB2B1C52E93}" name="Non-Instruction" dataDxfId="127"/>
    <tableColumn id="4" xr3:uid="{663B6C49-D6B9-426E-9D5F-4BA0E2C642B1}" name="Total" dataDxfId="126">
      <calculatedColumnFormula>+AE4+AF4</calculatedColumnFormula>
    </tableColumn>
  </tableColumns>
  <tableStyleInfo name="TableStyleMedium9"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E156CBD-F757-4C93-8820-B8309E0BCE48}" name="TimeTable_Codes" displayName="TimeTable_Codes" ref="AC101:AD113" totalsRowShown="0">
  <autoFilter ref="AC101:AD113" xr:uid="{0E156CBD-F757-4C93-8820-B8309E0BCE48}"/>
  <tableColumns count="2">
    <tableColumn id="1" xr3:uid="{77D1D35B-4DF3-4FE8-A781-532858BF28B1}" name="Description"/>
    <tableColumn id="2" xr3:uid="{0DA73526-39E2-4514-88F2-66236FBB41AC}" name="TimetableCode"/>
  </tableColumns>
  <tableStyleInfo name="TableStyleMedium9"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4710729A-66BD-4445-B532-E87BF8100B67}" name="Table35" displayName="Table35" ref="Y2:Z5" totalsRowShown="0">
  <autoFilter ref="Y2:Z5" xr:uid="{4710729A-66BD-4445-B532-E87BF8100B67}"/>
  <tableColumns count="2">
    <tableColumn id="1" xr3:uid="{81D197DE-2965-493C-80B0-D8AAC47D8B26}" name="Type"/>
    <tableColumn id="2" xr3:uid="{4D1527C7-5378-4CAB-9031-5658C03F54D2}" name="Count"/>
  </tableColumns>
  <tableStyleInfo name="TableStyleMedium9"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EC489396-D7FC-424E-A288-F0AAC6F2310C}" name="Monthly_Totals" displayName="Monthly_Totals" ref="AC121:AF133" totalsRowShown="0">
  <autoFilter ref="AC121:AF133" xr:uid="{EC489396-D7FC-424E-A288-F0AAC6F2310C}"/>
  <tableColumns count="4">
    <tableColumn id="4" xr3:uid="{A2ADD502-5867-4E2C-BAD7-8ABC71742559}" name="Month"/>
    <tableColumn id="1" xr3:uid="{8B80310B-8793-4624-A55D-5C221976BA0F}" name="Month Number"/>
    <tableColumn id="2" xr3:uid="{41CA3212-68C9-48B9-8103-044468E2CC9F}" name="Instruction">
      <calculatedColumnFormula>SUMIFS($T$21:$T$226,$J$21:$J$226,"="&amp;AD122)</calculatedColumnFormula>
    </tableColumn>
    <tableColumn id="3" xr3:uid="{8BAE851E-D01D-4D19-9BBE-EC3334FFC0DF}" name="NonInstruction">
      <calculatedColumnFormula>SUMIFS($U$21:$U$226,$J$21:$J$226,"="&amp;AD122)</calculatedColumnFormula>
    </tableColumn>
  </tableColumns>
  <tableStyleInfo name="TableStyleMedium9"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333434F5-5104-49FB-A4FC-7403577A8D13}" name="Exception_Totals" displayName="Exception_Totals" ref="AC137:AF149" totalsRowShown="0">
  <autoFilter ref="AC137:AF149" xr:uid="{333434F5-5104-49FB-A4FC-7403577A8D13}"/>
  <tableColumns count="4">
    <tableColumn id="1" xr3:uid="{B228B35E-27FC-4F6A-8912-6EC9A90D8BC0}" name="Month"/>
    <tableColumn id="2" xr3:uid="{59E351F9-EB6D-4340-844A-704A4BA6A45B}" name="Instructional">
      <calculatedColumnFormula>SUMIFS(Exceptions[Instructional],Exceptions[Month],"="&amp;AC138)</calculatedColumnFormula>
    </tableColumn>
    <tableColumn id="3" xr3:uid="{C18833BE-B06C-4A91-AE05-82737AEF9934}" name="Non-Instructional" dataDxfId="125">
      <calculatedColumnFormula>(SUMIFS(Exceptions[Assigned Time (Non-Instructional)],Exceptions[Month],"="&amp;AC138))</calculatedColumnFormula>
    </tableColumn>
    <tableColumn id="4" xr3:uid="{7F2901F3-DDA7-45A0-92B9-F6D8E79ED0B7}" name="Total" dataDxfId="124">
      <calculatedColumnFormula>+Exception_Totals[[#This Row],[Non-Instructional]]+Exception_Totals[[#This Row],[Instructional]]</calculatedColumnFormula>
    </tableColumn>
  </tableColumns>
  <tableStyleInfo name="TableStyleMedium9"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47825F-617B-483A-A7ED-CDAA19BF85EC}" name="term_lookups" displayName="term_lookups" ref="Y9:Z13" totalsRowShown="0">
  <autoFilter ref="Y9:Z13" xr:uid="{0047825F-617B-483A-A7ED-CDAA19BF85EC}"/>
  <tableColumns count="2">
    <tableColumn id="1" xr3:uid="{8B805FD4-4E0F-4B3A-BFB6-0C6C5B030A1F}" name="Date" dataDxfId="123"/>
    <tableColumn id="2" xr3:uid="{FCDEB380-0938-45D4-8FEE-86C50C047966}" name="Term"/>
  </tableColumns>
  <tableStyleInfo name="TableStyleMedium9"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49749FAD-5CE6-4B9A-9037-1DE9E8E2F93D}" name="Rotation_Reset_Dates" displayName="Rotation_Reset_Dates" ref="Y18:AA22" totalsRowShown="0">
  <autoFilter ref="Y18:AA22" xr:uid="{49749FAD-5CE6-4B9A-9037-1DE9E8E2F93D}"/>
  <tableColumns count="3">
    <tableColumn id="1" xr3:uid="{275F9334-35F6-41C4-B393-368E526482E4}" name="Date" dataDxfId="122"/>
    <tableColumn id="2" xr3:uid="{3665144F-DA92-4F60-A338-45E309A1669A}" name="Term"/>
    <tableColumn id="3" xr3:uid="{84C494E1-8056-4D62-A986-F17413635631}" name="Day"/>
  </tableColumns>
  <tableStyleInfo name="TableStyleMedium9"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95BB73C9-7570-4FAD-85DE-76FBCE9D869B}" name="Types_of_Day" displayName="Types_of_Day" ref="B3:D16" totalsRowShown="0" headerRowDxfId="121">
  <autoFilter ref="B3:D16" xr:uid="{95BB73C9-7570-4FAD-85DE-76FBCE9D869B}"/>
  <tableColumns count="3">
    <tableColumn id="1" xr3:uid="{40661701-74CA-48FB-949E-A9A5A50523FF}" name="Type of Day"/>
    <tableColumn id="2" xr3:uid="{4D574349-4271-48C0-A1FB-70291F84C1EE}" name="Use"/>
    <tableColumn id="3" xr3:uid="{B0D3A380-7B43-4E7A-87D6-E2AF76FA5F09}" name="Operational"/>
  </tableColumns>
  <tableStyleInfo name="TableStyleMedium9"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C3D816AE-26FB-4F74-B7C3-2C604D182830}" name="Types_of_Activity" displayName="Types_of_Activity" ref="F3:G11" totalsRowShown="0" headerRowDxfId="120">
  <autoFilter ref="F3:G11" xr:uid="{C3D816AE-26FB-4F74-B7C3-2C604D182830}"/>
  <tableColumns count="2">
    <tableColumn id="1" xr3:uid="{5A2432E4-B37A-4296-9F8F-F736B4E1BE2C}" name="Type of Activity"/>
    <tableColumn id="2" xr3:uid="{F8D32663-2DB0-489E-994F-E9202F3AC19C}" name="Classification"/>
  </tableColumns>
  <tableStyleInfo name="TableStyleMedium9"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53AB676D-A07D-4E4B-A665-C9211536EFA7}" name="Rotation_Types" displayName="Rotation_Types" ref="I3:J10" totalsRowShown="0">
  <autoFilter ref="I3:J10" xr:uid="{53AB676D-A07D-4E4B-A665-C9211536EFA7}"/>
  <tableColumns count="2">
    <tableColumn id="1" xr3:uid="{5107DC38-1E58-409E-99E7-D84FCF5D92CF}" name="Rotation Types"/>
    <tableColumn id="2" xr3:uid="{514E71CD-E927-49DE-88AB-C2A048BB0AAA}" name="Code"/>
  </tableColumns>
  <tableStyleInfo name="TableStyleMedium9"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AC8A4B0F-E34E-448B-BBCF-5A858A0FE6BD}" name="Exception_Assignor" displayName="Exception_Assignor" ref="L3:L7" totalsRowShown="0">
  <autoFilter ref="L3:L7" xr:uid="{AC8A4B0F-E34E-448B-BBCF-5A858A0FE6BD}"/>
  <tableColumns count="1">
    <tableColumn id="1" xr3:uid="{F21D933E-5CE3-4ADC-A0F6-DB741F11CC5D}" name="Exception Assignor"/>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ustom 1">
      <a:majorFont>
        <a:latin typeface="Franklin Gothic Medium Cond"/>
        <a:ea typeface=""/>
        <a:cs typeface=""/>
      </a:majorFont>
      <a:minorFont>
        <a:latin typeface="Trebuchet M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C3" dT="2023-06-21T17:01:39.45" personId="{00000000-0000-0000-0000-000000000000}" id="{8AABABD2-4310-48AF-A7E8-00170848F3ED}">
    <text xml:space="preserve">Special Day Type	Day Code
Early Dismissal 1	90
Early Dismissal 2	91
Early Dismissal 3	92
Extra Day 1	95
Extra Day 2	96
Extra Day 3	97
</text>
  </threadedComment>
</ThreadedComments>
</file>

<file path=xl/threadedComments/threadedComment2.xml><?xml version="1.0" encoding="utf-8"?>
<ThreadedComments xmlns="http://schemas.microsoft.com/office/spreadsheetml/2018/threadedcomments" xmlns:x="http://schemas.openxmlformats.org/spreadsheetml/2006/main">
  <threadedComment ref="I1" dT="2023-06-22T21:36:19.04" personId="{00000000-0000-0000-0000-000000000000}" id="{DC5E533E-F0C0-46C0-AEC1-70848D48E021}">
    <text xml:space="preserve">This number is the result of a lookup of the timetable type from the first page. It is used on the calculation page to set schedule day
</text>
  </threadedComment>
  <threadedComment ref="B3" dT="2023-06-21T14:11:39.06" personId="{00000000-0000-0000-0000-000000000000}" id="{8DD3B7B1-678B-46E2-889F-C2A0F5B74359}">
    <text>The entries below are used on the calendar page to classify days. To add extra types, drag the bottom cell down and then put the new types above. This will automatically populate the drop-downs on the calendar page.</text>
  </threadedComment>
  <threadedComment ref="F3" dT="2023-06-21T14:12:43.81" personId="{00000000-0000-0000-0000-000000000000}" id="{B713BBEB-3769-4693-A8B3-0AA264BE7E1B}">
    <text>The entries below are used to populate the drop-downs for activity type on the timetable setup pages and the exceptions page. See note about Type of Day for instructions on adding entries.
To add extra types, drag the bottom cell down and then put the new types above.</text>
  </threadedComment>
  <threadedComment ref="I3" dT="2023-06-21T14:13:50.10" personId="{00000000-0000-0000-0000-000000000000}" id="{C07D6FBD-1EA0-42FB-B844-DCC95337D530}">
    <text xml:space="preserve">The entries in this block are used to populate the dropdown for timetable type on the initial setup page. To add extra types, drag the bottom cell down and then put the new types above.
</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teachers.ab.ca/sites/default/files/2023-05/JointInterpretationBulletinNo1-2017_25-Aug-17.pdf"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18" Type="http://schemas.openxmlformats.org/officeDocument/2006/relationships/table" Target="../tables/table18.xml"/><Relationship Id="rId3" Type="http://schemas.openxmlformats.org/officeDocument/2006/relationships/table" Target="../tables/table3.xml"/><Relationship Id="rId21" Type="http://schemas.openxmlformats.org/officeDocument/2006/relationships/table" Target="../tables/table21.xml"/><Relationship Id="rId7" Type="http://schemas.openxmlformats.org/officeDocument/2006/relationships/table" Target="../tables/table7.xml"/><Relationship Id="rId12" Type="http://schemas.openxmlformats.org/officeDocument/2006/relationships/table" Target="../tables/table12.xml"/><Relationship Id="rId17" Type="http://schemas.openxmlformats.org/officeDocument/2006/relationships/table" Target="../tables/table17.xml"/><Relationship Id="rId2" Type="http://schemas.openxmlformats.org/officeDocument/2006/relationships/drawing" Target="../drawings/drawing6.xml"/><Relationship Id="rId16" Type="http://schemas.openxmlformats.org/officeDocument/2006/relationships/table" Target="../tables/table16.xml"/><Relationship Id="rId20" Type="http://schemas.openxmlformats.org/officeDocument/2006/relationships/table" Target="../tables/table20.xml"/><Relationship Id="rId1" Type="http://schemas.openxmlformats.org/officeDocument/2006/relationships/printerSettings" Target="../printerSettings/printerSettings5.bin"/><Relationship Id="rId6" Type="http://schemas.openxmlformats.org/officeDocument/2006/relationships/table" Target="../tables/table6.xml"/><Relationship Id="rId11" Type="http://schemas.openxmlformats.org/officeDocument/2006/relationships/table" Target="../tables/table11.xml"/><Relationship Id="rId5" Type="http://schemas.openxmlformats.org/officeDocument/2006/relationships/table" Target="../tables/table5.xml"/><Relationship Id="rId15" Type="http://schemas.openxmlformats.org/officeDocument/2006/relationships/table" Target="../tables/table15.xml"/><Relationship Id="rId10" Type="http://schemas.openxmlformats.org/officeDocument/2006/relationships/table" Target="../tables/table10.xml"/><Relationship Id="rId19" Type="http://schemas.openxmlformats.org/officeDocument/2006/relationships/table" Target="../tables/table19.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s>
</file>

<file path=xl/worksheets/_rels/sheet7.xml.rels><?xml version="1.0" encoding="UTF-8" standalone="yes"?>
<Relationships xmlns="http://schemas.openxmlformats.org/package/2006/relationships"><Relationship Id="rId8" Type="http://schemas.openxmlformats.org/officeDocument/2006/relationships/table" Target="../tables/table27.xml"/><Relationship Id="rId13" Type="http://schemas.openxmlformats.org/officeDocument/2006/relationships/table" Target="../tables/table32.xml"/><Relationship Id="rId18" Type="http://schemas.openxmlformats.org/officeDocument/2006/relationships/table" Target="../tables/table37.xml"/><Relationship Id="rId3" Type="http://schemas.openxmlformats.org/officeDocument/2006/relationships/table" Target="../tables/table22.xml"/><Relationship Id="rId21" Type="http://schemas.openxmlformats.org/officeDocument/2006/relationships/table" Target="../tables/table40.xml"/><Relationship Id="rId7" Type="http://schemas.openxmlformats.org/officeDocument/2006/relationships/table" Target="../tables/table26.xml"/><Relationship Id="rId12" Type="http://schemas.openxmlformats.org/officeDocument/2006/relationships/table" Target="../tables/table31.xml"/><Relationship Id="rId17" Type="http://schemas.openxmlformats.org/officeDocument/2006/relationships/table" Target="../tables/table36.xml"/><Relationship Id="rId2" Type="http://schemas.openxmlformats.org/officeDocument/2006/relationships/drawing" Target="../drawings/drawing7.xml"/><Relationship Id="rId16" Type="http://schemas.openxmlformats.org/officeDocument/2006/relationships/table" Target="../tables/table35.xml"/><Relationship Id="rId20" Type="http://schemas.openxmlformats.org/officeDocument/2006/relationships/table" Target="../tables/table39.xml"/><Relationship Id="rId1" Type="http://schemas.openxmlformats.org/officeDocument/2006/relationships/printerSettings" Target="../printerSettings/printerSettings6.bin"/><Relationship Id="rId6" Type="http://schemas.openxmlformats.org/officeDocument/2006/relationships/table" Target="../tables/table25.xml"/><Relationship Id="rId11" Type="http://schemas.openxmlformats.org/officeDocument/2006/relationships/table" Target="../tables/table30.xml"/><Relationship Id="rId5" Type="http://schemas.openxmlformats.org/officeDocument/2006/relationships/table" Target="../tables/table24.xml"/><Relationship Id="rId15" Type="http://schemas.openxmlformats.org/officeDocument/2006/relationships/table" Target="../tables/table34.xml"/><Relationship Id="rId10" Type="http://schemas.openxmlformats.org/officeDocument/2006/relationships/table" Target="../tables/table29.xml"/><Relationship Id="rId19" Type="http://schemas.openxmlformats.org/officeDocument/2006/relationships/table" Target="../tables/table38.xml"/><Relationship Id="rId4" Type="http://schemas.openxmlformats.org/officeDocument/2006/relationships/table" Target="../tables/table23.xml"/><Relationship Id="rId9" Type="http://schemas.openxmlformats.org/officeDocument/2006/relationships/table" Target="../tables/table28.xml"/><Relationship Id="rId14" Type="http://schemas.openxmlformats.org/officeDocument/2006/relationships/table" Target="../tables/table33.xml"/></Relationships>
</file>

<file path=xl/worksheets/_rels/sheet8.xml.rels><?xml version="1.0" encoding="UTF-8" standalone="yes"?>
<Relationships xmlns="http://schemas.openxmlformats.org/package/2006/relationships"><Relationship Id="rId8" Type="http://schemas.openxmlformats.org/officeDocument/2006/relationships/table" Target="../tables/table46.xml"/><Relationship Id="rId13" Type="http://schemas.openxmlformats.org/officeDocument/2006/relationships/table" Target="../tables/table51.xml"/><Relationship Id="rId18" Type="http://schemas.openxmlformats.org/officeDocument/2006/relationships/table" Target="../tables/table56.xml"/><Relationship Id="rId3" Type="http://schemas.openxmlformats.org/officeDocument/2006/relationships/table" Target="../tables/table41.xml"/><Relationship Id="rId21" Type="http://schemas.openxmlformats.org/officeDocument/2006/relationships/table" Target="../tables/table59.xml"/><Relationship Id="rId7" Type="http://schemas.openxmlformats.org/officeDocument/2006/relationships/table" Target="../tables/table45.xml"/><Relationship Id="rId12" Type="http://schemas.openxmlformats.org/officeDocument/2006/relationships/table" Target="../tables/table50.xml"/><Relationship Id="rId17" Type="http://schemas.openxmlformats.org/officeDocument/2006/relationships/table" Target="../tables/table55.xml"/><Relationship Id="rId2" Type="http://schemas.openxmlformats.org/officeDocument/2006/relationships/drawing" Target="../drawings/drawing8.xml"/><Relationship Id="rId16" Type="http://schemas.openxmlformats.org/officeDocument/2006/relationships/table" Target="../tables/table54.xml"/><Relationship Id="rId20" Type="http://schemas.openxmlformats.org/officeDocument/2006/relationships/table" Target="../tables/table58.xml"/><Relationship Id="rId1" Type="http://schemas.openxmlformats.org/officeDocument/2006/relationships/printerSettings" Target="../printerSettings/printerSettings7.bin"/><Relationship Id="rId6" Type="http://schemas.openxmlformats.org/officeDocument/2006/relationships/table" Target="../tables/table44.xml"/><Relationship Id="rId11" Type="http://schemas.openxmlformats.org/officeDocument/2006/relationships/table" Target="../tables/table49.xml"/><Relationship Id="rId5" Type="http://schemas.openxmlformats.org/officeDocument/2006/relationships/table" Target="../tables/table43.xml"/><Relationship Id="rId15" Type="http://schemas.openxmlformats.org/officeDocument/2006/relationships/table" Target="../tables/table53.xml"/><Relationship Id="rId10" Type="http://schemas.openxmlformats.org/officeDocument/2006/relationships/table" Target="../tables/table48.xml"/><Relationship Id="rId19" Type="http://schemas.openxmlformats.org/officeDocument/2006/relationships/table" Target="../tables/table57.xml"/><Relationship Id="rId4" Type="http://schemas.openxmlformats.org/officeDocument/2006/relationships/table" Target="../tables/table42.xml"/><Relationship Id="rId9" Type="http://schemas.openxmlformats.org/officeDocument/2006/relationships/table" Target="../tables/table47.xml"/><Relationship Id="rId14" Type="http://schemas.openxmlformats.org/officeDocument/2006/relationships/table" Target="../tables/table52.xml"/></Relationships>
</file>

<file path=xl/worksheets/_rels/sheet9.xml.rels><?xml version="1.0" encoding="UTF-8" standalone="yes"?>
<Relationships xmlns="http://schemas.openxmlformats.org/package/2006/relationships"><Relationship Id="rId8" Type="http://schemas.openxmlformats.org/officeDocument/2006/relationships/table" Target="../tables/table65.xml"/><Relationship Id="rId13" Type="http://schemas.openxmlformats.org/officeDocument/2006/relationships/table" Target="../tables/table70.xml"/><Relationship Id="rId18" Type="http://schemas.openxmlformats.org/officeDocument/2006/relationships/table" Target="../tables/table75.xml"/><Relationship Id="rId3" Type="http://schemas.openxmlformats.org/officeDocument/2006/relationships/table" Target="../tables/table60.xml"/><Relationship Id="rId21" Type="http://schemas.openxmlformats.org/officeDocument/2006/relationships/table" Target="../tables/table78.xml"/><Relationship Id="rId7" Type="http://schemas.openxmlformats.org/officeDocument/2006/relationships/table" Target="../tables/table64.xml"/><Relationship Id="rId12" Type="http://schemas.openxmlformats.org/officeDocument/2006/relationships/table" Target="../tables/table69.xml"/><Relationship Id="rId17" Type="http://schemas.openxmlformats.org/officeDocument/2006/relationships/table" Target="../tables/table74.xml"/><Relationship Id="rId2" Type="http://schemas.openxmlformats.org/officeDocument/2006/relationships/drawing" Target="../drawings/drawing9.xml"/><Relationship Id="rId16" Type="http://schemas.openxmlformats.org/officeDocument/2006/relationships/table" Target="../tables/table73.xml"/><Relationship Id="rId20" Type="http://schemas.openxmlformats.org/officeDocument/2006/relationships/table" Target="../tables/table77.xml"/><Relationship Id="rId1" Type="http://schemas.openxmlformats.org/officeDocument/2006/relationships/printerSettings" Target="../printerSettings/printerSettings8.bin"/><Relationship Id="rId6" Type="http://schemas.openxmlformats.org/officeDocument/2006/relationships/table" Target="../tables/table63.xml"/><Relationship Id="rId11" Type="http://schemas.openxmlformats.org/officeDocument/2006/relationships/table" Target="../tables/table68.xml"/><Relationship Id="rId5" Type="http://schemas.openxmlformats.org/officeDocument/2006/relationships/table" Target="../tables/table62.xml"/><Relationship Id="rId15" Type="http://schemas.openxmlformats.org/officeDocument/2006/relationships/table" Target="../tables/table72.xml"/><Relationship Id="rId10" Type="http://schemas.openxmlformats.org/officeDocument/2006/relationships/table" Target="../tables/table67.xml"/><Relationship Id="rId19" Type="http://schemas.openxmlformats.org/officeDocument/2006/relationships/table" Target="../tables/table76.xml"/><Relationship Id="rId4" Type="http://schemas.openxmlformats.org/officeDocument/2006/relationships/table" Target="../tables/table61.xml"/><Relationship Id="rId9" Type="http://schemas.openxmlformats.org/officeDocument/2006/relationships/table" Target="../tables/table66.xml"/><Relationship Id="rId14" Type="http://schemas.openxmlformats.org/officeDocument/2006/relationships/table" Target="../tables/table7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79.xml"/></Relationships>
</file>

<file path=xl/worksheets/_rels/sheet11.xml.rels><?xml version="1.0" encoding="UTF-8" standalone="yes"?>
<Relationships xmlns="http://schemas.openxmlformats.org/package/2006/relationships"><Relationship Id="rId8" Type="http://schemas.openxmlformats.org/officeDocument/2006/relationships/table" Target="../tables/table85.xml"/><Relationship Id="rId3" Type="http://schemas.openxmlformats.org/officeDocument/2006/relationships/table" Target="../tables/table80.xml"/><Relationship Id="rId7" Type="http://schemas.openxmlformats.org/officeDocument/2006/relationships/table" Target="../tables/table84.xml"/><Relationship Id="rId2" Type="http://schemas.openxmlformats.org/officeDocument/2006/relationships/vmlDrawing" Target="../drawings/vmlDrawing1.vml"/><Relationship Id="rId1" Type="http://schemas.openxmlformats.org/officeDocument/2006/relationships/drawing" Target="../drawings/drawing10.xml"/><Relationship Id="rId6" Type="http://schemas.openxmlformats.org/officeDocument/2006/relationships/table" Target="../tables/table83.xml"/><Relationship Id="rId11" Type="http://schemas.microsoft.com/office/2017/10/relationships/threadedComment" Target="../threadedComments/threadedComment1.xml"/><Relationship Id="rId5" Type="http://schemas.openxmlformats.org/officeDocument/2006/relationships/table" Target="../tables/table82.xml"/><Relationship Id="rId10" Type="http://schemas.openxmlformats.org/officeDocument/2006/relationships/comments" Target="../comments1.xml"/><Relationship Id="rId4" Type="http://schemas.openxmlformats.org/officeDocument/2006/relationships/table" Target="../tables/table81.xml"/><Relationship Id="rId9" Type="http://schemas.openxmlformats.org/officeDocument/2006/relationships/table" Target="../tables/table86.xml"/></Relationships>
</file>

<file path=xl/worksheets/_rels/sheet12.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table" Target="../tables/table90.xml"/><Relationship Id="rId2" Type="http://schemas.openxmlformats.org/officeDocument/2006/relationships/drawing" Target="../drawings/drawing11.xml"/><Relationship Id="rId1" Type="http://schemas.openxmlformats.org/officeDocument/2006/relationships/printerSettings" Target="../printerSettings/printerSettings9.bin"/><Relationship Id="rId6" Type="http://schemas.openxmlformats.org/officeDocument/2006/relationships/table" Target="../tables/table89.xml"/><Relationship Id="rId5" Type="http://schemas.openxmlformats.org/officeDocument/2006/relationships/table" Target="../tables/table88.xml"/><Relationship Id="rId4" Type="http://schemas.openxmlformats.org/officeDocument/2006/relationships/table" Target="../tables/table87.xml"/><Relationship Id="rId9" Type="http://schemas.microsoft.com/office/2017/10/relationships/threadedComment" Target="../threadedComments/threadedComment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E0915-B8A2-46A2-AD08-3A9832A0CB67}">
  <dimension ref="B2:K31"/>
  <sheetViews>
    <sheetView showGridLines="0" tabSelected="1" workbookViewId="0">
      <selection activeCell="C7" sqref="C7"/>
    </sheetView>
  </sheetViews>
  <sheetFormatPr defaultRowHeight="16.5" x14ac:dyDescent="0.3"/>
  <cols>
    <col min="2" max="2" width="65.5" customWidth="1"/>
    <col min="3" max="3" width="32.375" customWidth="1"/>
    <col min="5" max="5" width="9" hidden="1" customWidth="1"/>
    <col min="6" max="6" width="17.125" hidden="1" customWidth="1"/>
    <col min="7" max="7" width="15.75" customWidth="1"/>
    <col min="8" max="8" width="15.375" customWidth="1"/>
  </cols>
  <sheetData>
    <row r="2" spans="2:11" ht="23.25" x14ac:dyDescent="0.3">
      <c r="G2" s="154" t="str">
        <f>IF(SUM(E10:E26)=16,"Ready, proceed to calendar set-up", "Missing Information")</f>
        <v>Missing Information</v>
      </c>
      <c r="H2" s="154"/>
      <c r="I2" s="154"/>
      <c r="J2" s="154"/>
      <c r="K2" s="154"/>
    </row>
    <row r="3" spans="2:11" ht="18.75" x14ac:dyDescent="0.3">
      <c r="G3" s="155" t="str">
        <f>IF(SUM(F16:F20)&gt;0,"There is something wrong with the dates provided.","")</f>
        <v/>
      </c>
      <c r="H3" s="155"/>
      <c r="I3" s="155"/>
      <c r="J3" s="155"/>
      <c r="K3" s="155"/>
    </row>
    <row r="4" spans="2:11" x14ac:dyDescent="0.3">
      <c r="G4" s="142"/>
      <c r="H4" s="142"/>
      <c r="I4" s="142"/>
      <c r="J4" s="142"/>
      <c r="K4" s="142"/>
    </row>
    <row r="6" spans="2:11" ht="17.25" thickBot="1" x14ac:dyDescent="0.35">
      <c r="B6" s="118" t="s">
        <v>4110</v>
      </c>
    </row>
    <row r="7" spans="2:11" x14ac:dyDescent="0.3">
      <c r="B7" s="87" t="s">
        <v>0</v>
      </c>
      <c r="C7" s="95"/>
    </row>
    <row r="8" spans="2:11" x14ac:dyDescent="0.3">
      <c r="B8" s="128" t="s">
        <v>4094</v>
      </c>
      <c r="C8" s="127"/>
    </row>
    <row r="9" spans="2:11" x14ac:dyDescent="0.3">
      <c r="B9" s="128" t="s">
        <v>4095</v>
      </c>
      <c r="C9" s="127"/>
      <c r="E9" t="s">
        <v>4123</v>
      </c>
    </row>
    <row r="10" spans="2:11" x14ac:dyDescent="0.3">
      <c r="B10" s="88" t="s">
        <v>2</v>
      </c>
      <c r="C10" s="96"/>
      <c r="E10">
        <f>IF(ISBLANK(FTE),0,1)</f>
        <v>0</v>
      </c>
    </row>
    <row r="11" spans="2:11" x14ac:dyDescent="0.3">
      <c r="B11" s="88" t="s">
        <v>4112</v>
      </c>
      <c r="C11" s="137"/>
      <c r="E11">
        <f>IF(ISBLANK(C11),0,1)</f>
        <v>0</v>
      </c>
    </row>
    <row r="12" spans="2:11" ht="17.25" thickBot="1" x14ac:dyDescent="0.35">
      <c r="B12" s="119" t="s">
        <v>4132</v>
      </c>
      <c r="C12" s="96"/>
    </row>
    <row r="13" spans="2:11" x14ac:dyDescent="0.3">
      <c r="B13" s="150" t="s">
        <v>4096</v>
      </c>
      <c r="C13" s="130"/>
      <c r="E13">
        <f>IF(ISBLANK(C13),0,1)</f>
        <v>0</v>
      </c>
    </row>
    <row r="14" spans="2:11" x14ac:dyDescent="0.3">
      <c r="B14" s="129" t="s">
        <v>4105</v>
      </c>
      <c r="C14" s="131"/>
      <c r="E14">
        <f>IF(ISBLANK(part_time_days),0,1)</f>
        <v>0</v>
      </c>
    </row>
    <row r="15" spans="2:11" x14ac:dyDescent="0.3">
      <c r="B15" s="129" t="s">
        <v>4114</v>
      </c>
      <c r="C15" s="139"/>
      <c r="E15">
        <f>IF(ISBLANK(First_Operational_Day),0,1)</f>
        <v>0</v>
      </c>
      <c r="F15" s="145" t="s">
        <v>4122</v>
      </c>
    </row>
    <row r="16" spans="2:11" x14ac:dyDescent="0.3">
      <c r="B16" s="129" t="s">
        <v>4115</v>
      </c>
      <c r="C16" s="139"/>
      <c r="E16">
        <f>IF(ISBLANK(First_Instructional_Day1),0,1)</f>
        <v>0</v>
      </c>
      <c r="F16">
        <f>IF(ISBLANK(First_Instructional_Day1),0,IF(First_Instructional_Day1&gt;=First_Operational_Day,0,1))</f>
        <v>0</v>
      </c>
    </row>
    <row r="17" spans="2:6" x14ac:dyDescent="0.3">
      <c r="B17" s="133" t="s">
        <v>4116</v>
      </c>
      <c r="C17" s="139"/>
      <c r="E17">
        <f>IF(C13=1,1,IF(AND(C13&gt;=2,ISBLANK(First_Instructional_Day2)),0,1))</f>
        <v>1</v>
      </c>
      <c r="F17">
        <f>IF(ISBLANK(First_Instructional_Day2),0,IF(First_Instructional_Day2&gt;First_Instructional_Day1,0,1))</f>
        <v>0</v>
      </c>
    </row>
    <row r="18" spans="2:6" x14ac:dyDescent="0.3">
      <c r="B18" s="133" t="s">
        <v>4117</v>
      </c>
      <c r="C18" s="139"/>
      <c r="E18">
        <f>IF(C13=1,1,IF(AND(C13&gt;=3,ISBLANK(First_Instructional_Day3)),0,1))</f>
        <v>1</v>
      </c>
      <c r="F18">
        <f>IF(ISBLANK(First_Instructional_Day3),0,IF(First_Instructional_Day3&gt;First_Instructional_Day2,0,1))</f>
        <v>0</v>
      </c>
    </row>
    <row r="19" spans="2:6" x14ac:dyDescent="0.3">
      <c r="B19" s="133" t="s">
        <v>4118</v>
      </c>
      <c r="C19" s="140"/>
      <c r="E19">
        <f>IF(C13=1,1,IF(AND(C13=4,ISBLANK(First_Instructional_Day4)),0,1))</f>
        <v>1</v>
      </c>
      <c r="F19">
        <f>IF(ISBLANK(First_Instructional_Day4),0,IF(First_Instructional_Day4&gt;First_Instructional_Day3,0,1))</f>
        <v>0</v>
      </c>
    </row>
    <row r="20" spans="2:6" x14ac:dyDescent="0.3">
      <c r="B20" s="129" t="s">
        <v>4119</v>
      </c>
      <c r="C20" s="139"/>
      <c r="E20">
        <f>IF(ISBLANK(Last_Operational_Day),0,1)</f>
        <v>0</v>
      </c>
      <c r="F20">
        <f>IF(ISBLANK(Last_Operational_Day),0,IF(Last_Operational_Day&gt;First_Operational_Day,0,1))</f>
        <v>0</v>
      </c>
    </row>
    <row r="21" spans="2:6" x14ac:dyDescent="0.3">
      <c r="B21" s="129" t="s">
        <v>4120</v>
      </c>
      <c r="C21" s="132"/>
      <c r="E21">
        <f>IF(ISBLANK(Rotation),0,1)</f>
        <v>0</v>
      </c>
    </row>
    <row r="22" spans="2:6" x14ac:dyDescent="0.3">
      <c r="B22" s="129" t="s">
        <v>4097</v>
      </c>
      <c r="C22" s="131"/>
      <c r="E22">
        <f>IF(ISBLANK(C22),0,1)</f>
        <v>0</v>
      </c>
    </row>
    <row r="23" spans="2:6" x14ac:dyDescent="0.3">
      <c r="B23" s="129" t="s">
        <v>4098</v>
      </c>
      <c r="C23" s="131"/>
      <c r="E23">
        <f>IF(ISBLANK(C22),0,1)</f>
        <v>0</v>
      </c>
    </row>
    <row r="24" spans="2:6" x14ac:dyDescent="0.3">
      <c r="B24" s="129" t="s">
        <v>4121</v>
      </c>
      <c r="C24" s="131"/>
      <c r="E24">
        <f>IF(AND(C22="Yes",ISBLANK(C23)),0,1)</f>
        <v>1</v>
      </c>
    </row>
    <row r="25" spans="2:6" x14ac:dyDescent="0.3">
      <c r="B25" s="129" t="s">
        <v>4099</v>
      </c>
      <c r="C25" s="131"/>
      <c r="E25">
        <f>IF(ISBLANK(C24),0,1)</f>
        <v>0</v>
      </c>
    </row>
    <row r="26" spans="2:6" x14ac:dyDescent="0.3">
      <c r="B26" s="129" t="s">
        <v>4138</v>
      </c>
      <c r="C26" s="131"/>
      <c r="E26">
        <f>IF(AND(C24="Yes",ISBLANK(C25)),0,1)</f>
        <v>1</v>
      </c>
    </row>
    <row r="27" spans="2:6" ht="17.25" thickBot="1" x14ac:dyDescent="0.35">
      <c r="B27" s="111" t="s">
        <v>4137</v>
      </c>
      <c r="C27" s="151"/>
    </row>
    <row r="29" spans="2:6" x14ac:dyDescent="0.3">
      <c r="B29" s="93" t="str">
        <f>IF(SUM(E10:E26)=16,"", "Cells shaded red require input")</f>
        <v>Cells shaded red require input</v>
      </c>
    </row>
    <row r="31" spans="2:6" x14ac:dyDescent="0.3">
      <c r="B31" s="147" t="s">
        <v>4128</v>
      </c>
    </row>
  </sheetData>
  <sheetProtection algorithmName="SHA-512" hashValue="kXzRQm9jXZL+YRKseH4TmzCvtCdIi1/HTkKXsJrMb+uf04QzMjUFqajxpwV1A7mcmvwUZFa0MldQ1gu94sZ5Cg==" saltValue="AuGK2g6qRdUl8VCnfVL5dA==" spinCount="100000" sheet="1" selectLockedCells="1"/>
  <mergeCells count="2">
    <mergeCell ref="G2:K2"/>
    <mergeCell ref="G3:K3"/>
  </mergeCells>
  <conditionalFormatting sqref="B17">
    <cfRule type="expression" dxfId="119" priority="32">
      <formula>$C$13&gt;=2</formula>
    </cfRule>
  </conditionalFormatting>
  <conditionalFormatting sqref="B19">
    <cfRule type="expression" dxfId="118" priority="33">
      <formula>$C$13=4</formula>
    </cfRule>
  </conditionalFormatting>
  <conditionalFormatting sqref="B23">
    <cfRule type="expression" dxfId="117" priority="39">
      <formula>($C$22&lt;&gt;"Yes")</formula>
    </cfRule>
  </conditionalFormatting>
  <conditionalFormatting sqref="B25">
    <cfRule type="expression" dxfId="116" priority="35">
      <formula>($C$24&lt;&gt;"Yes")</formula>
    </cfRule>
  </conditionalFormatting>
  <conditionalFormatting sqref="B31">
    <cfRule type="expression" dxfId="115" priority="2">
      <formula>$G$2="Ready, proceed to calendar set-up"</formula>
    </cfRule>
  </conditionalFormatting>
  <conditionalFormatting sqref="B18:C18">
    <cfRule type="expression" dxfId="114" priority="34">
      <formula>$C$13&gt;=3</formula>
    </cfRule>
  </conditionalFormatting>
  <conditionalFormatting sqref="C10">
    <cfRule type="expression" dxfId="113" priority="12">
      <formula>$E$10=0</formula>
    </cfRule>
  </conditionalFormatting>
  <conditionalFormatting sqref="C11">
    <cfRule type="expression" dxfId="112" priority="13">
      <formula>$E$11=0</formula>
    </cfRule>
  </conditionalFormatting>
  <conditionalFormatting sqref="C13">
    <cfRule type="expression" dxfId="111" priority="28">
      <formula>$E$13=0</formula>
    </cfRule>
  </conditionalFormatting>
  <conditionalFormatting sqref="C14">
    <cfRule type="expression" dxfId="110" priority="27">
      <formula>$E$14=0</formula>
    </cfRule>
  </conditionalFormatting>
  <conditionalFormatting sqref="C16">
    <cfRule type="expression" dxfId="109" priority="1">
      <formula>$E$16=0</formula>
    </cfRule>
  </conditionalFormatting>
  <conditionalFormatting sqref="C17">
    <cfRule type="expression" dxfId="108" priority="908">
      <formula>$E$17=0</formula>
    </cfRule>
  </conditionalFormatting>
  <conditionalFormatting sqref="C18">
    <cfRule type="expression" dxfId="107" priority="910">
      <formula>$E$18=0</formula>
    </cfRule>
  </conditionalFormatting>
  <conditionalFormatting sqref="C19">
    <cfRule type="expression" dxfId="106" priority="912">
      <formula>$E$19=0</formula>
    </cfRule>
  </conditionalFormatting>
  <conditionalFormatting sqref="C20">
    <cfRule type="expression" dxfId="105" priority="914">
      <formula>$E$20=0</formula>
    </cfRule>
  </conditionalFormatting>
  <conditionalFormatting sqref="C21">
    <cfRule type="expression" dxfId="104" priority="20">
      <formula>$E$21=0</formula>
    </cfRule>
  </conditionalFormatting>
  <conditionalFormatting sqref="C22">
    <cfRule type="expression" dxfId="103" priority="899">
      <formula>$E$22=0</formula>
    </cfRule>
  </conditionalFormatting>
  <conditionalFormatting sqref="C23">
    <cfRule type="expression" dxfId="102" priority="900">
      <formula>$E$24=0</formula>
    </cfRule>
    <cfRule type="expression" dxfId="101" priority="901">
      <formula>($C$22="No")</formula>
    </cfRule>
  </conditionalFormatting>
  <conditionalFormatting sqref="C24:C25">
    <cfRule type="expression" dxfId="100" priority="902">
      <formula>$E$25=0</formula>
    </cfRule>
  </conditionalFormatting>
  <conditionalFormatting sqref="C25">
    <cfRule type="expression" dxfId="99" priority="903">
      <formula>$E$26=0</formula>
    </cfRule>
    <cfRule type="expression" dxfId="98" priority="904">
      <formula>($C$24="No")</formula>
    </cfRule>
  </conditionalFormatting>
  <conditionalFormatting sqref="G2">
    <cfRule type="expression" dxfId="97" priority="30">
      <formula>$G$2&lt;&gt;"Ready, proceed to calendar set-up"</formula>
    </cfRule>
    <cfRule type="expression" dxfId="96" priority="31">
      <formula>$G$2="Ready, proceed to calendar set-up"</formula>
    </cfRule>
  </conditionalFormatting>
  <conditionalFormatting sqref="G3">
    <cfRule type="expression" dxfId="95" priority="3">
      <formula>IF(SUM($F$16:$F$20)&gt;0,TRUE,FALSE)</formula>
    </cfRule>
  </conditionalFormatting>
  <dataValidations count="6">
    <dataValidation type="list" allowBlank="1" showInputMessage="1" showErrorMessage="1" sqref="C22 C14 C24" xr:uid="{8EA494B3-0BF0-4CCB-AE54-E810E8711C76}">
      <formula1>"Yes, No"</formula1>
    </dataValidation>
    <dataValidation type="list" allowBlank="1" showInputMessage="1" showErrorMessage="1" sqref="C25 C25" xr:uid="{47785D67-2A93-474F-9932-F8636744874A}">
      <formula1>"1,2,3"</formula1>
    </dataValidation>
    <dataValidation type="list" allowBlank="1" showInputMessage="1" showErrorMessage="1" sqref="C13" xr:uid="{2E77EAB3-EE35-4C1C-9881-7DC79D5CB98B}">
      <formula1>"1,2,3,4"</formula1>
    </dataValidation>
    <dataValidation type="date" allowBlank="1" showInputMessage="1" showErrorMessage="1" error="Enter dates as YYYY-mm-dd (such as 2023-08-20)" sqref="C15" xr:uid="{194A2745-AE4C-456A-8F73-CC6DC9D6C25C}">
      <formula1>43831</formula1>
      <formula2>54789</formula2>
    </dataValidation>
    <dataValidation type="date" operator="greaterThanOrEqual" allowBlank="1" showInputMessage="1" showErrorMessage="1" error="Enter dates as YYYY-mm-dd (such as 2023-08-20)" sqref="C16:C20" xr:uid="{4CB94778-BA88-4BEB-88C4-48A1C2681962}">
      <formula1>43831</formula1>
    </dataValidation>
    <dataValidation type="list" allowBlank="1" showInputMessage="1" showErrorMessage="1" sqref="C23" xr:uid="{9FC71E6D-17D0-496E-B871-4F0BFF1707CF}">
      <formula1>"1,2,3,4,5,6"</formula1>
    </dataValidation>
  </dataValidations>
  <hyperlinks>
    <hyperlink ref="B31" location="Calendar!A1" display="Proceed to Calendar Setup" xr:uid="{C969FD19-5C8D-4F6E-B891-8AD9E1E0F3E4}"/>
  </hyperlink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575F1BFE-F8FD-4CF5-8826-B48D15C3D02D}">
          <x14:formula1>
            <xm:f>_xlfn.ANCHORARRAY(Parameters!$I$25)</xm:f>
          </x14:formula1>
          <xm:sqref>C21</xm:sqref>
        </x14:dataValidation>
        <x14:dataValidation type="list" allowBlank="1" showInputMessage="1" showErrorMessage="1" xr:uid="{5AE9C634-511D-4DE3-A13E-D1847670AF61}">
          <x14:formula1>
            <xm:f>_xlfn.ANCHORARRAY(Schools!$H$2)</xm:f>
          </x14:formula1>
          <xm:sqref>C8</xm:sqref>
        </x14:dataValidation>
        <x14:dataValidation type="list" allowBlank="1" showInputMessage="1" showErrorMessage="1" xr:uid="{F3114CEE-8F2F-487A-9069-BDA22FE13F22}">
          <x14:formula1>
            <xm:f>_xlfn.ANCHORARRAY(Schools!$J$2)</xm:f>
          </x14:formula1>
          <xm:sqref>C9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09EFC-37CE-411D-8FA2-A403B722206F}">
  <dimension ref="B2:J134"/>
  <sheetViews>
    <sheetView showGridLines="0" showRowColHeaders="0" workbookViewId="0">
      <selection activeCell="C9" sqref="C9"/>
    </sheetView>
  </sheetViews>
  <sheetFormatPr defaultRowHeight="16.5" x14ac:dyDescent="0.3"/>
  <cols>
    <col min="1" max="1" width="5.125" customWidth="1"/>
    <col min="2" max="2" width="18.75" customWidth="1"/>
    <col min="3" max="10" width="13.75" customWidth="1"/>
  </cols>
  <sheetData>
    <row r="2" spans="2:10" x14ac:dyDescent="0.3">
      <c r="H2" s="109"/>
      <c r="I2" s="109"/>
    </row>
    <row r="3" spans="2:10" x14ac:dyDescent="0.3">
      <c r="H3" s="109"/>
      <c r="I3" s="109"/>
    </row>
    <row r="4" spans="2:10" x14ac:dyDescent="0.3">
      <c r="H4" s="109"/>
      <c r="I4" s="109"/>
    </row>
    <row r="8" spans="2:10" x14ac:dyDescent="0.3">
      <c r="B8" s="93" t="s">
        <v>31</v>
      </c>
      <c r="C8" s="103" t="str">
        <f>IF(ISBLANK(TeacherName),"",TeacherName)</f>
        <v/>
      </c>
    </row>
    <row r="9" spans="2:10" x14ac:dyDescent="0.3">
      <c r="B9" s="93" t="s">
        <v>32</v>
      </c>
      <c r="C9" s="103" t="str">
        <f>IF(ISBLANK(School),"",School)</f>
        <v/>
      </c>
    </row>
    <row r="10" spans="2:10" ht="14.45" customHeight="1" x14ac:dyDescent="0.3">
      <c r="B10" s="93"/>
      <c r="C10" s="123" t="s">
        <v>33</v>
      </c>
      <c r="D10" s="123"/>
      <c r="E10" s="123" t="s">
        <v>34</v>
      </c>
      <c r="F10" s="123"/>
      <c r="G10" s="123" t="s">
        <v>4102</v>
      </c>
      <c r="H10" s="123"/>
      <c r="I10" s="123" t="s">
        <v>4103</v>
      </c>
      <c r="J10" s="123"/>
    </row>
    <row r="11" spans="2:10" ht="33" x14ac:dyDescent="0.3">
      <c r="C11" s="94" t="s">
        <v>20</v>
      </c>
      <c r="D11" s="94" t="s">
        <v>4101</v>
      </c>
      <c r="E11" s="94" t="s">
        <v>20</v>
      </c>
      <c r="F11" s="94" t="s">
        <v>4101</v>
      </c>
      <c r="G11" s="94" t="s">
        <v>20</v>
      </c>
      <c r="H11" s="94" t="s">
        <v>4101</v>
      </c>
      <c r="I11" s="125" t="s">
        <v>20</v>
      </c>
      <c r="J11" s="125" t="s">
        <v>4101</v>
      </c>
    </row>
    <row r="12" spans="2:10" x14ac:dyDescent="0.3">
      <c r="B12" s="38" t="s">
        <v>5</v>
      </c>
      <c r="C12" s="90">
        <f>_xlfn.XLOOKUP(B12,Monthly_Totals[Month],Monthly_Totals[Instruction])/60</f>
        <v>0</v>
      </c>
      <c r="D12" s="90">
        <f>_xlfn.XLOOKUP(B12,Monthly_Totals[Month],Monthly_Totals[NonInstruction])/60</f>
        <v>0</v>
      </c>
      <c r="E12" s="90">
        <f>_xlfn.XLOOKUP(B12,Exception_Totals[Month],Exception_Totals[Instructional])/60</f>
        <v>0</v>
      </c>
      <c r="F12" s="90">
        <f>_xlfn.XLOOKUP(B12,Exception_Totals[Month],Exception_Totals[Non-Instructional])/60</f>
        <v>0</v>
      </c>
      <c r="G12" s="90">
        <f>C12+E12</f>
        <v>0</v>
      </c>
      <c r="H12" s="124">
        <f>+D12+F12</f>
        <v>0</v>
      </c>
      <c r="I12" s="126">
        <f t="shared" ref="I12:I23" si="0">(FTE*916)-G12</f>
        <v>0</v>
      </c>
      <c r="J12" s="126">
        <f t="shared" ref="J12:J23" si="1">(FTE*284)-H12</f>
        <v>0</v>
      </c>
    </row>
    <row r="13" spans="2:10" x14ac:dyDescent="0.3">
      <c r="B13" s="38" t="s">
        <v>35</v>
      </c>
      <c r="C13" s="90">
        <f>_xlfn.XLOOKUP(B13,Monthly_Totals[Month],Monthly_Totals[Instruction])/60</f>
        <v>0</v>
      </c>
      <c r="D13" s="90">
        <f>_xlfn.XLOOKUP(B13,Monthly_Totals[Month],Monthly_Totals[NonInstruction])/60</f>
        <v>0</v>
      </c>
      <c r="E13" s="90">
        <f>_xlfn.XLOOKUP(B13,Exception_Totals[Month],Exception_Totals[Instructional])/60</f>
        <v>0</v>
      </c>
      <c r="F13" s="90">
        <f>_xlfn.XLOOKUP(B13,Exception_Totals[Month],Exception_Totals[Non-Instructional])/60</f>
        <v>0</v>
      </c>
      <c r="G13" s="90">
        <f>+G12+C13+E13</f>
        <v>0</v>
      </c>
      <c r="H13" s="124">
        <f>H12+D13+F13</f>
        <v>0</v>
      </c>
      <c r="I13" s="126">
        <f t="shared" si="0"/>
        <v>0</v>
      </c>
      <c r="J13" s="126">
        <f t="shared" si="1"/>
        <v>0</v>
      </c>
    </row>
    <row r="14" spans="2:10" x14ac:dyDescent="0.3">
      <c r="B14" s="38" t="s">
        <v>36</v>
      </c>
      <c r="C14" s="90">
        <f>_xlfn.XLOOKUP(B14,Monthly_Totals[Month],Monthly_Totals[Instruction])/60</f>
        <v>0</v>
      </c>
      <c r="D14" s="90">
        <f>_xlfn.XLOOKUP(B14,Monthly_Totals[Month],Monthly_Totals[NonInstruction])/60</f>
        <v>0</v>
      </c>
      <c r="E14" s="90">
        <f>_xlfn.XLOOKUP(B14,Exception_Totals[Month],Exception_Totals[Instructional])/60</f>
        <v>0</v>
      </c>
      <c r="F14" s="90">
        <f>_xlfn.XLOOKUP(B14,Exception_Totals[Month],Exception_Totals[Non-Instructional])/60</f>
        <v>0</v>
      </c>
      <c r="G14" s="90">
        <f t="shared" ref="G14:G23" si="2">+G13+C14+E14</f>
        <v>0</v>
      </c>
      <c r="H14" s="124">
        <f t="shared" ref="H14:H23" si="3">H13+D14+F14</f>
        <v>0</v>
      </c>
      <c r="I14" s="126">
        <f t="shared" si="0"/>
        <v>0</v>
      </c>
      <c r="J14" s="126">
        <f t="shared" si="1"/>
        <v>0</v>
      </c>
    </row>
    <row r="15" spans="2:10" x14ac:dyDescent="0.3">
      <c r="B15" s="38" t="s">
        <v>37</v>
      </c>
      <c r="C15" s="90">
        <f>_xlfn.XLOOKUP(B15,Monthly_Totals[Month],Monthly_Totals[Instruction])/60</f>
        <v>0</v>
      </c>
      <c r="D15" s="90">
        <f>_xlfn.XLOOKUP(B15,Monthly_Totals[Month],Monthly_Totals[NonInstruction])/60</f>
        <v>0</v>
      </c>
      <c r="E15" s="90">
        <f>_xlfn.XLOOKUP(B15,Exception_Totals[Month],Exception_Totals[Instructional])/60</f>
        <v>0</v>
      </c>
      <c r="F15" s="90">
        <f>_xlfn.XLOOKUP(B15,Exception_Totals[Month],Exception_Totals[Non-Instructional])/60</f>
        <v>0</v>
      </c>
      <c r="G15" s="90">
        <f t="shared" si="2"/>
        <v>0</v>
      </c>
      <c r="H15" s="124">
        <f t="shared" si="3"/>
        <v>0</v>
      </c>
      <c r="I15" s="126">
        <f t="shared" si="0"/>
        <v>0</v>
      </c>
      <c r="J15" s="126">
        <f t="shared" si="1"/>
        <v>0</v>
      </c>
    </row>
    <row r="16" spans="2:10" x14ac:dyDescent="0.3">
      <c r="B16" s="38" t="s">
        <v>38</v>
      </c>
      <c r="C16" s="90">
        <f>_xlfn.XLOOKUP(B16,Monthly_Totals[Month],Monthly_Totals[Instruction])/60</f>
        <v>0</v>
      </c>
      <c r="D16" s="90">
        <f>_xlfn.XLOOKUP(B16,Monthly_Totals[Month],Monthly_Totals[NonInstruction])/60</f>
        <v>0</v>
      </c>
      <c r="E16" s="90">
        <f>_xlfn.XLOOKUP(B16,Exception_Totals[Month],Exception_Totals[Instructional])/60</f>
        <v>0</v>
      </c>
      <c r="F16" s="90">
        <f>_xlfn.XLOOKUP(B16,Exception_Totals[Month],Exception_Totals[Non-Instructional])/60</f>
        <v>0</v>
      </c>
      <c r="G16" s="90">
        <f t="shared" si="2"/>
        <v>0</v>
      </c>
      <c r="H16" s="124">
        <f t="shared" si="3"/>
        <v>0</v>
      </c>
      <c r="I16" s="126">
        <f t="shared" si="0"/>
        <v>0</v>
      </c>
      <c r="J16" s="126">
        <f t="shared" si="1"/>
        <v>0</v>
      </c>
    </row>
    <row r="17" spans="2:10" x14ac:dyDescent="0.3">
      <c r="B17" s="38" t="s">
        <v>39</v>
      </c>
      <c r="C17" s="90">
        <f>_xlfn.XLOOKUP(B17,Monthly_Totals[Month],Monthly_Totals[Instruction])/60</f>
        <v>0</v>
      </c>
      <c r="D17" s="90">
        <f>_xlfn.XLOOKUP(B17,Monthly_Totals[Month],Monthly_Totals[NonInstruction])/60</f>
        <v>0</v>
      </c>
      <c r="E17" s="90">
        <f>_xlfn.XLOOKUP(B17,Exception_Totals[Month],Exception_Totals[Instructional])/60</f>
        <v>0</v>
      </c>
      <c r="F17" s="90">
        <f>_xlfn.XLOOKUP(B17,Exception_Totals[Month],Exception_Totals[Non-Instructional])/60</f>
        <v>0</v>
      </c>
      <c r="G17" s="90">
        <f t="shared" si="2"/>
        <v>0</v>
      </c>
      <c r="H17" s="124">
        <f t="shared" si="3"/>
        <v>0</v>
      </c>
      <c r="I17" s="126">
        <f t="shared" si="0"/>
        <v>0</v>
      </c>
      <c r="J17" s="126">
        <f t="shared" si="1"/>
        <v>0</v>
      </c>
    </row>
    <row r="18" spans="2:10" x14ac:dyDescent="0.3">
      <c r="B18" s="38" t="s">
        <v>40</v>
      </c>
      <c r="C18" s="90">
        <f>_xlfn.XLOOKUP(B18,Monthly_Totals[Month],Monthly_Totals[Instruction])/60</f>
        <v>0</v>
      </c>
      <c r="D18" s="90">
        <f>_xlfn.XLOOKUP(B18,Monthly_Totals[Month],Monthly_Totals[NonInstruction])/60</f>
        <v>0</v>
      </c>
      <c r="E18" s="90">
        <f>_xlfn.XLOOKUP(B18,Exception_Totals[Month],Exception_Totals[Instructional])/60</f>
        <v>0</v>
      </c>
      <c r="F18" s="90">
        <f>_xlfn.XLOOKUP(B18,Exception_Totals[Month],Exception_Totals[Non-Instructional])/60</f>
        <v>0</v>
      </c>
      <c r="G18" s="90">
        <f t="shared" si="2"/>
        <v>0</v>
      </c>
      <c r="H18" s="124">
        <f t="shared" si="3"/>
        <v>0</v>
      </c>
      <c r="I18" s="126">
        <f t="shared" si="0"/>
        <v>0</v>
      </c>
      <c r="J18" s="126">
        <f t="shared" si="1"/>
        <v>0</v>
      </c>
    </row>
    <row r="19" spans="2:10" x14ac:dyDescent="0.3">
      <c r="B19" s="38" t="s">
        <v>41</v>
      </c>
      <c r="C19" s="90">
        <f>_xlfn.XLOOKUP(B19,Monthly_Totals[Month],Monthly_Totals[Instruction])/60</f>
        <v>0</v>
      </c>
      <c r="D19" s="90">
        <f>_xlfn.XLOOKUP(B19,Monthly_Totals[Month],Monthly_Totals[NonInstruction])/60</f>
        <v>0</v>
      </c>
      <c r="E19" s="90">
        <f>_xlfn.XLOOKUP(B19,Exception_Totals[Month],Exception_Totals[Instructional])/60</f>
        <v>0</v>
      </c>
      <c r="F19" s="90">
        <f>_xlfn.XLOOKUP(B19,Exception_Totals[Month],Exception_Totals[Non-Instructional])/60</f>
        <v>0</v>
      </c>
      <c r="G19" s="90">
        <f t="shared" si="2"/>
        <v>0</v>
      </c>
      <c r="H19" s="124">
        <f t="shared" si="3"/>
        <v>0</v>
      </c>
      <c r="I19" s="126">
        <f t="shared" si="0"/>
        <v>0</v>
      </c>
      <c r="J19" s="126">
        <f t="shared" si="1"/>
        <v>0</v>
      </c>
    </row>
    <row r="20" spans="2:10" x14ac:dyDescent="0.3">
      <c r="B20" s="38" t="s">
        <v>42</v>
      </c>
      <c r="C20" s="90">
        <f>_xlfn.XLOOKUP(B20,Monthly_Totals[Month],Monthly_Totals[Instruction])/60</f>
        <v>0</v>
      </c>
      <c r="D20" s="90">
        <f>_xlfn.XLOOKUP(B20,Monthly_Totals[Month],Monthly_Totals[NonInstruction])/60</f>
        <v>0</v>
      </c>
      <c r="E20" s="90">
        <f>_xlfn.XLOOKUP(B20,Exception_Totals[Month],Exception_Totals[Instructional])/60</f>
        <v>0</v>
      </c>
      <c r="F20" s="90">
        <f>_xlfn.XLOOKUP(B20,Exception_Totals[Month],Exception_Totals[Non-Instructional])/60</f>
        <v>0</v>
      </c>
      <c r="G20" s="90">
        <f t="shared" si="2"/>
        <v>0</v>
      </c>
      <c r="H20" s="124">
        <f t="shared" si="3"/>
        <v>0</v>
      </c>
      <c r="I20" s="126">
        <f t="shared" si="0"/>
        <v>0</v>
      </c>
      <c r="J20" s="126">
        <f t="shared" si="1"/>
        <v>0</v>
      </c>
    </row>
    <row r="21" spans="2:10" x14ac:dyDescent="0.3">
      <c r="B21" s="38" t="s">
        <v>43</v>
      </c>
      <c r="C21" s="90">
        <f>_xlfn.XLOOKUP(B21,Monthly_Totals[Month],Monthly_Totals[Instruction])/60</f>
        <v>0</v>
      </c>
      <c r="D21" s="90">
        <f>_xlfn.XLOOKUP(B21,Monthly_Totals[Month],Monthly_Totals[NonInstruction])/60</f>
        <v>0</v>
      </c>
      <c r="E21" s="90">
        <f>_xlfn.XLOOKUP(B21,Exception_Totals[Month],Exception_Totals[Instructional])/60</f>
        <v>0</v>
      </c>
      <c r="F21" s="90">
        <f>_xlfn.XLOOKUP(B21,Exception_Totals[Month],Exception_Totals[Non-Instructional])/60</f>
        <v>0</v>
      </c>
      <c r="G21" s="90">
        <f t="shared" si="2"/>
        <v>0</v>
      </c>
      <c r="H21" s="124">
        <f t="shared" si="3"/>
        <v>0</v>
      </c>
      <c r="I21" s="126">
        <f t="shared" si="0"/>
        <v>0</v>
      </c>
      <c r="J21" s="126">
        <f t="shared" si="1"/>
        <v>0</v>
      </c>
    </row>
    <row r="22" spans="2:10" x14ac:dyDescent="0.3">
      <c r="B22" s="38" t="s">
        <v>44</v>
      </c>
      <c r="C22" s="90">
        <f>_xlfn.XLOOKUP(B22,Monthly_Totals[Month],Monthly_Totals[Instruction])/60</f>
        <v>0</v>
      </c>
      <c r="D22" s="90">
        <f>_xlfn.XLOOKUP(B22,Monthly_Totals[Month],Monthly_Totals[NonInstruction])/60</f>
        <v>0</v>
      </c>
      <c r="E22" s="90">
        <f>_xlfn.XLOOKUP(B22,Exception_Totals[Month],Exception_Totals[Instructional])/60</f>
        <v>0</v>
      </c>
      <c r="F22" s="90">
        <f>_xlfn.XLOOKUP(B22,Exception_Totals[Month],Exception_Totals[Non-Instructional])/60</f>
        <v>0</v>
      </c>
      <c r="G22" s="90">
        <f t="shared" si="2"/>
        <v>0</v>
      </c>
      <c r="H22" s="124">
        <f t="shared" si="3"/>
        <v>0</v>
      </c>
      <c r="I22" s="126">
        <f t="shared" si="0"/>
        <v>0</v>
      </c>
      <c r="J22" s="126">
        <f t="shared" si="1"/>
        <v>0</v>
      </c>
    </row>
    <row r="23" spans="2:10" ht="17.25" thickBot="1" x14ac:dyDescent="0.35">
      <c r="B23" s="40" t="s">
        <v>45</v>
      </c>
      <c r="C23" s="91">
        <f>_xlfn.XLOOKUP(B23,Monthly_Totals[Month],Monthly_Totals[Instruction])/60</f>
        <v>0</v>
      </c>
      <c r="D23" s="91">
        <f>_xlfn.XLOOKUP(B23,Monthly_Totals[Month],Monthly_Totals[NonInstruction])/60</f>
        <v>0</v>
      </c>
      <c r="E23" s="91">
        <f>_xlfn.XLOOKUP(B23,Exception_Totals[Month],Exception_Totals[Instructional])/60</f>
        <v>0</v>
      </c>
      <c r="F23" s="91">
        <f>_xlfn.XLOOKUP(B23,Exception_Totals[Month],Exception_Totals[Non-Instructional])/60</f>
        <v>0</v>
      </c>
      <c r="G23" s="126">
        <f t="shared" si="2"/>
        <v>0</v>
      </c>
      <c r="H23" s="126">
        <f t="shared" si="3"/>
        <v>0</v>
      </c>
      <c r="I23" s="126">
        <f t="shared" si="0"/>
        <v>0</v>
      </c>
      <c r="J23" s="126">
        <f t="shared" si="1"/>
        <v>0</v>
      </c>
    </row>
    <row r="24" spans="2:10" ht="17.25" thickTop="1" x14ac:dyDescent="0.3">
      <c r="B24" s="39" t="s">
        <v>46</v>
      </c>
      <c r="C24" s="92">
        <f>SUM(C12:C23)</f>
        <v>0</v>
      </c>
      <c r="D24" s="92">
        <f t="shared" ref="D24:F24" si="4">SUM(D12:D23)</f>
        <v>0</v>
      </c>
      <c r="E24" s="92">
        <f t="shared" si="4"/>
        <v>0</v>
      </c>
      <c r="F24" s="92">
        <f t="shared" si="4"/>
        <v>0</v>
      </c>
      <c r="G24" s="134"/>
      <c r="H24" s="134"/>
    </row>
    <row r="26" spans="2:10" x14ac:dyDescent="0.3">
      <c r="G26" s="148" t="s">
        <v>4129</v>
      </c>
      <c r="H26" s="148" t="s">
        <v>4130</v>
      </c>
      <c r="J26" s="148" t="s">
        <v>4131</v>
      </c>
    </row>
    <row r="27" spans="2:10" x14ac:dyDescent="0.3">
      <c r="B27" s="89" t="s">
        <v>47</v>
      </c>
      <c r="C27">
        <f>Calculations!Z3</f>
        <v>0</v>
      </c>
      <c r="D27" s="93" t="s">
        <v>4106</v>
      </c>
      <c r="F27" s="135">
        <f>+C24+E24</f>
        <v>0</v>
      </c>
      <c r="G27" s="135">
        <f>IF(ISBLANK(TypicalHours),916*FTE,(916/1200)*TypicalHours*FTE)</f>
        <v>0</v>
      </c>
      <c r="H27">
        <f>ABS(F27-G27)</f>
        <v>0</v>
      </c>
      <c r="I27" t="str">
        <f>IF(F27=G27,"",IF(F27&lt;G27,"under","over"))</f>
        <v/>
      </c>
      <c r="J27" s="149" t="str">
        <f>IF(ISERROR(F27/G27),"",F27/G27)</f>
        <v/>
      </c>
    </row>
    <row r="28" spans="2:10" x14ac:dyDescent="0.3">
      <c r="B28" s="89" t="s">
        <v>48</v>
      </c>
      <c r="C28">
        <f>Calculations!Z4</f>
        <v>0</v>
      </c>
      <c r="D28" s="93" t="s">
        <v>4107</v>
      </c>
      <c r="F28" s="135">
        <f>+D24+F24</f>
        <v>0</v>
      </c>
      <c r="G28" s="135">
        <f>IF(ISBLANK(TypicalHours),1200-G27,(284/1200)*TypicalHours*FTE)</f>
        <v>1200</v>
      </c>
      <c r="H28">
        <f t="shared" ref="H28:H29" si="5">ABS(F28-G28)</f>
        <v>1200</v>
      </c>
      <c r="I28" t="str">
        <f t="shared" ref="I28:I29" si="6">IF(F28=G28,"",IF(F28&lt;G28,"under","over"))</f>
        <v>under</v>
      </c>
      <c r="J28" s="149">
        <f>F28/G28</f>
        <v>0</v>
      </c>
    </row>
    <row r="29" spans="2:10" x14ac:dyDescent="0.3">
      <c r="B29" s="89" t="s">
        <v>49</v>
      </c>
      <c r="C29">
        <f>Calculations!Z5</f>
        <v>0</v>
      </c>
      <c r="D29" s="93" t="s">
        <v>4108</v>
      </c>
      <c r="F29" s="135">
        <f>+F27+F28</f>
        <v>0</v>
      </c>
      <c r="G29" s="135">
        <f>+G27+G28</f>
        <v>1200</v>
      </c>
      <c r="H29">
        <f t="shared" si="5"/>
        <v>1200</v>
      </c>
      <c r="I29" t="str">
        <f t="shared" si="6"/>
        <v>under</v>
      </c>
      <c r="J29" s="149">
        <f>F29/G29</f>
        <v>0</v>
      </c>
    </row>
    <row r="31" spans="2:10" x14ac:dyDescent="0.3">
      <c r="B31" s="89"/>
    </row>
    <row r="118" spans="2:10" x14ac:dyDescent="0.3">
      <c r="B118" s="141" t="s">
        <v>50</v>
      </c>
      <c r="C118" s="141" t="s">
        <v>51</v>
      </c>
      <c r="D118" s="141" t="s">
        <v>1</v>
      </c>
      <c r="E118" s="141" t="s">
        <v>2</v>
      </c>
      <c r="F118" s="141" t="s">
        <v>4113</v>
      </c>
      <c r="G118" s="141" t="s">
        <v>30</v>
      </c>
      <c r="H118" s="141" t="s">
        <v>52</v>
      </c>
      <c r="I118" s="141" t="s">
        <v>53</v>
      </c>
      <c r="J118" s="142"/>
    </row>
    <row r="119" spans="2:10" x14ac:dyDescent="0.3">
      <c r="B119" s="141" t="str">
        <f>+'Detailed Summary'!C8</f>
        <v/>
      </c>
      <c r="C119" s="141">
        <f>'START HERE'!C8</f>
        <v>0</v>
      </c>
      <c r="D119" s="141">
        <f>School</f>
        <v>0</v>
      </c>
      <c r="E119" s="141">
        <f>FTE</f>
        <v>0</v>
      </c>
      <c r="F119" s="141">
        <f>NumTeachers</f>
        <v>0</v>
      </c>
      <c r="G119" s="143">
        <f>C24+E24</f>
        <v>0</v>
      </c>
      <c r="H119" s="143">
        <f>+D24+G24</f>
        <v>0</v>
      </c>
      <c r="I119" s="143">
        <f>+F29</f>
        <v>0</v>
      </c>
      <c r="J119" s="142"/>
    </row>
    <row r="120" spans="2:10" x14ac:dyDescent="0.3">
      <c r="B120" s="142"/>
      <c r="C120" s="142"/>
      <c r="D120" s="142"/>
      <c r="E120" s="142"/>
      <c r="F120" s="142"/>
      <c r="G120" s="142"/>
      <c r="H120" s="142"/>
      <c r="I120" s="142"/>
      <c r="J120" s="142"/>
    </row>
    <row r="121" spans="2:10" x14ac:dyDescent="0.3">
      <c r="B121" s="138"/>
      <c r="C121" s="138"/>
      <c r="D121" s="138"/>
      <c r="E121" s="138"/>
      <c r="F121" s="138"/>
      <c r="G121" s="138"/>
      <c r="H121" s="138"/>
      <c r="I121" s="138"/>
    </row>
    <row r="122" spans="2:10" x14ac:dyDescent="0.3">
      <c r="B122" s="138"/>
      <c r="C122" s="138"/>
      <c r="D122" s="138"/>
      <c r="E122" s="138"/>
      <c r="F122" s="138"/>
      <c r="G122" s="138"/>
      <c r="H122" s="138"/>
      <c r="I122" s="138"/>
    </row>
    <row r="123" spans="2:10" x14ac:dyDescent="0.3">
      <c r="B123" s="138"/>
      <c r="C123" s="138"/>
      <c r="D123" s="138"/>
      <c r="E123" s="138"/>
      <c r="F123" s="138"/>
      <c r="G123" s="138"/>
      <c r="H123" s="138"/>
      <c r="I123" s="138"/>
    </row>
    <row r="124" spans="2:10" x14ac:dyDescent="0.3">
      <c r="B124" s="138"/>
      <c r="C124" s="138"/>
      <c r="D124" s="138"/>
      <c r="E124" s="138"/>
      <c r="F124" s="138"/>
      <c r="G124" s="138"/>
      <c r="H124" s="138"/>
      <c r="I124" s="138"/>
    </row>
    <row r="125" spans="2:10" x14ac:dyDescent="0.3">
      <c r="B125" s="138"/>
      <c r="C125" s="138"/>
      <c r="D125" s="138"/>
      <c r="E125" s="138"/>
      <c r="F125" s="138"/>
      <c r="G125" s="138"/>
      <c r="H125" s="138"/>
      <c r="I125" s="138"/>
    </row>
    <row r="126" spans="2:10" x14ac:dyDescent="0.3">
      <c r="B126" s="138"/>
      <c r="C126" s="138"/>
      <c r="D126" s="138"/>
      <c r="E126" s="138"/>
      <c r="F126" s="138"/>
      <c r="G126" s="138"/>
      <c r="H126" s="138"/>
      <c r="I126" s="138"/>
    </row>
    <row r="127" spans="2:10" x14ac:dyDescent="0.3">
      <c r="B127" s="138"/>
      <c r="C127" s="138"/>
      <c r="D127" s="138"/>
      <c r="E127" s="138"/>
      <c r="F127" s="138"/>
      <c r="G127" s="138"/>
      <c r="H127" s="138"/>
      <c r="I127" s="138"/>
    </row>
    <row r="128" spans="2:10" x14ac:dyDescent="0.3">
      <c r="B128" s="138"/>
      <c r="C128" s="138"/>
      <c r="D128" s="138"/>
      <c r="E128" s="138"/>
      <c r="F128" s="138"/>
      <c r="G128" s="138"/>
      <c r="H128" s="138"/>
      <c r="I128" s="138"/>
    </row>
    <row r="129" spans="2:9" x14ac:dyDescent="0.3">
      <c r="B129" s="138"/>
      <c r="C129" s="138"/>
      <c r="D129" s="138"/>
      <c r="E129" s="138"/>
      <c r="F129" s="138"/>
      <c r="G129" s="138"/>
      <c r="H129" s="138"/>
      <c r="I129" s="138"/>
    </row>
    <row r="130" spans="2:9" x14ac:dyDescent="0.3">
      <c r="B130" s="138"/>
      <c r="C130" s="138"/>
      <c r="D130" s="138"/>
      <c r="E130" s="138"/>
      <c r="F130" s="138"/>
      <c r="G130" s="138"/>
      <c r="H130" s="138"/>
      <c r="I130" s="138"/>
    </row>
    <row r="131" spans="2:9" x14ac:dyDescent="0.3">
      <c r="B131" s="138"/>
      <c r="C131" s="138"/>
      <c r="D131" s="138"/>
      <c r="E131" s="138"/>
      <c r="F131" s="138"/>
      <c r="G131" s="138"/>
      <c r="H131" s="138"/>
      <c r="I131" s="138"/>
    </row>
    <row r="132" spans="2:9" x14ac:dyDescent="0.3">
      <c r="B132" s="138"/>
      <c r="C132" s="138"/>
      <c r="D132" s="138"/>
      <c r="E132" s="138"/>
      <c r="F132" s="138"/>
      <c r="G132" s="138"/>
      <c r="H132" s="138"/>
      <c r="I132" s="138"/>
    </row>
    <row r="133" spans="2:9" x14ac:dyDescent="0.3">
      <c r="B133" s="138"/>
      <c r="C133" s="138"/>
      <c r="D133" s="138"/>
      <c r="E133" s="138"/>
      <c r="F133" s="138"/>
      <c r="G133" s="138"/>
      <c r="H133" s="138"/>
      <c r="I133" s="138"/>
    </row>
    <row r="134" spans="2:9" x14ac:dyDescent="0.3">
      <c r="B134" s="138"/>
      <c r="C134" s="138"/>
      <c r="D134" s="138"/>
      <c r="E134" s="138"/>
      <c r="F134" s="138"/>
      <c r="G134" s="138"/>
      <c r="H134" s="138"/>
      <c r="I134" s="138"/>
    </row>
  </sheetData>
  <sheetProtection algorithmName="SHA-512" hashValue="onZzA5IkOfrlFg/gLs83y5N9MwNEe8jXNAlT4PjRPTvCU+3aV68SIVboDd2nGDjpDiDzCZA09ZU7fmOSByzYmw==" saltValue="/fK4XHmmYCgdSgC6YvDQyA==" spinCount="100000" sheet="1" selectLockedCells="1"/>
  <phoneticPr fontId="23" type="noConversion"/>
  <dataValidations disablePrompts="1" count="1">
    <dataValidation type="list" allowBlank="1" showInputMessage="1" showErrorMessage="1" sqref="C31" xr:uid="{F92D7202-EC3D-4C88-8ADF-904B9795D247}">
      <formula1>"Minutes, Hours"</formula1>
    </dataValidation>
  </dataValidations>
  <pageMargins left="0.7" right="0.7" top="0.75" bottom="0.75" header="0.3" footer="0.3"/>
  <pageSetup paperSize="5" orientation="landscape"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09E28-9860-49E4-8A9D-8C06ED970E19}">
  <dimension ref="B1:I27"/>
  <sheetViews>
    <sheetView showGridLines="0" showRowColHeaders="0" workbookViewId="0">
      <selection activeCell="C9" sqref="C9"/>
    </sheetView>
  </sheetViews>
  <sheetFormatPr defaultRowHeight="16.5" x14ac:dyDescent="0.3"/>
  <sheetData>
    <row r="1" spans="2:9" x14ac:dyDescent="0.3">
      <c r="B1" s="156" t="s">
        <v>4111</v>
      </c>
      <c r="C1" s="156"/>
      <c r="D1" s="156"/>
      <c r="E1" s="156"/>
      <c r="F1" s="156"/>
      <c r="G1" s="156"/>
      <c r="H1" s="156"/>
      <c r="I1" s="156"/>
    </row>
    <row r="2" spans="2:9" ht="30.75" x14ac:dyDescent="0.45">
      <c r="B2" s="122" t="s">
        <v>4101</v>
      </c>
    </row>
    <row r="27" spans="2:2" ht="30.75" x14ac:dyDescent="0.45">
      <c r="B27" s="122" t="s">
        <v>20</v>
      </c>
    </row>
  </sheetData>
  <sheetProtection algorithmName="SHA-512" hashValue="Pnh2ahgmTEJO+oHYQwcXtlYfmDeIAnY3XIAXjgP/w3IclZ4vktFh8QD6t8iNAx8YQhv+9K63qdWSWm6/146lLw==" saltValue="Gx80Ag5aC2ZCjBg+n72Wcg==" spinCount="100000" sheet="1" objects="1" scenarios="1"/>
  <mergeCells count="1">
    <mergeCell ref="B1:I1"/>
  </mergeCells>
  <hyperlinks>
    <hyperlink ref="B1" r:id="rId1" xr:uid="{5A1E9744-7E66-4A0D-9692-CCB410789E5B}"/>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9:Q200"/>
  <sheetViews>
    <sheetView showGridLines="0" showRowColHeaders="0" topLeftCell="A192" workbookViewId="0">
      <selection activeCell="E190" sqref="E190"/>
    </sheetView>
  </sheetViews>
  <sheetFormatPr defaultColWidth="8.75" defaultRowHeight="16.5" x14ac:dyDescent="0.3"/>
  <cols>
    <col min="1" max="1" width="1.625" style="4" customWidth="1"/>
    <col min="2" max="2" width="20.25" style="4" customWidth="1"/>
    <col min="3" max="8" width="18.875" style="4" customWidth="1"/>
    <col min="9" max="9" width="1.625" style="4" customWidth="1"/>
    <col min="10" max="10" width="8.75" style="4"/>
    <col min="11" max="11" width="16.125" style="4" bestFit="1" customWidth="1"/>
    <col min="12" max="13" width="8.75" style="4"/>
    <col min="14" max="14" width="6.75" style="4" customWidth="1"/>
    <col min="15" max="16384" width="8.75" style="4"/>
  </cols>
  <sheetData>
    <row r="9" spans="1:17" ht="9" customHeight="1" x14ac:dyDescent="0.3">
      <c r="A9" s="5"/>
      <c r="I9" s="4" t="s">
        <v>4</v>
      </c>
    </row>
    <row r="10" spans="1:17" ht="95.25" customHeight="1" x14ac:dyDescent="0.9">
      <c r="B10" s="47">
        <v>2025</v>
      </c>
      <c r="C10" s="157" t="s">
        <v>5</v>
      </c>
      <c r="D10" s="157"/>
      <c r="E10" s="44"/>
      <c r="F10" s="45"/>
      <c r="G10" s="45"/>
      <c r="H10" s="46"/>
    </row>
    <row r="11" spans="1:17" ht="9" customHeight="1" x14ac:dyDescent="0.3"/>
    <row r="12" spans="1:17" s="6" customFormat="1" ht="24" customHeight="1" x14ac:dyDescent="0.35">
      <c r="B12" s="49" t="s">
        <v>6</v>
      </c>
      <c r="C12" s="50" t="str">
        <f>(TEXT(C13,"dddd"))</f>
        <v>Monday</v>
      </c>
      <c r="D12" s="49" t="str">
        <f>TEXT(D13,"dddd")</f>
        <v>Tuesday</v>
      </c>
      <c r="E12" s="50" t="str">
        <f>TEXT(E13,"dddd")</f>
        <v>Wednesday</v>
      </c>
      <c r="F12" s="49" t="str">
        <f>TEXT(F13,"dddd")</f>
        <v>Thursday</v>
      </c>
      <c r="G12" s="50" t="str">
        <f>TEXT(G13,"dddd")</f>
        <v>Friday</v>
      </c>
      <c r="H12" s="49" t="str">
        <f>(TEXT(H13,"dddd"))</f>
        <v>Saturday</v>
      </c>
    </row>
    <row r="13" spans="1:17" s="7" customFormat="1" ht="24" customHeight="1" x14ac:dyDescent="0.35">
      <c r="B13" s="52">
        <f t="array" ref="B13:H13">Days+1+DATE(Calendar1Year,Calendar1MonthOption,1)-WEEKDAY(DATE(Calendar1Year,Calendar1MonthOption,1),WeekdayOption)</f>
        <v>45865</v>
      </c>
      <c r="C13" s="14">
        <v>45866</v>
      </c>
      <c r="D13" s="17">
        <v>45867</v>
      </c>
      <c r="E13" s="20">
        <v>45868</v>
      </c>
      <c r="F13" s="23">
        <v>45869</v>
      </c>
      <c r="G13" s="26">
        <v>45870</v>
      </c>
      <c r="H13" s="31">
        <v>45871</v>
      </c>
    </row>
    <row r="14" spans="1:17" s="8" customFormat="1" ht="51" customHeight="1" x14ac:dyDescent="0.3">
      <c r="B14" s="152"/>
      <c r="C14" s="152"/>
      <c r="D14" s="152"/>
      <c r="E14" s="152"/>
      <c r="F14" s="97"/>
      <c r="G14" s="97"/>
      <c r="H14" s="55"/>
      <c r="K14" s="164" t="s">
        <v>4109</v>
      </c>
      <c r="L14" s="164"/>
      <c r="M14" s="164"/>
      <c r="N14" s="164"/>
      <c r="O14" s="164"/>
      <c r="P14" s="164"/>
      <c r="Q14" s="164"/>
    </row>
    <row r="15" spans="1:17" s="7" customFormat="1" ht="24" customHeight="1" x14ac:dyDescent="0.35">
      <c r="B15" s="53">
        <f t="array" ref="B15:H15">Days+8+DATE(Calendar1Year,Calendar1MonthOption,1)-WEEKDAY(DATE(Calendar1Year,Calendar1MonthOption,1),WeekdayOption)</f>
        <v>45872</v>
      </c>
      <c r="C15" s="15">
        <v>45873</v>
      </c>
      <c r="D15" s="18">
        <v>45874</v>
      </c>
      <c r="E15" s="21">
        <v>45875</v>
      </c>
      <c r="F15" s="24">
        <v>45876</v>
      </c>
      <c r="G15" s="27">
        <v>45877</v>
      </c>
      <c r="H15" s="32">
        <v>45878</v>
      </c>
      <c r="L15" s="163"/>
      <c r="M15" s="163"/>
      <c r="N15" s="163"/>
      <c r="O15" s="163"/>
      <c r="P15" s="163"/>
    </row>
    <row r="16" spans="1:17" s="8" customFormat="1" ht="51" customHeight="1" x14ac:dyDescent="0.3">
      <c r="B16" s="56"/>
      <c r="C16" s="97"/>
      <c r="D16" s="97"/>
      <c r="E16" s="97"/>
      <c r="F16" s="97"/>
      <c r="G16" s="97"/>
      <c r="H16" s="57"/>
    </row>
    <row r="17" spans="2:11" s="7" customFormat="1" ht="24" customHeight="1" x14ac:dyDescent="0.35">
      <c r="B17" s="54">
        <f t="array" ref="B17:H17">Days+15+DATE(Calendar1Year,Calendar1MonthOption,1)-WEEKDAY(DATE(Calendar1Year,Calendar1MonthOption,1),WeekdayOption)</f>
        <v>45879</v>
      </c>
      <c r="C17" s="16">
        <v>45880</v>
      </c>
      <c r="D17" s="19">
        <v>45881</v>
      </c>
      <c r="E17" s="22">
        <v>45882</v>
      </c>
      <c r="F17" s="25">
        <v>45883</v>
      </c>
      <c r="G17" s="28">
        <v>45884</v>
      </c>
      <c r="H17" s="51">
        <v>45885</v>
      </c>
    </row>
    <row r="18" spans="2:11" s="8" customFormat="1" ht="51" customHeight="1" x14ac:dyDescent="0.3">
      <c r="B18" s="58"/>
      <c r="C18" s="97"/>
      <c r="D18" s="97"/>
      <c r="E18" s="97"/>
      <c r="F18" s="97"/>
      <c r="G18" s="97"/>
      <c r="H18" s="59"/>
    </row>
    <row r="19" spans="2:11" s="7" customFormat="1" ht="24" customHeight="1" x14ac:dyDescent="0.3">
      <c r="B19" s="60">
        <f t="array" ref="B19:H19">Days+22+DATE(Calendar1Year,Calendar1MonthOption,1)-WEEKDAY(DATE(Calendar1Year,Calendar1MonthOption,1),WeekdayOption)</f>
        <v>45886</v>
      </c>
      <c r="C19" s="61">
        <v>45887</v>
      </c>
      <c r="D19" s="62">
        <v>45888</v>
      </c>
      <c r="E19" s="63">
        <v>45889</v>
      </c>
      <c r="F19" s="64">
        <v>45890</v>
      </c>
      <c r="G19" s="65">
        <v>45891</v>
      </c>
      <c r="H19" s="66">
        <v>45892</v>
      </c>
    </row>
    <row r="20" spans="2:11" s="8" customFormat="1" ht="51" customHeight="1" x14ac:dyDescent="0.3">
      <c r="B20" s="67"/>
      <c r="C20" s="97"/>
      <c r="D20" s="97"/>
      <c r="E20" s="97"/>
      <c r="F20" s="97"/>
      <c r="G20" s="97"/>
      <c r="H20" s="68"/>
    </row>
    <row r="21" spans="2:11" s="7" customFormat="1" ht="24" customHeight="1" x14ac:dyDescent="0.3">
      <c r="B21" s="69">
        <f t="array" ref="B21:H21">Days+29+DATE(Calendar1Year,Calendar1MonthOption,1)-WEEKDAY(DATE(Calendar1Year,Calendar1MonthOption,1),WeekdayOption)</f>
        <v>45893</v>
      </c>
      <c r="C21" s="70">
        <v>45894</v>
      </c>
      <c r="D21" s="71">
        <v>45895</v>
      </c>
      <c r="E21" s="72">
        <v>45896</v>
      </c>
      <c r="F21" s="73">
        <v>45897</v>
      </c>
      <c r="G21" s="74">
        <v>45898</v>
      </c>
      <c r="H21" s="75">
        <v>45899</v>
      </c>
    </row>
    <row r="22" spans="2:11" s="8" customFormat="1" ht="51" customHeight="1" x14ac:dyDescent="0.3">
      <c r="B22" s="76"/>
      <c r="C22" s="97"/>
      <c r="D22" s="97"/>
      <c r="E22" s="97"/>
      <c r="F22" s="97"/>
      <c r="G22" s="98"/>
      <c r="H22" s="77"/>
    </row>
    <row r="23" spans="2:11" s="9" customFormat="1" ht="24" customHeight="1" x14ac:dyDescent="0.35">
      <c r="B23" s="78">
        <f t="array" ref="B23:C23">Days+36+DATE(Calendar1Year,Calendar1MonthOption,1)-WEEKDAY(DATE(Calendar1Year,Calendar1MonthOption,1),WeekdayOption)</f>
        <v>45900</v>
      </c>
      <c r="C23" s="79">
        <v>45901</v>
      </c>
      <c r="D23" s="166" t="s">
        <v>7</v>
      </c>
      <c r="E23" s="167"/>
      <c r="F23" s="167"/>
      <c r="G23" s="167"/>
      <c r="H23" s="167"/>
    </row>
    <row r="24" spans="2:11" s="8" customFormat="1" ht="51" customHeight="1" x14ac:dyDescent="0.3">
      <c r="B24" s="80"/>
      <c r="C24" s="99"/>
      <c r="D24" s="160"/>
      <c r="E24" s="160"/>
      <c r="F24" s="160"/>
      <c r="G24" s="160"/>
      <c r="H24" s="160"/>
    </row>
    <row r="25" spans="2:11" s="10" customFormat="1" ht="9" customHeight="1" x14ac:dyDescent="0.3">
      <c r="B25" s="1"/>
      <c r="C25" s="1"/>
      <c r="D25" s="2"/>
      <c r="E25" s="2"/>
      <c r="F25" s="2"/>
      <c r="G25" s="2"/>
      <c r="H25" s="2"/>
    </row>
    <row r="26" spans="2:11" ht="95.25" customHeight="1" x14ac:dyDescent="0.9">
      <c r="B26" s="47">
        <f>YEAR(DATE(Calendar1Year,Calendar1MonthOption+1,1))</f>
        <v>2025</v>
      </c>
      <c r="C26" s="157" t="str">
        <f>TEXT(DATE(Calendar1Year,Calendar1MonthOption+1,1),"mmmm")</f>
        <v>September</v>
      </c>
      <c r="D26" s="157"/>
      <c r="E26" s="44"/>
      <c r="F26" s="45"/>
      <c r="G26" s="45"/>
      <c r="H26" s="46"/>
    </row>
    <row r="27" spans="2:11" ht="9" customHeight="1" x14ac:dyDescent="0.3"/>
    <row r="28" spans="2:11" s="6" customFormat="1" ht="24" customHeight="1" x14ac:dyDescent="0.35">
      <c r="B28" s="49" t="str">
        <f t="shared" ref="B28:H28" si="0">TEXT(B29,"dddd")</f>
        <v>Sunday</v>
      </c>
      <c r="C28" s="50" t="str">
        <f t="shared" si="0"/>
        <v>Monday</v>
      </c>
      <c r="D28" s="49" t="str">
        <f t="shared" si="0"/>
        <v>Tuesday</v>
      </c>
      <c r="E28" s="50" t="str">
        <f t="shared" si="0"/>
        <v>Wednesday</v>
      </c>
      <c r="F28" s="49" t="str">
        <f t="shared" si="0"/>
        <v>Thursday</v>
      </c>
      <c r="G28" s="50" t="str">
        <f t="shared" si="0"/>
        <v>Friday</v>
      </c>
      <c r="H28" s="49" t="str">
        <f t="shared" si="0"/>
        <v>Saturday</v>
      </c>
    </row>
    <row r="29" spans="2:11" s="9" customFormat="1" ht="24" customHeight="1" x14ac:dyDescent="0.35">
      <c r="B29" s="31">
        <f t="array" ref="B29:H29">Days+1+DATE(Calendar2Year,Calendar2MonthOption,1)-WEEKDAY(DATE(Calendar2Year,Calendar2MonthOption,1),WeekdayOption)</f>
        <v>45900</v>
      </c>
      <c r="C29" s="29">
        <v>45901</v>
      </c>
      <c r="D29" s="29">
        <v>45902</v>
      </c>
      <c r="E29" s="29">
        <v>45903</v>
      </c>
      <c r="F29" s="29">
        <v>45904</v>
      </c>
      <c r="G29" s="29">
        <v>45905</v>
      </c>
      <c r="H29" s="31">
        <v>45906</v>
      </c>
      <c r="K29" s="41"/>
    </row>
    <row r="30" spans="2:11" s="8" customFormat="1" ht="51" customHeight="1" x14ac:dyDescent="0.3">
      <c r="B30" s="81"/>
      <c r="C30" s="97" t="s">
        <v>8</v>
      </c>
      <c r="D30" s="97"/>
      <c r="E30" s="97"/>
      <c r="F30" s="97"/>
      <c r="G30" s="97"/>
      <c r="H30" s="81"/>
    </row>
    <row r="31" spans="2:11" s="9" customFormat="1" ht="24" customHeight="1" x14ac:dyDescent="0.35">
      <c r="B31" s="32">
        <f t="array" ref="B31:H31">Days+8+DATE(Calendar2Year,Calendar2MonthOption,1)-WEEKDAY(DATE(Calendar2Year,Calendar2MonthOption,1),WeekdayOption)</f>
        <v>45907</v>
      </c>
      <c r="C31" s="29">
        <v>45908</v>
      </c>
      <c r="D31" s="30">
        <v>45909</v>
      </c>
      <c r="E31" s="30">
        <v>45910</v>
      </c>
      <c r="F31" s="30">
        <v>45911</v>
      </c>
      <c r="G31" s="30">
        <v>45912</v>
      </c>
      <c r="H31" s="32">
        <v>45913</v>
      </c>
      <c r="K31" s="41"/>
    </row>
    <row r="32" spans="2:11" s="8" customFormat="1" ht="51" customHeight="1" x14ac:dyDescent="0.3">
      <c r="B32" s="55"/>
      <c r="C32" s="97"/>
      <c r="D32" s="97"/>
      <c r="E32" s="97"/>
      <c r="F32" s="97"/>
      <c r="G32" s="97"/>
      <c r="H32" s="55"/>
    </row>
    <row r="33" spans="2:11" s="9" customFormat="1" ht="24" customHeight="1" x14ac:dyDescent="0.35">
      <c r="B33" s="32">
        <f t="array" ref="B33:H33">Days+15+DATE(Calendar2Year,Calendar2MonthOption,1)-WEEKDAY(DATE(Calendar2Year,Calendar2MonthOption,1),WeekdayOption)</f>
        <v>45914</v>
      </c>
      <c r="C33" s="30">
        <v>45915</v>
      </c>
      <c r="D33" s="30">
        <v>45916</v>
      </c>
      <c r="E33" s="30">
        <v>45917</v>
      </c>
      <c r="F33" s="30">
        <v>45918</v>
      </c>
      <c r="G33" s="30">
        <v>45919</v>
      </c>
      <c r="H33" s="32">
        <v>45920</v>
      </c>
      <c r="K33" s="41"/>
    </row>
    <row r="34" spans="2:11" s="8" customFormat="1" ht="51" customHeight="1" x14ac:dyDescent="0.3">
      <c r="B34" s="55"/>
      <c r="C34" s="97"/>
      <c r="D34" s="97"/>
      <c r="E34" s="97"/>
      <c r="F34" s="97"/>
      <c r="G34" s="97"/>
      <c r="H34" s="55"/>
    </row>
    <row r="35" spans="2:11" s="9" customFormat="1" ht="24" customHeight="1" x14ac:dyDescent="0.35">
      <c r="B35" s="32">
        <f t="array" ref="B35:H35">Days+22+DATE(Calendar2Year,Calendar2MonthOption,1)-WEEKDAY(DATE(Calendar2Year,Calendar2MonthOption,1),WeekdayOption)</f>
        <v>45921</v>
      </c>
      <c r="C35" s="30">
        <v>45922</v>
      </c>
      <c r="D35" s="30">
        <v>45923</v>
      </c>
      <c r="E35" s="30">
        <v>45924</v>
      </c>
      <c r="F35" s="30">
        <v>45925</v>
      </c>
      <c r="G35" s="30">
        <v>45926</v>
      </c>
      <c r="H35" s="32">
        <v>45927</v>
      </c>
      <c r="K35" s="41"/>
    </row>
    <row r="36" spans="2:11" s="8" customFormat="1" ht="51" customHeight="1" x14ac:dyDescent="0.3">
      <c r="B36" s="55"/>
      <c r="C36" s="97"/>
      <c r="D36" s="97"/>
      <c r="E36" s="97"/>
      <c r="F36" s="97"/>
      <c r="G36" s="97"/>
      <c r="H36" s="55"/>
    </row>
    <row r="37" spans="2:11" s="9" customFormat="1" ht="24" customHeight="1" x14ac:dyDescent="0.35">
      <c r="B37" s="32">
        <f t="array" ref="B37:H37">Days+29+DATE(Calendar2Year,Calendar2MonthOption,1)-WEEKDAY(DATE(Calendar2Year,Calendar2MonthOption,1),WeekdayOption)</f>
        <v>45928</v>
      </c>
      <c r="C37" s="30">
        <v>45929</v>
      </c>
      <c r="D37" s="30">
        <v>45930</v>
      </c>
      <c r="E37" s="30">
        <v>45931</v>
      </c>
      <c r="F37" s="30">
        <v>45932</v>
      </c>
      <c r="G37" s="30">
        <v>45933</v>
      </c>
      <c r="H37" s="32">
        <v>45934</v>
      </c>
    </row>
    <row r="38" spans="2:11" s="8" customFormat="1" ht="51" customHeight="1" x14ac:dyDescent="0.3">
      <c r="B38" s="81"/>
      <c r="C38" s="97"/>
      <c r="D38" s="97"/>
      <c r="E38" s="153"/>
      <c r="F38" s="153"/>
      <c r="G38" s="153"/>
      <c r="H38" s="55"/>
    </row>
    <row r="39" spans="2:11" s="9" customFormat="1" ht="24" customHeight="1" x14ac:dyDescent="0.35">
      <c r="B39" s="3">
        <f t="array" ref="B39:C39">Days+36+DATE(Calendar2Year,Calendar2MonthOption,1)-WEEKDAY(DATE(Calendar2Year,Calendar2MonthOption,1),WeekdayOption)</f>
        <v>45935</v>
      </c>
      <c r="C39" s="29">
        <v>45936</v>
      </c>
      <c r="D39" s="158" t="s">
        <v>7</v>
      </c>
      <c r="E39" s="158"/>
      <c r="F39" s="158"/>
      <c r="G39" s="158"/>
      <c r="H39" s="158"/>
    </row>
    <row r="40" spans="2:11" s="8" customFormat="1" ht="51" customHeight="1" x14ac:dyDescent="0.3">
      <c r="B40" s="81"/>
      <c r="C40" s="102"/>
      <c r="D40" s="160"/>
      <c r="E40" s="160"/>
      <c r="F40" s="160"/>
      <c r="G40" s="160"/>
      <c r="H40" s="160"/>
    </row>
    <row r="41" spans="2:11" s="10" customFormat="1" ht="9" customHeight="1" x14ac:dyDescent="0.3">
      <c r="B41" s="1"/>
      <c r="C41" s="1"/>
      <c r="D41" s="2"/>
      <c r="E41" s="2"/>
      <c r="F41" s="2"/>
      <c r="G41" s="2"/>
      <c r="H41" s="2"/>
    </row>
    <row r="42" spans="2:11" ht="95.25" customHeight="1" x14ac:dyDescent="0.9">
      <c r="B42" s="47">
        <f>YEAR(DATE(Calendar2Year,Calendar2MonthOption+1,1))</f>
        <v>2025</v>
      </c>
      <c r="C42" s="157" t="str">
        <f>TEXT(DATE(Calendar2Year,Calendar2MonthOption+1,1),"mmmm")</f>
        <v>October</v>
      </c>
      <c r="D42" s="157"/>
      <c r="E42" s="44"/>
      <c r="F42" s="45"/>
      <c r="G42" s="45"/>
      <c r="H42" s="46"/>
    </row>
    <row r="43" spans="2:11" ht="9" customHeight="1" x14ac:dyDescent="0.3"/>
    <row r="44" spans="2:11" s="6" customFormat="1" ht="24" customHeight="1" x14ac:dyDescent="0.35">
      <c r="B44" s="49" t="str">
        <f t="shared" ref="B44:H44" si="1">TEXT(B45,"dddd")</f>
        <v>Sunday</v>
      </c>
      <c r="C44" s="50" t="str">
        <f t="shared" si="1"/>
        <v>Monday</v>
      </c>
      <c r="D44" s="49" t="str">
        <f t="shared" si="1"/>
        <v>Tuesday</v>
      </c>
      <c r="E44" s="50" t="str">
        <f t="shared" si="1"/>
        <v>Wednesday</v>
      </c>
      <c r="F44" s="49" t="str">
        <f t="shared" si="1"/>
        <v>Thursday</v>
      </c>
      <c r="G44" s="50" t="str">
        <f t="shared" si="1"/>
        <v>Friday</v>
      </c>
      <c r="H44" s="49" t="str">
        <f t="shared" si="1"/>
        <v>Saturday</v>
      </c>
    </row>
    <row r="45" spans="2:11" s="7" customFormat="1" ht="24" customHeight="1" x14ac:dyDescent="0.35">
      <c r="B45" s="31">
        <f t="array" ref="B45:H45">Days+1+DATE(Calendar3Year,Calendar3MonthOption,1)-WEEKDAY(DATE(Calendar3Year,Calendar3MonthOption,1),WeekdayOption)</f>
        <v>45928</v>
      </c>
      <c r="C45" s="29">
        <v>45929</v>
      </c>
      <c r="D45" s="29">
        <v>45930</v>
      </c>
      <c r="E45" s="29">
        <v>45931</v>
      </c>
      <c r="F45" s="29">
        <v>45932</v>
      </c>
      <c r="G45" s="29">
        <v>45933</v>
      </c>
      <c r="H45" s="3">
        <v>45934</v>
      </c>
    </row>
    <row r="46" spans="2:11" s="8" customFormat="1" ht="51" customHeight="1" x14ac:dyDescent="0.3">
      <c r="B46" s="55"/>
      <c r="C46" s="153"/>
      <c r="D46" s="153"/>
      <c r="E46" s="97"/>
      <c r="F46" s="97"/>
      <c r="G46" s="97"/>
      <c r="H46" s="55"/>
    </row>
    <row r="47" spans="2:11" s="7" customFormat="1" ht="24" customHeight="1" x14ac:dyDescent="0.35">
      <c r="B47" s="32">
        <f t="array" ref="B47:H47">Days+8+DATE(Calendar3Year,Calendar3MonthOption,1)-WEEKDAY(DATE(Calendar3Year,Calendar3MonthOption,1),WeekdayOption)</f>
        <v>45935</v>
      </c>
      <c r="C47" s="43">
        <v>45936</v>
      </c>
      <c r="D47" s="30">
        <v>45937</v>
      </c>
      <c r="E47" s="30">
        <v>45938</v>
      </c>
      <c r="F47" s="30">
        <v>45939</v>
      </c>
      <c r="G47" s="30">
        <v>45940</v>
      </c>
      <c r="H47" s="32">
        <v>45941</v>
      </c>
    </row>
    <row r="48" spans="2:11" s="8" customFormat="1" ht="51" customHeight="1" x14ac:dyDescent="0.3">
      <c r="B48" s="55"/>
      <c r="C48" s="97"/>
      <c r="D48" s="97"/>
      <c r="E48" s="97"/>
      <c r="F48" s="97"/>
      <c r="G48" s="97"/>
      <c r="H48" s="55"/>
    </row>
    <row r="49" spans="2:8" s="7" customFormat="1" ht="24" customHeight="1" x14ac:dyDescent="0.35">
      <c r="B49" s="32">
        <f t="array" ref="B49:H49">Days+15+DATE(Calendar3Year,Calendar3MonthOption,1)-WEEKDAY(DATE(Calendar3Year,Calendar3MonthOption,1),WeekdayOption)</f>
        <v>45942</v>
      </c>
      <c r="C49" s="30">
        <v>45943</v>
      </c>
      <c r="D49" s="30">
        <v>45944</v>
      </c>
      <c r="E49" s="30">
        <v>45945</v>
      </c>
      <c r="F49" s="30">
        <v>45946</v>
      </c>
      <c r="G49" s="30">
        <v>45947</v>
      </c>
      <c r="H49" s="32">
        <v>45948</v>
      </c>
    </row>
    <row r="50" spans="2:8" s="8" customFormat="1" ht="51" customHeight="1" x14ac:dyDescent="0.3">
      <c r="B50" s="55"/>
      <c r="C50" s="97" t="s">
        <v>8</v>
      </c>
      <c r="D50" s="97"/>
      <c r="E50" s="97"/>
      <c r="F50" s="97"/>
      <c r="G50" s="97"/>
      <c r="H50" s="55"/>
    </row>
    <row r="51" spans="2:8" s="7" customFormat="1" ht="24" customHeight="1" x14ac:dyDescent="0.35">
      <c r="B51" s="32">
        <f t="array" ref="B51:H51">Days+22+DATE(Calendar3Year,Calendar3MonthOption,1)-WEEKDAY(DATE(Calendar3Year,Calendar3MonthOption,1),WeekdayOption)</f>
        <v>45949</v>
      </c>
      <c r="C51" s="30">
        <v>45950</v>
      </c>
      <c r="D51" s="30">
        <v>45951</v>
      </c>
      <c r="E51" s="30">
        <v>45952</v>
      </c>
      <c r="F51" s="30">
        <v>45953</v>
      </c>
      <c r="G51" s="30">
        <v>45954</v>
      </c>
      <c r="H51" s="32">
        <v>45955</v>
      </c>
    </row>
    <row r="52" spans="2:8" s="8" customFormat="1" ht="51" customHeight="1" x14ac:dyDescent="0.3">
      <c r="B52" s="55"/>
      <c r="C52" s="97"/>
      <c r="D52" s="97"/>
      <c r="E52" s="97"/>
      <c r="F52" s="97"/>
      <c r="G52" s="97"/>
      <c r="H52" s="55"/>
    </row>
    <row r="53" spans="2:8" s="7" customFormat="1" ht="24" customHeight="1" x14ac:dyDescent="0.35">
      <c r="B53" s="32">
        <f t="array" ref="B53:H53">Days+29+DATE(Calendar3Year,Calendar3MonthOption,1)-WEEKDAY(DATE(Calendar3Year,Calendar3MonthOption,1),WeekdayOption)</f>
        <v>45956</v>
      </c>
      <c r="C53" s="30">
        <v>45957</v>
      </c>
      <c r="D53" s="30">
        <v>45958</v>
      </c>
      <c r="E53" s="30">
        <v>45959</v>
      </c>
      <c r="F53" s="30">
        <v>45960</v>
      </c>
      <c r="G53" s="30">
        <v>45961</v>
      </c>
      <c r="H53" s="32">
        <v>45962</v>
      </c>
    </row>
    <row r="54" spans="2:8" s="8" customFormat="1" ht="51" customHeight="1" x14ac:dyDescent="0.3">
      <c r="B54" s="55"/>
      <c r="C54" s="97"/>
      <c r="D54" s="97"/>
      <c r="E54" s="101"/>
      <c r="F54" s="101"/>
      <c r="G54" s="101"/>
      <c r="H54" s="55"/>
    </row>
    <row r="55" spans="2:8" s="7" customFormat="1" ht="24" customHeight="1" x14ac:dyDescent="0.35">
      <c r="B55" s="31">
        <f t="array" ref="B55:C55">Days+36+DATE(Calendar3Year,Calendar3MonthOption,1)-WEEKDAY(DATE(Calendar3Year,Calendar3MonthOption,1),WeekdayOption)</f>
        <v>45963</v>
      </c>
      <c r="C55" s="29">
        <v>45964</v>
      </c>
      <c r="D55" s="158" t="s">
        <v>7</v>
      </c>
      <c r="E55" s="159"/>
      <c r="F55" s="159"/>
      <c r="G55" s="159"/>
      <c r="H55" s="159"/>
    </row>
    <row r="56" spans="2:8" s="8" customFormat="1" ht="51" customHeight="1" x14ac:dyDescent="0.3">
      <c r="B56" s="81"/>
      <c r="C56" s="153"/>
      <c r="D56" s="160"/>
      <c r="E56" s="160"/>
      <c r="F56" s="160"/>
      <c r="G56" s="160"/>
      <c r="H56" s="160"/>
    </row>
    <row r="57" spans="2:8" s="10" customFormat="1" ht="9" customHeight="1" x14ac:dyDescent="0.3">
      <c r="B57" s="1"/>
      <c r="C57" s="1"/>
      <c r="D57" s="2"/>
      <c r="E57" s="2"/>
      <c r="F57" s="2"/>
      <c r="G57" s="2"/>
      <c r="H57" s="2"/>
    </row>
    <row r="58" spans="2:8" ht="95.25" customHeight="1" x14ac:dyDescent="0.9">
      <c r="B58" s="47">
        <f>YEAR(DATE(Calendar3Year,Calendar3MonthOption+1,1))</f>
        <v>2025</v>
      </c>
      <c r="C58" s="157" t="str">
        <f>TEXT(DATE(Calendar3Year,Calendar3MonthOption+1,1),"mmmm")</f>
        <v>November</v>
      </c>
      <c r="D58" s="157"/>
      <c r="E58" s="44"/>
      <c r="F58" s="45"/>
      <c r="G58" s="45"/>
      <c r="H58" s="46"/>
    </row>
    <row r="59" spans="2:8" ht="9" customHeight="1" x14ac:dyDescent="0.3"/>
    <row r="60" spans="2:8" s="6" customFormat="1" ht="24" customHeight="1" x14ac:dyDescent="0.35">
      <c r="B60" s="49" t="str">
        <f t="shared" ref="B60:H60" si="2">TEXT(B61,"dddd")</f>
        <v>Sunday</v>
      </c>
      <c r="C60" s="50" t="str">
        <f t="shared" si="2"/>
        <v>Monday</v>
      </c>
      <c r="D60" s="49" t="str">
        <f t="shared" si="2"/>
        <v>Tuesday</v>
      </c>
      <c r="E60" s="50" t="str">
        <f t="shared" si="2"/>
        <v>Wednesday</v>
      </c>
      <c r="F60" s="49" t="str">
        <f t="shared" si="2"/>
        <v>Thursday</v>
      </c>
      <c r="G60" s="50" t="str">
        <f t="shared" si="2"/>
        <v>Friday</v>
      </c>
      <c r="H60" s="49" t="str">
        <f t="shared" si="2"/>
        <v>Saturday</v>
      </c>
    </row>
    <row r="61" spans="2:8" s="9" customFormat="1" ht="24" customHeight="1" x14ac:dyDescent="0.35">
      <c r="B61" s="31">
        <f t="array" ref="B61:H61">Days+1+DATE(Calendar4Year,Calendar4MonthOption,1)-WEEKDAY(DATE(Calendar4Year,Calendar4MonthOption,1),WeekdayOption)</f>
        <v>45956</v>
      </c>
      <c r="C61" s="29">
        <v>45957</v>
      </c>
      <c r="D61" s="29">
        <v>45958</v>
      </c>
      <c r="E61" s="29">
        <v>45959</v>
      </c>
      <c r="F61" s="29">
        <v>45960</v>
      </c>
      <c r="G61" s="29">
        <v>45961</v>
      </c>
      <c r="H61" s="31">
        <v>45962</v>
      </c>
    </row>
    <row r="62" spans="2:8" s="8" customFormat="1" ht="51" customHeight="1" x14ac:dyDescent="0.3">
      <c r="B62" s="55"/>
      <c r="C62" s="153"/>
      <c r="D62" s="153"/>
      <c r="E62" s="153"/>
      <c r="F62" s="153"/>
      <c r="G62" s="153"/>
      <c r="H62" s="55"/>
    </row>
    <row r="63" spans="2:8" s="9" customFormat="1" ht="24" customHeight="1" x14ac:dyDescent="0.35">
      <c r="B63" s="32">
        <f t="array" ref="B63:H63">Days+8+DATE(Calendar4Year,Calendar4MonthOption,1)-WEEKDAY(DATE(Calendar4Year,Calendar4MonthOption,1),WeekdayOption)</f>
        <v>45963</v>
      </c>
      <c r="C63" s="30">
        <v>45964</v>
      </c>
      <c r="D63" s="30">
        <v>45965</v>
      </c>
      <c r="E63" s="30">
        <v>45966</v>
      </c>
      <c r="F63" s="30">
        <v>45967</v>
      </c>
      <c r="G63" s="30">
        <v>45968</v>
      </c>
      <c r="H63" s="32">
        <v>45969</v>
      </c>
    </row>
    <row r="64" spans="2:8" s="8" customFormat="1" ht="51" customHeight="1" x14ac:dyDescent="0.3">
      <c r="B64" s="55"/>
      <c r="C64" s="97"/>
      <c r="D64" s="97"/>
      <c r="E64" s="97"/>
      <c r="F64" s="97"/>
      <c r="G64" s="97"/>
      <c r="H64" s="55"/>
    </row>
    <row r="65" spans="2:8" s="9" customFormat="1" ht="24" customHeight="1" x14ac:dyDescent="0.35">
      <c r="B65" s="32">
        <f t="array" ref="B65:H65">Days+15+DATE(Calendar4Year,Calendar4MonthOption,1)-WEEKDAY(DATE(Calendar4Year,Calendar4MonthOption,1),WeekdayOption)</f>
        <v>45970</v>
      </c>
      <c r="C65" s="30">
        <v>45971</v>
      </c>
      <c r="D65" s="30">
        <v>45972</v>
      </c>
      <c r="E65" s="30">
        <v>45973</v>
      </c>
      <c r="F65" s="30">
        <v>45974</v>
      </c>
      <c r="G65" s="30">
        <v>45975</v>
      </c>
      <c r="H65" s="32">
        <v>45976</v>
      </c>
    </row>
    <row r="66" spans="2:8" s="8" customFormat="1" ht="51" customHeight="1" x14ac:dyDescent="0.3">
      <c r="B66" s="55"/>
      <c r="C66" s="97"/>
      <c r="D66" s="97"/>
      <c r="E66" s="97"/>
      <c r="F66" s="97"/>
      <c r="G66" s="97"/>
      <c r="H66" s="55"/>
    </row>
    <row r="67" spans="2:8" s="9" customFormat="1" ht="24" customHeight="1" x14ac:dyDescent="0.35">
      <c r="B67" s="32">
        <f t="array" ref="B67:H67">Days+22+DATE(Calendar4Year,Calendar4MonthOption,1)-WEEKDAY(DATE(Calendar4Year,Calendar4MonthOption,1),WeekdayOption)</f>
        <v>45977</v>
      </c>
      <c r="C67" s="30">
        <v>45978</v>
      </c>
      <c r="D67" s="30">
        <v>45979</v>
      </c>
      <c r="E67" s="30">
        <v>45980</v>
      </c>
      <c r="F67" s="30">
        <v>45981</v>
      </c>
      <c r="G67" s="30">
        <v>45982</v>
      </c>
      <c r="H67" s="32">
        <v>45983</v>
      </c>
    </row>
    <row r="68" spans="2:8" s="8" customFormat="1" ht="51" customHeight="1" x14ac:dyDescent="0.3">
      <c r="B68" s="55"/>
      <c r="C68" s="97"/>
      <c r="D68" s="97"/>
      <c r="E68" s="97"/>
      <c r="F68" s="97"/>
      <c r="G68" s="97"/>
      <c r="H68" s="55"/>
    </row>
    <row r="69" spans="2:8" s="9" customFormat="1" ht="24" customHeight="1" x14ac:dyDescent="0.35">
      <c r="B69" s="32">
        <f t="array" ref="B69:H69">Days+29+DATE(Calendar4Year,Calendar4MonthOption,1)-WEEKDAY(DATE(Calendar4Year,Calendar4MonthOption,1),WeekdayOption)</f>
        <v>45984</v>
      </c>
      <c r="C69" s="30">
        <v>45985</v>
      </c>
      <c r="D69" s="30">
        <v>45986</v>
      </c>
      <c r="E69" s="30">
        <v>45987</v>
      </c>
      <c r="F69" s="30">
        <v>45988</v>
      </c>
      <c r="G69" s="30">
        <v>45989</v>
      </c>
      <c r="H69" s="32">
        <v>45990</v>
      </c>
    </row>
    <row r="70" spans="2:8" s="8" customFormat="1" ht="51" customHeight="1" x14ac:dyDescent="0.3">
      <c r="B70" s="55"/>
      <c r="C70" s="97"/>
      <c r="D70" s="97"/>
      <c r="E70" s="97"/>
      <c r="F70" s="97"/>
      <c r="G70" s="97"/>
      <c r="H70" s="55"/>
    </row>
    <row r="71" spans="2:8" s="9" customFormat="1" ht="24" customHeight="1" x14ac:dyDescent="0.35">
      <c r="B71" s="31">
        <f t="array" ref="B71:C71">Days+36+DATE(Calendar4Year,Calendar4MonthOption,1)-WEEKDAY(DATE(Calendar4Year,Calendar4MonthOption,1),WeekdayOption)</f>
        <v>45991</v>
      </c>
      <c r="C71" s="29">
        <v>45992</v>
      </c>
      <c r="D71" s="158" t="s">
        <v>7</v>
      </c>
      <c r="E71" s="159"/>
      <c r="F71" s="159"/>
      <c r="G71" s="159"/>
      <c r="H71" s="159"/>
    </row>
    <row r="72" spans="2:8" s="8" customFormat="1" ht="51" customHeight="1" x14ac:dyDescent="0.3">
      <c r="B72" s="81"/>
      <c r="C72" s="153"/>
      <c r="D72" s="160"/>
      <c r="E72" s="160"/>
      <c r="F72" s="160"/>
      <c r="G72" s="160"/>
      <c r="H72" s="160"/>
    </row>
    <row r="73" spans="2:8" s="10" customFormat="1" ht="9" customHeight="1" x14ac:dyDescent="0.3">
      <c r="B73" s="1"/>
      <c r="C73" s="1"/>
      <c r="D73" s="2"/>
      <c r="E73" s="2"/>
      <c r="F73" s="2"/>
      <c r="G73" s="2"/>
      <c r="H73" s="2"/>
    </row>
    <row r="74" spans="2:8" ht="95.25" customHeight="1" x14ac:dyDescent="0.9">
      <c r="B74" s="47">
        <f>YEAR(DATE(Calendar4Year,Calendar4MonthOption+1,1))</f>
        <v>2025</v>
      </c>
      <c r="C74" s="157" t="str">
        <f>TEXT(DATE(Calendar4Year,Calendar4MonthOption+1,1),"mmmm")</f>
        <v>December</v>
      </c>
      <c r="D74" s="157"/>
      <c r="E74" s="44"/>
      <c r="F74" s="45"/>
      <c r="G74" s="45"/>
      <c r="H74" s="46"/>
    </row>
    <row r="75" spans="2:8" ht="9" customHeight="1" x14ac:dyDescent="0.3"/>
    <row r="76" spans="2:8" s="6" customFormat="1" ht="24" customHeight="1" x14ac:dyDescent="0.35">
      <c r="B76" s="49" t="str">
        <f t="shared" ref="B76:G76" si="3">TEXT(B77,"dddd")</f>
        <v>Sunday</v>
      </c>
      <c r="C76" s="50" t="str">
        <f t="shared" si="3"/>
        <v>Monday</v>
      </c>
      <c r="D76" s="49" t="str">
        <f t="shared" si="3"/>
        <v>Tuesday</v>
      </c>
      <c r="E76" s="50" t="str">
        <f t="shared" si="3"/>
        <v>Wednesday</v>
      </c>
      <c r="F76" s="49" t="str">
        <f t="shared" si="3"/>
        <v>Thursday</v>
      </c>
      <c r="G76" s="50" t="str">
        <f t="shared" si="3"/>
        <v>Friday</v>
      </c>
      <c r="H76" s="49" t="str">
        <f>TEXT(H77,"dddd")</f>
        <v>Saturday</v>
      </c>
    </row>
    <row r="77" spans="2:8" s="9" customFormat="1" ht="24" customHeight="1" x14ac:dyDescent="0.35">
      <c r="B77" s="31">
        <f t="array" ref="B77:H77">Days+1+DATE(Calendar5Year,Calendar5MonthOption,1)-WEEKDAY(DATE(Calendar5Year,Calendar5MonthOption,1),WeekdayOption)</f>
        <v>45991</v>
      </c>
      <c r="C77" s="29">
        <v>45992</v>
      </c>
      <c r="D77" s="29">
        <v>45993</v>
      </c>
      <c r="E77" s="29">
        <v>45994</v>
      </c>
      <c r="F77" s="29">
        <v>45995</v>
      </c>
      <c r="G77" s="29">
        <v>45996</v>
      </c>
      <c r="H77" s="31">
        <v>45997</v>
      </c>
    </row>
    <row r="78" spans="2:8" s="8" customFormat="1" ht="51" customHeight="1" x14ac:dyDescent="0.3">
      <c r="B78" s="55"/>
      <c r="C78" s="97"/>
      <c r="D78" s="97"/>
      <c r="E78" s="97"/>
      <c r="F78" s="97"/>
      <c r="G78" s="97"/>
      <c r="H78" s="55"/>
    </row>
    <row r="79" spans="2:8" s="9" customFormat="1" ht="24" customHeight="1" x14ac:dyDescent="0.35">
      <c r="B79" s="32">
        <f t="array" ref="B79:H79">Days+8+DATE(Calendar5Year,Calendar5MonthOption,1)-WEEKDAY(DATE(Calendar5Year,Calendar5MonthOption,1),WeekdayOption)</f>
        <v>45998</v>
      </c>
      <c r="C79" s="30">
        <v>45999</v>
      </c>
      <c r="D79" s="30">
        <v>46000</v>
      </c>
      <c r="E79" s="30">
        <v>46001</v>
      </c>
      <c r="F79" s="30">
        <v>46002</v>
      </c>
      <c r="G79" s="30">
        <v>46003</v>
      </c>
      <c r="H79" s="32">
        <v>46004</v>
      </c>
    </row>
    <row r="80" spans="2:8" s="8" customFormat="1" ht="51" customHeight="1" x14ac:dyDescent="0.3">
      <c r="B80" s="55"/>
      <c r="C80" s="97"/>
      <c r="D80" s="97"/>
      <c r="E80" s="97"/>
      <c r="F80" s="97"/>
      <c r="G80" s="97"/>
      <c r="H80" s="55"/>
    </row>
    <row r="81" spans="2:8" s="9" customFormat="1" ht="24" customHeight="1" x14ac:dyDescent="0.35">
      <c r="B81" s="32">
        <f t="array" ref="B81:H81">Days+15+DATE(Calendar5Year,Calendar5MonthOption,1)-WEEKDAY(DATE(Calendar5Year,Calendar5MonthOption,1),WeekdayOption)</f>
        <v>46005</v>
      </c>
      <c r="C81" s="30">
        <v>46006</v>
      </c>
      <c r="D81" s="30">
        <v>46007</v>
      </c>
      <c r="E81" s="30">
        <v>46008</v>
      </c>
      <c r="F81" s="30">
        <v>46009</v>
      </c>
      <c r="G81" s="30">
        <v>46010</v>
      </c>
      <c r="H81" s="32">
        <v>46011</v>
      </c>
    </row>
    <row r="82" spans="2:8" s="8" customFormat="1" ht="51" customHeight="1" x14ac:dyDescent="0.3">
      <c r="B82" s="55"/>
      <c r="C82" s="97"/>
      <c r="D82" s="97"/>
      <c r="E82" s="97"/>
      <c r="F82" s="97"/>
      <c r="G82" s="97"/>
      <c r="H82" s="55"/>
    </row>
    <row r="83" spans="2:8" s="9" customFormat="1" ht="24" customHeight="1" x14ac:dyDescent="0.35">
      <c r="B83" s="32">
        <f t="array" ref="B83:H83">Days+22+DATE(Calendar5Year,Calendar5MonthOption,1)-WEEKDAY(DATE(Calendar5Year,Calendar5MonthOption,1),WeekdayOption)</f>
        <v>46012</v>
      </c>
      <c r="C83" s="30">
        <v>46013</v>
      </c>
      <c r="D83" s="30">
        <v>46014</v>
      </c>
      <c r="E83" s="30">
        <v>46015</v>
      </c>
      <c r="F83" s="30">
        <v>46016</v>
      </c>
      <c r="G83" s="30">
        <v>46017</v>
      </c>
      <c r="H83" s="32">
        <v>46018</v>
      </c>
    </row>
    <row r="84" spans="2:8" s="8" customFormat="1" ht="51" customHeight="1" x14ac:dyDescent="0.3">
      <c r="B84" s="55"/>
      <c r="C84" s="97" t="s">
        <v>8</v>
      </c>
      <c r="D84" s="97" t="s">
        <v>8</v>
      </c>
      <c r="E84" s="97" t="s">
        <v>8</v>
      </c>
      <c r="F84" s="97" t="s">
        <v>8</v>
      </c>
      <c r="G84" s="97" t="s">
        <v>8</v>
      </c>
      <c r="H84" s="55"/>
    </row>
    <row r="85" spans="2:8" s="9" customFormat="1" ht="24" customHeight="1" x14ac:dyDescent="0.35">
      <c r="B85" s="32">
        <f t="array" ref="B85:H85">Days+29+DATE(Calendar5Year,Calendar5MonthOption,1)-WEEKDAY(DATE(Calendar5Year,Calendar5MonthOption,1),WeekdayOption)</f>
        <v>46019</v>
      </c>
      <c r="C85" s="30">
        <v>46020</v>
      </c>
      <c r="D85" s="30">
        <v>46021</v>
      </c>
      <c r="E85" s="30">
        <v>46022</v>
      </c>
      <c r="F85" s="30">
        <v>46023</v>
      </c>
      <c r="G85" s="30">
        <v>46024</v>
      </c>
      <c r="H85" s="32">
        <v>46025</v>
      </c>
    </row>
    <row r="86" spans="2:8" s="8" customFormat="1" ht="51" customHeight="1" x14ac:dyDescent="0.3">
      <c r="B86" s="55"/>
      <c r="C86" s="97" t="s">
        <v>8</v>
      </c>
      <c r="D86" s="97" t="s">
        <v>8</v>
      </c>
      <c r="E86" s="97" t="s">
        <v>8</v>
      </c>
      <c r="F86" s="153"/>
      <c r="G86" s="153"/>
      <c r="H86" s="55"/>
    </row>
    <row r="87" spans="2:8" s="9" customFormat="1" ht="24" customHeight="1" x14ac:dyDescent="0.35">
      <c r="B87" s="31">
        <f t="array" ref="B87:C87">Days+36+DATE(Calendar5Year,Calendar5MonthOption,1)-WEEKDAY(DATE(Calendar5Year,Calendar5MonthOption,1),WeekdayOption)</f>
        <v>46026</v>
      </c>
      <c r="C87" s="29">
        <v>46027</v>
      </c>
      <c r="D87" s="158" t="s">
        <v>7</v>
      </c>
      <c r="E87" s="159"/>
      <c r="F87" s="159"/>
      <c r="G87" s="159"/>
      <c r="H87" s="159"/>
    </row>
    <row r="88" spans="2:8" s="8" customFormat="1" ht="51" customHeight="1" x14ac:dyDescent="0.3">
      <c r="B88" s="81"/>
      <c r="C88" s="153"/>
      <c r="D88" s="160"/>
      <c r="E88" s="160"/>
      <c r="F88" s="160"/>
      <c r="G88" s="160"/>
      <c r="H88" s="160"/>
    </row>
    <row r="89" spans="2:8" s="10" customFormat="1" ht="9" customHeight="1" x14ac:dyDescent="0.3">
      <c r="B89" s="1"/>
      <c r="C89" s="1"/>
      <c r="D89" s="2"/>
      <c r="E89" s="2"/>
      <c r="F89" s="2"/>
      <c r="G89" s="2"/>
      <c r="H89" s="2"/>
    </row>
    <row r="90" spans="2:8" ht="95.25" customHeight="1" x14ac:dyDescent="0.9">
      <c r="B90" s="47">
        <f>YEAR(DATE(Calendar5Year,Calendar5MonthOption+1,1))</f>
        <v>2026</v>
      </c>
      <c r="C90" s="157" t="str">
        <f>TEXT(DATE(Calendar5Year,Calendar5MonthOption+1,1),"mmmm")</f>
        <v>January</v>
      </c>
      <c r="D90" s="157"/>
      <c r="E90" s="44"/>
      <c r="F90" s="45"/>
      <c r="G90" s="45"/>
      <c r="H90" s="46"/>
    </row>
    <row r="91" spans="2:8" ht="9" customHeight="1" x14ac:dyDescent="0.3"/>
    <row r="92" spans="2:8" s="6" customFormat="1" ht="24" customHeight="1" x14ac:dyDescent="0.35">
      <c r="B92" s="49" t="str">
        <f t="shared" ref="B92:H92" si="4">TEXT(B93,"dddd")</f>
        <v>Sunday</v>
      </c>
      <c r="C92" s="50" t="str">
        <f t="shared" si="4"/>
        <v>Monday</v>
      </c>
      <c r="D92" s="49" t="str">
        <f t="shared" si="4"/>
        <v>Tuesday</v>
      </c>
      <c r="E92" s="50" t="str">
        <f t="shared" si="4"/>
        <v>Wednesday</v>
      </c>
      <c r="F92" s="49" t="str">
        <f t="shared" si="4"/>
        <v>Thursday</v>
      </c>
      <c r="G92" s="50" t="str">
        <f t="shared" si="4"/>
        <v>Friday</v>
      </c>
      <c r="H92" s="49" t="str">
        <f t="shared" si="4"/>
        <v>Saturday</v>
      </c>
    </row>
    <row r="93" spans="2:8" s="9" customFormat="1" ht="24" customHeight="1" x14ac:dyDescent="0.35">
      <c r="B93" s="31">
        <f t="array" ref="B93:H93">Days+1+DATE(Calendar6Year,Calendar6MonthOption,1)-WEEKDAY(DATE(Calendar6Year,Calendar6MonthOption,1),WeekdayOption)</f>
        <v>46019</v>
      </c>
      <c r="C93" s="29">
        <v>46020</v>
      </c>
      <c r="D93" s="29">
        <v>46021</v>
      </c>
      <c r="E93" s="29">
        <v>46022</v>
      </c>
      <c r="F93" s="29">
        <v>46023</v>
      </c>
      <c r="G93" s="29">
        <v>46024</v>
      </c>
      <c r="H93" s="31">
        <v>46025</v>
      </c>
    </row>
    <row r="94" spans="2:8" s="8" customFormat="1" ht="51" customHeight="1" x14ac:dyDescent="0.3">
      <c r="B94" s="55"/>
      <c r="C94" s="153"/>
      <c r="D94" s="153"/>
      <c r="E94" s="153"/>
      <c r="F94" s="97" t="s">
        <v>8</v>
      </c>
      <c r="G94" s="97" t="s">
        <v>8</v>
      </c>
      <c r="H94" s="55"/>
    </row>
    <row r="95" spans="2:8" s="9" customFormat="1" ht="24" customHeight="1" x14ac:dyDescent="0.35">
      <c r="B95" s="32">
        <f t="array" ref="B95:H95">Days+8+DATE(Calendar6Year,Calendar6MonthOption,1)-WEEKDAY(DATE(Calendar6Year,Calendar6MonthOption,1),WeekdayOption)</f>
        <v>46026</v>
      </c>
      <c r="C95" s="30">
        <v>46027</v>
      </c>
      <c r="D95" s="30">
        <v>46028</v>
      </c>
      <c r="E95" s="30">
        <v>46029</v>
      </c>
      <c r="F95" s="30">
        <v>46030</v>
      </c>
      <c r="G95" s="30">
        <v>46031</v>
      </c>
      <c r="H95" s="32">
        <v>46032</v>
      </c>
    </row>
    <row r="96" spans="2:8" s="8" customFormat="1" ht="51" customHeight="1" x14ac:dyDescent="0.3">
      <c r="B96" s="55"/>
      <c r="C96" s="97"/>
      <c r="D96" s="97"/>
      <c r="E96" s="97"/>
      <c r="F96" s="97"/>
      <c r="G96" s="97"/>
      <c r="H96" s="55"/>
    </row>
    <row r="97" spans="2:8" s="9" customFormat="1" ht="24" customHeight="1" x14ac:dyDescent="0.35">
      <c r="B97" s="32">
        <f t="array" ref="B97:H97">Days+15+DATE(Calendar6Year,Calendar6MonthOption,1)-WEEKDAY(DATE(Calendar6Year,Calendar6MonthOption,1),WeekdayOption)</f>
        <v>46033</v>
      </c>
      <c r="C97" s="30">
        <v>46034</v>
      </c>
      <c r="D97" s="30">
        <v>46035</v>
      </c>
      <c r="E97" s="30">
        <v>46036</v>
      </c>
      <c r="F97" s="30">
        <v>46037</v>
      </c>
      <c r="G97" s="30">
        <v>46038</v>
      </c>
      <c r="H97" s="32">
        <v>46039</v>
      </c>
    </row>
    <row r="98" spans="2:8" s="8" customFormat="1" ht="51" customHeight="1" x14ac:dyDescent="0.3">
      <c r="B98" s="55"/>
      <c r="C98" s="97"/>
      <c r="D98" s="97"/>
      <c r="E98" s="97"/>
      <c r="F98" s="97"/>
      <c r="G98" s="97"/>
      <c r="H98" s="55"/>
    </row>
    <row r="99" spans="2:8" s="9" customFormat="1" ht="24" customHeight="1" x14ac:dyDescent="0.35">
      <c r="B99" s="32">
        <f t="array" ref="B99:H99">Days+22+DATE(Calendar6Year,Calendar6MonthOption,1)-WEEKDAY(DATE(Calendar6Year,Calendar6MonthOption,1),WeekdayOption)</f>
        <v>46040</v>
      </c>
      <c r="C99" s="30">
        <v>46041</v>
      </c>
      <c r="D99" s="30">
        <v>46042</v>
      </c>
      <c r="E99" s="30">
        <v>46043</v>
      </c>
      <c r="F99" s="30">
        <v>46044</v>
      </c>
      <c r="G99" s="30">
        <v>46045</v>
      </c>
      <c r="H99" s="32">
        <v>46046</v>
      </c>
    </row>
    <row r="100" spans="2:8" s="8" customFormat="1" ht="51" customHeight="1" x14ac:dyDescent="0.3">
      <c r="B100" s="55"/>
      <c r="C100" s="97"/>
      <c r="D100" s="97"/>
      <c r="E100" s="97"/>
      <c r="F100" s="97"/>
      <c r="G100" s="97"/>
      <c r="H100" s="55"/>
    </row>
    <row r="101" spans="2:8" s="9" customFormat="1" ht="24" customHeight="1" x14ac:dyDescent="0.35">
      <c r="B101" s="32">
        <f t="array" ref="B101:H101">Days+29+DATE(Calendar6Year,Calendar6MonthOption,1)-WEEKDAY(DATE(Calendar6Year,Calendar6MonthOption,1),WeekdayOption)</f>
        <v>46047</v>
      </c>
      <c r="C101" s="30">
        <v>46048</v>
      </c>
      <c r="D101" s="30">
        <v>46049</v>
      </c>
      <c r="E101" s="30">
        <v>46050</v>
      </c>
      <c r="F101" s="30">
        <v>46051</v>
      </c>
      <c r="G101" s="30">
        <v>46052</v>
      </c>
      <c r="H101" s="32">
        <v>46053</v>
      </c>
    </row>
    <row r="102" spans="2:8" s="8" customFormat="1" ht="51" customHeight="1" x14ac:dyDescent="0.3">
      <c r="B102" s="55"/>
      <c r="C102" s="97"/>
      <c r="D102" s="97"/>
      <c r="E102" s="97"/>
      <c r="F102" s="97"/>
      <c r="G102" s="97"/>
      <c r="H102" s="55"/>
    </row>
    <row r="103" spans="2:8" s="9" customFormat="1" ht="24" customHeight="1" x14ac:dyDescent="0.35">
      <c r="B103" s="31">
        <f t="array" ref="B103:C103">Days+36+DATE(Calendar6Year,Calendar6MonthOption,1)-WEEKDAY(DATE(Calendar6Year,Calendar6MonthOption,1),WeekdayOption)</f>
        <v>46054</v>
      </c>
      <c r="C103" s="29">
        <v>46055</v>
      </c>
      <c r="D103" s="158" t="s">
        <v>7</v>
      </c>
      <c r="E103" s="159"/>
      <c r="F103" s="159"/>
      <c r="G103" s="159"/>
      <c r="H103" s="159"/>
    </row>
    <row r="104" spans="2:8" s="8" customFormat="1" ht="51" customHeight="1" x14ac:dyDescent="0.3">
      <c r="B104" s="81"/>
      <c r="C104" s="153"/>
      <c r="D104" s="160"/>
      <c r="E104" s="160"/>
      <c r="F104" s="160"/>
      <c r="G104" s="160"/>
      <c r="H104" s="160"/>
    </row>
    <row r="105" spans="2:8" s="10" customFormat="1" ht="9" customHeight="1" x14ac:dyDescent="0.3">
      <c r="B105" s="1"/>
      <c r="C105" s="1"/>
      <c r="D105" s="2"/>
      <c r="E105" s="2"/>
      <c r="F105" s="2"/>
      <c r="G105" s="2"/>
      <c r="H105" s="2"/>
    </row>
    <row r="106" spans="2:8" ht="95.25" customHeight="1" x14ac:dyDescent="0.9">
      <c r="B106" s="47">
        <f>YEAR(DATE(Calendar6Year,Calendar6MonthOption+1,1))</f>
        <v>2026</v>
      </c>
      <c r="C106" s="157" t="str">
        <f>TEXT(DATE(Calendar6Year,Calendar6MonthOption+1,1),"mmmm")</f>
        <v>February</v>
      </c>
      <c r="D106" s="157"/>
      <c r="E106" s="44"/>
      <c r="F106" s="45"/>
      <c r="G106" s="45"/>
      <c r="H106" s="46"/>
    </row>
    <row r="107" spans="2:8" ht="9" customHeight="1" x14ac:dyDescent="0.3"/>
    <row r="108" spans="2:8" s="6" customFormat="1" ht="24" customHeight="1" x14ac:dyDescent="0.35">
      <c r="B108" s="49" t="str">
        <f t="shared" ref="B108:H108" si="5">TEXT(B109,"dddd")</f>
        <v>Sunday</v>
      </c>
      <c r="C108" s="50" t="str">
        <f t="shared" si="5"/>
        <v>Monday</v>
      </c>
      <c r="D108" s="49" t="str">
        <f t="shared" si="5"/>
        <v>Tuesday</v>
      </c>
      <c r="E108" s="50" t="str">
        <f t="shared" si="5"/>
        <v>Wednesday</v>
      </c>
      <c r="F108" s="49" t="str">
        <f t="shared" si="5"/>
        <v>Thursday</v>
      </c>
      <c r="G108" s="50" t="str">
        <f t="shared" si="5"/>
        <v>Friday</v>
      </c>
      <c r="H108" s="49" t="str">
        <f t="shared" si="5"/>
        <v>Saturday</v>
      </c>
    </row>
    <row r="109" spans="2:8" s="9" customFormat="1" ht="24" customHeight="1" x14ac:dyDescent="0.35">
      <c r="B109" s="3">
        <f t="array" ref="B109:H109">Days+1+DATE(Calendar7Year,Calendar7MonthOption,1)-WEEKDAY(DATE(Calendar7Year,Calendar7MonthOption,1),WeekdayOption)</f>
        <v>46054</v>
      </c>
      <c r="C109" s="29">
        <v>46055</v>
      </c>
      <c r="D109" s="29">
        <v>46056</v>
      </c>
      <c r="E109" s="29">
        <v>46057</v>
      </c>
      <c r="F109" s="29">
        <v>46058</v>
      </c>
      <c r="G109" s="29">
        <v>46059</v>
      </c>
      <c r="H109" s="31">
        <v>46060</v>
      </c>
    </row>
    <row r="110" spans="2:8" s="8" customFormat="1" ht="51" customHeight="1" x14ac:dyDescent="0.3">
      <c r="B110" s="81"/>
      <c r="C110" s="97"/>
      <c r="D110" s="97"/>
      <c r="E110" s="97"/>
      <c r="F110" s="97"/>
      <c r="G110" s="97"/>
      <c r="H110" s="81"/>
    </row>
    <row r="111" spans="2:8" s="9" customFormat="1" ht="24" customHeight="1" x14ac:dyDescent="0.35">
      <c r="B111" s="32">
        <f t="array" ref="B111:H111">Days+8+DATE(Calendar7Year,Calendar7MonthOption,1)-WEEKDAY(DATE(Calendar7Year,Calendar7MonthOption,1),WeekdayOption)</f>
        <v>46061</v>
      </c>
      <c r="C111" s="30">
        <v>46062</v>
      </c>
      <c r="D111" s="30">
        <v>46063</v>
      </c>
      <c r="E111" s="30">
        <v>46064</v>
      </c>
      <c r="F111" s="30">
        <v>46065</v>
      </c>
      <c r="G111" s="30">
        <v>46066</v>
      </c>
      <c r="H111" s="32">
        <v>46067</v>
      </c>
    </row>
    <row r="112" spans="2:8" s="8" customFormat="1" ht="51" customHeight="1" x14ac:dyDescent="0.3">
      <c r="B112" s="55"/>
      <c r="C112" s="97"/>
      <c r="D112" s="97"/>
      <c r="E112" s="97"/>
      <c r="F112" s="97"/>
      <c r="G112" s="97"/>
      <c r="H112" s="55"/>
    </row>
    <row r="113" spans="2:8" s="9" customFormat="1" ht="24" customHeight="1" x14ac:dyDescent="0.35">
      <c r="B113" s="32">
        <f t="array" ref="B113:H113">Days+15+DATE(Calendar7Year,Calendar7MonthOption,1)-WEEKDAY(DATE(Calendar7Year,Calendar7MonthOption,1),WeekdayOption)</f>
        <v>46068</v>
      </c>
      <c r="C113" s="30">
        <v>46069</v>
      </c>
      <c r="D113" s="30">
        <v>46070</v>
      </c>
      <c r="E113" s="30">
        <v>46071</v>
      </c>
      <c r="F113" s="30">
        <v>46072</v>
      </c>
      <c r="G113" s="30">
        <v>46073</v>
      </c>
      <c r="H113" s="32">
        <v>46074</v>
      </c>
    </row>
    <row r="114" spans="2:8" s="8" customFormat="1" ht="51" customHeight="1" x14ac:dyDescent="0.3">
      <c r="B114" s="55"/>
      <c r="C114" s="97" t="s">
        <v>8</v>
      </c>
      <c r="D114" s="97"/>
      <c r="E114" s="97"/>
      <c r="F114" s="97"/>
      <c r="G114" s="97"/>
      <c r="H114" s="55"/>
    </row>
    <row r="115" spans="2:8" s="9" customFormat="1" ht="24" customHeight="1" x14ac:dyDescent="0.35">
      <c r="B115" s="32">
        <f t="array" ref="B115:H115">Days+22+DATE(Calendar7Year,Calendar7MonthOption,1)-WEEKDAY(DATE(Calendar7Year,Calendar7MonthOption,1),WeekdayOption)</f>
        <v>46075</v>
      </c>
      <c r="C115" s="30">
        <v>46076</v>
      </c>
      <c r="D115" s="30">
        <v>46077</v>
      </c>
      <c r="E115" s="30">
        <v>46078</v>
      </c>
      <c r="F115" s="30">
        <v>46079</v>
      </c>
      <c r="G115" s="30">
        <v>46080</v>
      </c>
      <c r="H115" s="32">
        <v>46081</v>
      </c>
    </row>
    <row r="116" spans="2:8" s="8" customFormat="1" ht="51" customHeight="1" x14ac:dyDescent="0.3">
      <c r="B116" s="55"/>
      <c r="C116" s="97"/>
      <c r="D116" s="97"/>
      <c r="E116" s="97"/>
      <c r="F116" s="97"/>
      <c r="G116" s="97"/>
      <c r="H116" s="55"/>
    </row>
    <row r="117" spans="2:8" s="9" customFormat="1" ht="24" customHeight="1" x14ac:dyDescent="0.35">
      <c r="B117" s="32">
        <f t="array" ref="B117:H117">Days+29+DATE(Calendar7Year,Calendar7MonthOption,1)-WEEKDAY(DATE(Calendar7Year,Calendar7MonthOption,1),WeekdayOption)</f>
        <v>46082</v>
      </c>
      <c r="C117" s="30">
        <v>46083</v>
      </c>
      <c r="D117" s="30">
        <v>46084</v>
      </c>
      <c r="E117" s="30">
        <v>46085</v>
      </c>
      <c r="F117" s="30">
        <v>46086</v>
      </c>
      <c r="G117" s="30">
        <v>46087</v>
      </c>
      <c r="H117" s="32">
        <v>46088</v>
      </c>
    </row>
    <row r="118" spans="2:8" s="8" customFormat="1" ht="51" customHeight="1" x14ac:dyDescent="0.3">
      <c r="B118" s="55"/>
      <c r="C118" s="97"/>
      <c r="D118" s="97"/>
      <c r="E118" s="97"/>
      <c r="F118" s="97"/>
      <c r="G118" s="97"/>
      <c r="H118" s="55"/>
    </row>
    <row r="119" spans="2:8" s="9" customFormat="1" ht="24" customHeight="1" x14ac:dyDescent="0.35">
      <c r="B119" s="31">
        <f t="array" ref="B119:C119">Days+36+DATE(Calendar7Year,Calendar7MonthOption,1)-WEEKDAY(DATE(Calendar7Year,Calendar7MonthOption,1),WeekdayOption)</f>
        <v>46089</v>
      </c>
      <c r="C119" s="29">
        <v>46090</v>
      </c>
      <c r="D119" s="158" t="s">
        <v>7</v>
      </c>
      <c r="E119" s="159"/>
      <c r="F119" s="159"/>
      <c r="G119" s="159"/>
      <c r="H119" s="159"/>
    </row>
    <row r="120" spans="2:8" s="8" customFormat="1" ht="51" customHeight="1" x14ac:dyDescent="0.3">
      <c r="B120" s="81"/>
      <c r="C120" s="153"/>
      <c r="D120" s="160"/>
      <c r="E120" s="160"/>
      <c r="F120" s="160"/>
      <c r="G120" s="160"/>
      <c r="H120" s="160"/>
    </row>
    <row r="121" spans="2:8" s="10" customFormat="1" ht="9" customHeight="1" x14ac:dyDescent="0.3">
      <c r="B121" s="1"/>
      <c r="C121" s="1"/>
      <c r="D121" s="2"/>
      <c r="E121" s="2"/>
      <c r="F121" s="2"/>
      <c r="G121" s="2"/>
      <c r="H121" s="2"/>
    </row>
    <row r="122" spans="2:8" ht="95.25" customHeight="1" x14ac:dyDescent="0.9">
      <c r="B122" s="47">
        <f>YEAR(DATE(Calendar7Year,Calendar7MonthOption+1,1))</f>
        <v>2026</v>
      </c>
      <c r="C122" s="157" t="str">
        <f>TEXT(DATE(Calendar7Year,Calendar7MonthOption+1,1),"mmmm")</f>
        <v>March</v>
      </c>
      <c r="D122" s="157"/>
      <c r="E122" s="44"/>
      <c r="F122" s="45"/>
      <c r="G122" s="45"/>
      <c r="H122" s="46"/>
    </row>
    <row r="123" spans="2:8" ht="9" customHeight="1" x14ac:dyDescent="0.3"/>
    <row r="124" spans="2:8" s="6" customFormat="1" ht="24" customHeight="1" x14ac:dyDescent="0.35">
      <c r="B124" s="49" t="str">
        <f t="shared" ref="B124:H124" si="6">TEXT(B125,"dddd")</f>
        <v>Sunday</v>
      </c>
      <c r="C124" s="50" t="str">
        <f t="shared" si="6"/>
        <v>Monday</v>
      </c>
      <c r="D124" s="49" t="str">
        <f t="shared" si="6"/>
        <v>Tuesday</v>
      </c>
      <c r="E124" s="50" t="str">
        <f t="shared" si="6"/>
        <v>Wednesday</v>
      </c>
      <c r="F124" s="49" t="str">
        <f t="shared" si="6"/>
        <v>Thursday</v>
      </c>
      <c r="G124" s="50" t="str">
        <f t="shared" si="6"/>
        <v>Friday</v>
      </c>
      <c r="H124" s="49" t="str">
        <f t="shared" si="6"/>
        <v>Saturday</v>
      </c>
    </row>
    <row r="125" spans="2:8" s="9" customFormat="1" ht="24" customHeight="1" x14ac:dyDescent="0.35">
      <c r="B125" s="33">
        <f t="array" ref="B125:H125">Days+1+DATE(Calendar8Year,Calendar8MonthOption,1)-WEEKDAY(DATE(Calendar8Year,Calendar8MonthOption,1),WeekdayOption)</f>
        <v>46082</v>
      </c>
      <c r="C125" s="12">
        <v>46083</v>
      </c>
      <c r="D125" s="12">
        <v>46084</v>
      </c>
      <c r="E125" s="12">
        <v>46085</v>
      </c>
      <c r="F125" s="12">
        <v>46086</v>
      </c>
      <c r="G125" s="12">
        <v>46087</v>
      </c>
      <c r="H125" s="35">
        <v>46088</v>
      </c>
    </row>
    <row r="126" spans="2:8" s="8" customFormat="1" ht="51" customHeight="1" x14ac:dyDescent="0.3">
      <c r="B126" s="83"/>
      <c r="C126" s="97"/>
      <c r="D126" s="97"/>
      <c r="E126" s="97"/>
      <c r="F126" s="97"/>
      <c r="G126" s="97"/>
      <c r="H126" s="84"/>
    </row>
    <row r="127" spans="2:8" s="9" customFormat="1" ht="24" customHeight="1" x14ac:dyDescent="0.35">
      <c r="B127" s="34">
        <f t="array" ref="B127:H127">Days+8+DATE(Calendar8Year,Calendar8MonthOption,1)-WEEKDAY(DATE(Calendar8Year,Calendar8MonthOption,1),WeekdayOption)</f>
        <v>46089</v>
      </c>
      <c r="C127" s="11">
        <v>46090</v>
      </c>
      <c r="D127" s="11">
        <v>46091</v>
      </c>
      <c r="E127" s="11">
        <v>46092</v>
      </c>
      <c r="F127" s="11">
        <v>46093</v>
      </c>
      <c r="G127" s="11">
        <v>46094</v>
      </c>
      <c r="H127" s="36">
        <v>46095</v>
      </c>
    </row>
    <row r="128" spans="2:8" s="8" customFormat="1" ht="51" customHeight="1" x14ac:dyDescent="0.3">
      <c r="B128" s="83"/>
      <c r="C128" s="97"/>
      <c r="D128" s="97"/>
      <c r="E128" s="97"/>
      <c r="F128" s="97"/>
      <c r="G128" s="97"/>
      <c r="H128" s="84"/>
    </row>
    <row r="129" spans="2:8" s="9" customFormat="1" ht="24" customHeight="1" x14ac:dyDescent="0.35">
      <c r="B129" s="34">
        <f t="array" ref="B129:H129">Days+15+DATE(Calendar8Year,Calendar8MonthOption,1)-WEEKDAY(DATE(Calendar8Year,Calendar8MonthOption,1),WeekdayOption)</f>
        <v>46096</v>
      </c>
      <c r="C129" s="11">
        <v>46097</v>
      </c>
      <c r="D129" s="11">
        <v>46098</v>
      </c>
      <c r="E129" s="11">
        <v>46099</v>
      </c>
      <c r="F129" s="11">
        <v>46100</v>
      </c>
      <c r="G129" s="11">
        <v>46101</v>
      </c>
      <c r="H129" s="36">
        <v>46102</v>
      </c>
    </row>
    <row r="130" spans="2:8" s="8" customFormat="1" ht="51" customHeight="1" x14ac:dyDescent="0.3">
      <c r="B130" s="83"/>
      <c r="C130" s="97"/>
      <c r="D130" s="97"/>
      <c r="E130" s="97"/>
      <c r="F130" s="97"/>
      <c r="G130" s="97"/>
      <c r="H130" s="84"/>
    </row>
    <row r="131" spans="2:8" s="9" customFormat="1" ht="24" customHeight="1" x14ac:dyDescent="0.35">
      <c r="B131" s="34">
        <f t="array" ref="B131:H131">Days+22+DATE(Calendar8Year,Calendar8MonthOption,1)-WEEKDAY(DATE(Calendar8Year,Calendar8MonthOption,1),WeekdayOption)</f>
        <v>46103</v>
      </c>
      <c r="C131" s="11">
        <v>46104</v>
      </c>
      <c r="D131" s="11">
        <v>46105</v>
      </c>
      <c r="E131" s="11">
        <v>46106</v>
      </c>
      <c r="F131" s="11">
        <v>46107</v>
      </c>
      <c r="G131" s="11">
        <v>46108</v>
      </c>
      <c r="H131" s="36">
        <v>46109</v>
      </c>
    </row>
    <row r="132" spans="2:8" s="8" customFormat="1" ht="51" customHeight="1" x14ac:dyDescent="0.3">
      <c r="B132" s="83"/>
      <c r="C132" s="97"/>
      <c r="D132" s="97"/>
      <c r="E132" s="97"/>
      <c r="F132" s="97"/>
      <c r="G132" s="97"/>
      <c r="H132" s="84"/>
    </row>
    <row r="133" spans="2:8" s="9" customFormat="1" ht="24" customHeight="1" x14ac:dyDescent="0.35">
      <c r="B133" s="34">
        <f t="array" ref="B133:H133">Days+29+DATE(Calendar8Year,Calendar8MonthOption,1)-WEEKDAY(DATE(Calendar8Year,Calendar8MonthOption,1),WeekdayOption)</f>
        <v>46110</v>
      </c>
      <c r="C133" s="11">
        <v>46111</v>
      </c>
      <c r="D133" s="11">
        <v>46112</v>
      </c>
      <c r="E133" s="11">
        <v>46113</v>
      </c>
      <c r="F133" s="11">
        <v>46114</v>
      </c>
      <c r="G133" s="11">
        <v>46115</v>
      </c>
      <c r="H133" s="36">
        <v>46116</v>
      </c>
    </row>
    <row r="134" spans="2:8" s="8" customFormat="1" ht="51" customHeight="1" x14ac:dyDescent="0.3">
      <c r="B134" s="83"/>
      <c r="C134" s="97"/>
      <c r="D134" s="97"/>
      <c r="E134" s="85"/>
      <c r="F134" s="85"/>
      <c r="G134" s="85"/>
      <c r="H134" s="85"/>
    </row>
    <row r="135" spans="2:8" s="9" customFormat="1" ht="24" customHeight="1" x14ac:dyDescent="0.35">
      <c r="B135" s="34">
        <f t="array" ref="B135:C135">Days+36+DATE(Calendar8Year,Calendar8MonthOption,1)-WEEKDAY(DATE(Calendar8Year,Calendar8MonthOption,1),WeekdayOption)</f>
        <v>46117</v>
      </c>
      <c r="C135" s="11">
        <v>46118</v>
      </c>
      <c r="D135" s="165" t="s">
        <v>7</v>
      </c>
      <c r="E135" s="165"/>
      <c r="F135" s="165"/>
      <c r="G135" s="165"/>
      <c r="H135" s="165"/>
    </row>
    <row r="136" spans="2:8" s="8" customFormat="1" ht="51" customHeight="1" x14ac:dyDescent="0.3">
      <c r="B136" s="83"/>
      <c r="C136" s="85"/>
      <c r="D136" s="160"/>
      <c r="E136" s="160"/>
      <c r="F136" s="160"/>
      <c r="G136" s="160"/>
      <c r="H136" s="160"/>
    </row>
    <row r="137" spans="2:8" s="10" customFormat="1" ht="9" customHeight="1" x14ac:dyDescent="0.3">
      <c r="B137" s="1"/>
      <c r="C137" s="1"/>
      <c r="D137" s="2"/>
      <c r="E137" s="2"/>
      <c r="F137" s="2"/>
      <c r="G137" s="2"/>
      <c r="H137" s="2"/>
    </row>
    <row r="138" spans="2:8" ht="95.25" customHeight="1" x14ac:dyDescent="0.9">
      <c r="B138" s="47">
        <f>YEAR(DATE(Calendar7Year,Calendar7MonthOption+1,1))</f>
        <v>2026</v>
      </c>
      <c r="C138" s="157" t="str">
        <f>TEXT(DATE(Calendar8Year,Calendar8MonthOption+1,1),"mmmm")</f>
        <v>April</v>
      </c>
      <c r="D138" s="157"/>
      <c r="E138" s="44"/>
      <c r="F138" s="45"/>
      <c r="G138" s="45"/>
      <c r="H138" s="46"/>
    </row>
    <row r="139" spans="2:8" ht="9" customHeight="1" x14ac:dyDescent="0.3"/>
    <row r="140" spans="2:8" s="6" customFormat="1" ht="24" customHeight="1" x14ac:dyDescent="0.35">
      <c r="B140" s="49" t="str">
        <f t="shared" ref="B140:H140" si="7">TEXT(B141,"dddd")</f>
        <v>Sunday</v>
      </c>
      <c r="C140" s="50" t="str">
        <f t="shared" si="7"/>
        <v>Monday</v>
      </c>
      <c r="D140" s="49" t="str">
        <f t="shared" si="7"/>
        <v>Tuesday</v>
      </c>
      <c r="E140" s="50" t="str">
        <f t="shared" si="7"/>
        <v>Wednesday</v>
      </c>
      <c r="F140" s="49" t="str">
        <f t="shared" si="7"/>
        <v>Thursday</v>
      </c>
      <c r="G140" s="50" t="str">
        <f t="shared" si="7"/>
        <v>Friday</v>
      </c>
      <c r="H140" s="49" t="str">
        <f t="shared" si="7"/>
        <v>Saturday</v>
      </c>
    </row>
    <row r="141" spans="2:8" s="9" customFormat="1" ht="24" customHeight="1" x14ac:dyDescent="0.35">
      <c r="B141" s="31">
        <f t="array" ref="B141:H141">Days+1+DATE(Calendar9Year,Calendar9MonthOption,1)-WEEKDAY(DATE(Calendar9Year,Calendar9MonthOption,1),WeekdayOption)</f>
        <v>46110</v>
      </c>
      <c r="C141" s="29">
        <v>46111</v>
      </c>
      <c r="D141" s="29">
        <v>46112</v>
      </c>
      <c r="E141" s="29">
        <v>46113</v>
      </c>
      <c r="F141" s="29">
        <v>46114</v>
      </c>
      <c r="G141" s="29">
        <v>46115</v>
      </c>
      <c r="H141" s="31">
        <v>46116</v>
      </c>
    </row>
    <row r="142" spans="2:8" s="8" customFormat="1" ht="51" customHeight="1" x14ac:dyDescent="0.3">
      <c r="B142" s="81"/>
      <c r="C142" s="153"/>
      <c r="D142" s="153"/>
      <c r="E142" s="97"/>
      <c r="F142" s="97"/>
      <c r="G142" s="97" t="s">
        <v>8</v>
      </c>
      <c r="H142" s="81"/>
    </row>
    <row r="143" spans="2:8" s="9" customFormat="1" ht="24" customHeight="1" x14ac:dyDescent="0.35">
      <c r="B143" s="32">
        <f t="array" ref="B143:H143">Days+8+DATE(Calendar9Year,Calendar9MonthOption,1)-WEEKDAY(DATE(Calendar9Year,Calendar9MonthOption,1),WeekdayOption)</f>
        <v>46117</v>
      </c>
      <c r="C143" s="30">
        <v>46118</v>
      </c>
      <c r="D143" s="30">
        <v>46119</v>
      </c>
      <c r="E143" s="30">
        <v>46120</v>
      </c>
      <c r="F143" s="30">
        <v>46121</v>
      </c>
      <c r="G143" s="30">
        <v>46122</v>
      </c>
      <c r="H143" s="32">
        <v>46123</v>
      </c>
    </row>
    <row r="144" spans="2:8" s="8" customFormat="1" ht="51" customHeight="1" x14ac:dyDescent="0.3">
      <c r="B144" s="55"/>
      <c r="C144" s="97"/>
      <c r="D144" s="97"/>
      <c r="E144" s="97"/>
      <c r="F144" s="97"/>
      <c r="G144" s="97"/>
      <c r="H144" s="55"/>
    </row>
    <row r="145" spans="2:8" s="9" customFormat="1" ht="24" customHeight="1" x14ac:dyDescent="0.35">
      <c r="B145" s="32">
        <f t="array" ref="B145:H145">Days+15+DATE(Calendar9Year,Calendar9MonthOption,1)-WEEKDAY(DATE(Calendar9Year,Calendar9MonthOption,1),WeekdayOption)</f>
        <v>46124</v>
      </c>
      <c r="C145" s="30">
        <v>46125</v>
      </c>
      <c r="D145" s="30">
        <v>46126</v>
      </c>
      <c r="E145" s="30">
        <v>46127</v>
      </c>
      <c r="F145" s="30">
        <v>46128</v>
      </c>
      <c r="G145" s="30">
        <v>46129</v>
      </c>
      <c r="H145" s="32">
        <v>46130</v>
      </c>
    </row>
    <row r="146" spans="2:8" s="8" customFormat="1" ht="51" customHeight="1" x14ac:dyDescent="0.3">
      <c r="B146" s="55"/>
      <c r="C146" s="97"/>
      <c r="D146" s="97"/>
      <c r="E146" s="97"/>
      <c r="F146" s="97"/>
      <c r="G146" s="97"/>
      <c r="H146" s="55"/>
    </row>
    <row r="147" spans="2:8" s="9" customFormat="1" ht="24" customHeight="1" x14ac:dyDescent="0.35">
      <c r="B147" s="32">
        <f t="array" ref="B147:H147">Days+22+DATE(Calendar9Year,Calendar9MonthOption,1)-WEEKDAY(DATE(Calendar9Year,Calendar9MonthOption,1),WeekdayOption)</f>
        <v>46131</v>
      </c>
      <c r="C147" s="30">
        <v>46132</v>
      </c>
      <c r="D147" s="30">
        <v>46133</v>
      </c>
      <c r="E147" s="30">
        <v>46134</v>
      </c>
      <c r="F147" s="30">
        <v>46135</v>
      </c>
      <c r="G147" s="30">
        <v>46136</v>
      </c>
      <c r="H147" s="32">
        <v>46137</v>
      </c>
    </row>
    <row r="148" spans="2:8" s="8" customFormat="1" ht="51" customHeight="1" x14ac:dyDescent="0.3">
      <c r="B148" s="55"/>
      <c r="C148" s="97"/>
      <c r="D148" s="97"/>
      <c r="E148" s="97"/>
      <c r="F148" s="97"/>
      <c r="G148" s="97"/>
      <c r="H148" s="55"/>
    </row>
    <row r="149" spans="2:8" s="9" customFormat="1" ht="24" customHeight="1" x14ac:dyDescent="0.35">
      <c r="B149" s="32">
        <f t="array" ref="B149:H149">Days+29+DATE(Calendar9Year,Calendar9MonthOption,1)-WEEKDAY(DATE(Calendar9Year,Calendar9MonthOption,1),WeekdayOption)</f>
        <v>46138</v>
      </c>
      <c r="C149" s="30">
        <v>46139</v>
      </c>
      <c r="D149" s="30">
        <v>46140</v>
      </c>
      <c r="E149" s="30">
        <v>46141</v>
      </c>
      <c r="F149" s="30">
        <v>46142</v>
      </c>
      <c r="G149" s="30">
        <v>46143</v>
      </c>
      <c r="H149" s="32">
        <v>46144</v>
      </c>
    </row>
    <row r="150" spans="2:8" s="8" customFormat="1" ht="51" customHeight="1" x14ac:dyDescent="0.3">
      <c r="B150" s="55"/>
      <c r="C150" s="97"/>
      <c r="D150" s="97"/>
      <c r="E150" s="97"/>
      <c r="F150" s="97"/>
      <c r="G150" s="153"/>
      <c r="H150" s="55"/>
    </row>
    <row r="151" spans="2:8" s="9" customFormat="1" ht="24" customHeight="1" x14ac:dyDescent="0.35">
      <c r="B151" s="31">
        <f t="array" ref="B151:C151">Days+36+DATE(Calendar9Year,Calendar9MonthOption,1)-WEEKDAY(DATE(Calendar9Year,Calendar9MonthOption,1),WeekdayOption)</f>
        <v>46145</v>
      </c>
      <c r="C151" s="29">
        <v>46146</v>
      </c>
      <c r="D151" s="158" t="s">
        <v>7</v>
      </c>
      <c r="E151" s="159"/>
      <c r="F151" s="159"/>
      <c r="G151" s="159"/>
      <c r="H151" s="159"/>
    </row>
    <row r="152" spans="2:8" s="8" customFormat="1" ht="51" customHeight="1" x14ac:dyDescent="0.3">
      <c r="B152" s="81"/>
      <c r="C152" s="153"/>
      <c r="D152" s="160"/>
      <c r="E152" s="160"/>
      <c r="F152" s="160"/>
      <c r="G152" s="160"/>
      <c r="H152" s="160"/>
    </row>
    <row r="153" spans="2:8" s="10" customFormat="1" ht="9" customHeight="1" x14ac:dyDescent="0.3">
      <c r="B153" s="1"/>
      <c r="C153" s="1"/>
      <c r="D153" s="2"/>
      <c r="E153" s="2"/>
      <c r="F153" s="2"/>
      <c r="G153" s="2"/>
      <c r="H153" s="2"/>
    </row>
    <row r="154" spans="2:8" ht="95.25" customHeight="1" x14ac:dyDescent="0.9">
      <c r="B154" s="47">
        <f>YEAR(DATE(Calendar9Year,Calendar9MonthOption+1,1))</f>
        <v>2026</v>
      </c>
      <c r="C154" s="157" t="str">
        <f>TEXT(DATE(Calendar9Year,Calendar9MonthOption+1,1),"mmmm")</f>
        <v>May</v>
      </c>
      <c r="D154" s="157"/>
      <c r="E154" s="44"/>
      <c r="F154" s="45"/>
      <c r="G154" s="45"/>
      <c r="H154" s="46"/>
    </row>
    <row r="155" spans="2:8" ht="9" customHeight="1" x14ac:dyDescent="0.3"/>
    <row r="156" spans="2:8" s="6" customFormat="1" ht="24" customHeight="1" x14ac:dyDescent="0.35">
      <c r="B156" s="49" t="str">
        <f t="shared" ref="B156:H156" si="8">TEXT(B157,"dddd")</f>
        <v>Sunday</v>
      </c>
      <c r="C156" s="50" t="str">
        <f t="shared" si="8"/>
        <v>Monday</v>
      </c>
      <c r="D156" s="49" t="str">
        <f t="shared" si="8"/>
        <v>Tuesday</v>
      </c>
      <c r="E156" s="50" t="str">
        <f t="shared" si="8"/>
        <v>Wednesday</v>
      </c>
      <c r="F156" s="49" t="str">
        <f t="shared" si="8"/>
        <v>Thursday</v>
      </c>
      <c r="G156" s="50" t="str">
        <f t="shared" si="8"/>
        <v>Friday</v>
      </c>
      <c r="H156" s="49" t="str">
        <f t="shared" si="8"/>
        <v>Saturday</v>
      </c>
    </row>
    <row r="157" spans="2:8" s="9" customFormat="1" ht="24" customHeight="1" x14ac:dyDescent="0.35">
      <c r="B157" s="31">
        <f t="array" ref="B157:H157">Days+1+DATE(Calendar10Year,Calendar10MonthOption,1)-WEEKDAY(DATE(Calendar10Year,Calendar10MonthOption,1),WeekdayOption)</f>
        <v>46138</v>
      </c>
      <c r="C157" s="29">
        <v>46139</v>
      </c>
      <c r="D157" s="29">
        <v>46140</v>
      </c>
      <c r="E157" s="29">
        <v>46141</v>
      </c>
      <c r="F157" s="29">
        <v>46142</v>
      </c>
      <c r="G157" s="29">
        <v>46143</v>
      </c>
      <c r="H157" s="31">
        <v>46144</v>
      </c>
    </row>
    <row r="158" spans="2:8" s="8" customFormat="1" ht="51" customHeight="1" x14ac:dyDescent="0.3">
      <c r="B158" s="81"/>
      <c r="C158" s="153"/>
      <c r="D158" s="153"/>
      <c r="E158" s="153"/>
      <c r="F158" s="153"/>
      <c r="G158" s="97"/>
      <c r="H158" s="81"/>
    </row>
    <row r="159" spans="2:8" s="9" customFormat="1" ht="24" customHeight="1" x14ac:dyDescent="0.35">
      <c r="B159" s="32">
        <f t="array" ref="B159:H159">Days+8+DATE(Calendar10Year,Calendar10MonthOption,1)-WEEKDAY(DATE(Calendar10Year,Calendar10MonthOption,1),WeekdayOption)</f>
        <v>46145</v>
      </c>
      <c r="C159" s="30">
        <v>46146</v>
      </c>
      <c r="D159" s="30">
        <v>46147</v>
      </c>
      <c r="E159" s="30">
        <v>46148</v>
      </c>
      <c r="F159" s="30">
        <v>46149</v>
      </c>
      <c r="G159" s="30">
        <v>46150</v>
      </c>
      <c r="H159" s="32">
        <v>46151</v>
      </c>
    </row>
    <row r="160" spans="2:8" s="8" customFormat="1" ht="51" customHeight="1" x14ac:dyDescent="0.3">
      <c r="B160" s="55"/>
      <c r="C160" s="97"/>
      <c r="D160" s="97"/>
      <c r="E160" s="97"/>
      <c r="F160" s="97"/>
      <c r="G160" s="97"/>
      <c r="H160" s="55"/>
    </row>
    <row r="161" spans="2:8" s="9" customFormat="1" ht="24" customHeight="1" x14ac:dyDescent="0.35">
      <c r="B161" s="32">
        <f t="array" ref="B161:H161">Days+15+DATE(Calendar10Year,Calendar10MonthOption,1)-WEEKDAY(DATE(Calendar10Year,Calendar10MonthOption,1),WeekdayOption)</f>
        <v>46152</v>
      </c>
      <c r="C161" s="30">
        <v>46153</v>
      </c>
      <c r="D161" s="30">
        <v>46154</v>
      </c>
      <c r="E161" s="30">
        <v>46155</v>
      </c>
      <c r="F161" s="30">
        <v>46156</v>
      </c>
      <c r="G161" s="30">
        <v>46157</v>
      </c>
      <c r="H161" s="32">
        <v>46158</v>
      </c>
    </row>
    <row r="162" spans="2:8" s="8" customFormat="1" ht="51" customHeight="1" x14ac:dyDescent="0.3">
      <c r="B162" s="55"/>
      <c r="C162" s="97"/>
      <c r="D162" s="97"/>
      <c r="E162" s="97"/>
      <c r="F162" s="97"/>
      <c r="G162" s="97"/>
      <c r="H162" s="55"/>
    </row>
    <row r="163" spans="2:8" s="9" customFormat="1" ht="24.6" customHeight="1" x14ac:dyDescent="0.35">
      <c r="B163" s="32">
        <f t="array" ref="B163:H163">Days+22+DATE(Calendar10Year,Calendar10MonthOption,1)-WEEKDAY(DATE(Calendar10Year,Calendar10MonthOption,1),WeekdayOption)</f>
        <v>46159</v>
      </c>
      <c r="C163" s="30">
        <v>46160</v>
      </c>
      <c r="D163" s="30">
        <v>46161</v>
      </c>
      <c r="E163" s="30">
        <v>46162</v>
      </c>
      <c r="F163" s="30">
        <v>46163</v>
      </c>
      <c r="G163" s="30">
        <v>46164</v>
      </c>
      <c r="H163" s="32">
        <v>46165</v>
      </c>
    </row>
    <row r="164" spans="2:8" s="8" customFormat="1" ht="51" customHeight="1" x14ac:dyDescent="0.3">
      <c r="B164" s="55"/>
      <c r="C164" s="97" t="s">
        <v>8</v>
      </c>
      <c r="D164" s="97"/>
      <c r="E164" s="97"/>
      <c r="F164" s="97"/>
      <c r="G164" s="97"/>
      <c r="H164" s="55"/>
    </row>
    <row r="165" spans="2:8" s="9" customFormat="1" ht="24" customHeight="1" x14ac:dyDescent="0.35">
      <c r="B165" s="32">
        <f t="array" ref="B165:H165">Days+29+DATE(Calendar10Year,Calendar10MonthOption,1)-WEEKDAY(DATE(Calendar10Year,Calendar10MonthOption,1),WeekdayOption)</f>
        <v>46166</v>
      </c>
      <c r="C165" s="30">
        <v>46167</v>
      </c>
      <c r="D165" s="30">
        <v>46168</v>
      </c>
      <c r="E165" s="30">
        <v>46169</v>
      </c>
      <c r="F165" s="30">
        <v>46170</v>
      </c>
      <c r="G165" s="30">
        <v>46171</v>
      </c>
      <c r="H165" s="32">
        <v>46172</v>
      </c>
    </row>
    <row r="166" spans="2:8" s="8" customFormat="1" ht="51" customHeight="1" x14ac:dyDescent="0.3">
      <c r="B166" s="55"/>
      <c r="C166" s="97"/>
      <c r="D166" s="97"/>
      <c r="E166" s="97"/>
      <c r="F166" s="97"/>
      <c r="G166" s="97"/>
      <c r="H166" s="55"/>
    </row>
    <row r="167" spans="2:8" s="9" customFormat="1" ht="24" customHeight="1" x14ac:dyDescent="0.35">
      <c r="B167" s="31">
        <f t="array" ref="B167:C167">Days+36+DATE(Calendar10Year,Calendar10MonthOption,1)-WEEKDAY(DATE(Calendar10Year,Calendar10MonthOption,1),WeekdayOption)</f>
        <v>46173</v>
      </c>
      <c r="C167" s="29">
        <v>46174</v>
      </c>
      <c r="D167" s="158" t="s">
        <v>7</v>
      </c>
      <c r="E167" s="159"/>
      <c r="F167" s="159"/>
      <c r="G167" s="159"/>
      <c r="H167" s="159"/>
    </row>
    <row r="168" spans="2:8" s="8" customFormat="1" ht="51" customHeight="1" x14ac:dyDescent="0.3">
      <c r="B168" s="81"/>
      <c r="C168" s="100"/>
      <c r="D168" s="160"/>
      <c r="E168" s="160"/>
      <c r="F168" s="160"/>
      <c r="G168" s="160"/>
      <c r="H168" s="160"/>
    </row>
    <row r="169" spans="2:8" s="10" customFormat="1" ht="9" customHeight="1" x14ac:dyDescent="0.3">
      <c r="B169" s="1"/>
      <c r="C169" s="1"/>
      <c r="D169" s="2"/>
      <c r="E169" s="2"/>
      <c r="F169" s="2"/>
      <c r="G169" s="2"/>
      <c r="H169" s="2"/>
    </row>
    <row r="170" spans="2:8" ht="95.25" customHeight="1" x14ac:dyDescent="0.9">
      <c r="B170" s="47">
        <f>YEAR(DATE(Calendar10Year,Calendar10MonthOption+1,1))</f>
        <v>2026</v>
      </c>
      <c r="C170" s="157" t="str">
        <f>TEXT(DATE(Calendar10Year,Calendar10MonthOption+1,1),"mmmm")</f>
        <v>June</v>
      </c>
      <c r="D170" s="157"/>
      <c r="E170" s="44"/>
      <c r="F170" s="45"/>
      <c r="G170" s="45"/>
      <c r="H170" s="46"/>
    </row>
    <row r="171" spans="2:8" ht="9" customHeight="1" x14ac:dyDescent="0.3"/>
    <row r="172" spans="2:8" s="6" customFormat="1" ht="24" customHeight="1" x14ac:dyDescent="0.35">
      <c r="B172" s="49" t="str">
        <f t="shared" ref="B172:H172" si="9">TEXT(B173,"dddd")</f>
        <v>Sunday</v>
      </c>
      <c r="C172" s="50" t="str">
        <f t="shared" si="9"/>
        <v>Monday</v>
      </c>
      <c r="D172" s="49" t="str">
        <f t="shared" si="9"/>
        <v>Tuesday</v>
      </c>
      <c r="E172" s="50" t="str">
        <f t="shared" si="9"/>
        <v>Wednesday</v>
      </c>
      <c r="F172" s="49" t="str">
        <f t="shared" si="9"/>
        <v>Thursday</v>
      </c>
      <c r="G172" s="50" t="str">
        <f t="shared" si="9"/>
        <v>Friday</v>
      </c>
      <c r="H172" s="49" t="str">
        <f t="shared" si="9"/>
        <v>Saturday</v>
      </c>
    </row>
    <row r="173" spans="2:8" s="9" customFormat="1" ht="24" customHeight="1" x14ac:dyDescent="0.35">
      <c r="B173" s="33">
        <f t="array" ref="B173:H173">Days+1+DATE(Calendar11Year,Calendar11MonthOption,1)-WEEKDAY(DATE(Calendar11Year,Calendar11MonthOption,1),WeekdayOption)</f>
        <v>46173</v>
      </c>
      <c r="C173" s="12">
        <v>46174</v>
      </c>
      <c r="D173" s="12">
        <v>46175</v>
      </c>
      <c r="E173" s="12">
        <v>46176</v>
      </c>
      <c r="F173" s="12">
        <v>46177</v>
      </c>
      <c r="G173" s="12">
        <v>46178</v>
      </c>
      <c r="H173" s="35">
        <v>46179</v>
      </c>
    </row>
    <row r="174" spans="2:8" s="8" customFormat="1" ht="51" customHeight="1" x14ac:dyDescent="0.3">
      <c r="B174" s="83"/>
      <c r="C174" s="97"/>
      <c r="D174" s="97"/>
      <c r="E174" s="97"/>
      <c r="F174" s="97"/>
      <c r="G174" s="97"/>
      <c r="H174" s="84"/>
    </row>
    <row r="175" spans="2:8" s="9" customFormat="1" ht="24" customHeight="1" x14ac:dyDescent="0.35">
      <c r="B175" s="34">
        <f t="array" ref="B175:H175">Days+8+DATE(Calendar11Year,Calendar11MonthOption,1)-WEEKDAY(DATE(Calendar11Year,Calendar11MonthOption,1),WeekdayOption)</f>
        <v>46180</v>
      </c>
      <c r="C175" s="11">
        <v>46181</v>
      </c>
      <c r="D175" s="11">
        <v>46182</v>
      </c>
      <c r="E175" s="11">
        <v>46183</v>
      </c>
      <c r="F175" s="11">
        <v>46184</v>
      </c>
      <c r="G175" s="11">
        <v>46185</v>
      </c>
      <c r="H175" s="36">
        <v>46186</v>
      </c>
    </row>
    <row r="176" spans="2:8" s="8" customFormat="1" ht="51" customHeight="1" x14ac:dyDescent="0.3">
      <c r="B176" s="83"/>
      <c r="C176" s="97"/>
      <c r="D176" s="97"/>
      <c r="E176" s="97"/>
      <c r="F176" s="97"/>
      <c r="G176" s="97"/>
      <c r="H176" s="84"/>
    </row>
    <row r="177" spans="2:8" s="9" customFormat="1" ht="24" customHeight="1" x14ac:dyDescent="0.35">
      <c r="B177" s="34">
        <f t="array" ref="B177:H177">Days+15+DATE(Calendar11Year,Calendar11MonthOption,1)-WEEKDAY(DATE(Calendar11Year,Calendar11MonthOption,1),WeekdayOption)</f>
        <v>46187</v>
      </c>
      <c r="C177" s="11">
        <v>46188</v>
      </c>
      <c r="D177" s="11">
        <v>46189</v>
      </c>
      <c r="E177" s="11">
        <v>46190</v>
      </c>
      <c r="F177" s="11">
        <v>46191</v>
      </c>
      <c r="G177" s="11">
        <v>46192</v>
      </c>
      <c r="H177" s="36">
        <v>46193</v>
      </c>
    </row>
    <row r="178" spans="2:8" s="8" customFormat="1" ht="51" customHeight="1" x14ac:dyDescent="0.3">
      <c r="B178" s="83"/>
      <c r="C178" s="97"/>
      <c r="D178" s="97"/>
      <c r="E178" s="97"/>
      <c r="F178" s="97"/>
      <c r="G178" s="97"/>
      <c r="H178" s="84"/>
    </row>
    <row r="179" spans="2:8" s="9" customFormat="1" ht="24" customHeight="1" x14ac:dyDescent="0.35">
      <c r="B179" s="34">
        <f t="array" ref="B179:H179">Days+22+DATE(Calendar11Year,Calendar11MonthOption,1)-WEEKDAY(DATE(Calendar11Year,Calendar11MonthOption,1),WeekdayOption)</f>
        <v>46194</v>
      </c>
      <c r="C179" s="11">
        <v>46195</v>
      </c>
      <c r="D179" s="11">
        <v>46196</v>
      </c>
      <c r="E179" s="11">
        <v>46197</v>
      </c>
      <c r="F179" s="11">
        <v>46198</v>
      </c>
      <c r="G179" s="11">
        <v>46199</v>
      </c>
      <c r="H179" s="36">
        <v>46200</v>
      </c>
    </row>
    <row r="180" spans="2:8" s="8" customFormat="1" ht="51" customHeight="1" x14ac:dyDescent="0.3">
      <c r="B180" s="83"/>
      <c r="C180" s="97"/>
      <c r="D180" s="97"/>
      <c r="E180" s="97"/>
      <c r="F180" s="97"/>
      <c r="G180" s="97"/>
      <c r="H180" s="84"/>
    </row>
    <row r="181" spans="2:8" s="9" customFormat="1" ht="24" customHeight="1" x14ac:dyDescent="0.35">
      <c r="B181" s="34">
        <f t="array" ref="B181:H181">Days+29+DATE(Calendar11Year,Calendar11MonthOption,1)-WEEKDAY(DATE(Calendar11Year,Calendar11MonthOption,1),WeekdayOption)</f>
        <v>46201</v>
      </c>
      <c r="C181" s="11">
        <v>46202</v>
      </c>
      <c r="D181" s="11">
        <v>46203</v>
      </c>
      <c r="E181" s="11">
        <v>46204</v>
      </c>
      <c r="F181" s="11">
        <v>46205</v>
      </c>
      <c r="G181" s="11">
        <v>46206</v>
      </c>
      <c r="H181" s="36">
        <v>46207</v>
      </c>
    </row>
    <row r="182" spans="2:8" s="8" customFormat="1" ht="51" customHeight="1" x14ac:dyDescent="0.3">
      <c r="B182" s="83"/>
      <c r="C182" s="97"/>
      <c r="D182" s="97"/>
      <c r="E182" s="153"/>
      <c r="F182" s="153"/>
      <c r="G182" s="153"/>
      <c r="H182" s="85"/>
    </row>
    <row r="183" spans="2:8" s="9" customFormat="1" ht="24" customHeight="1" x14ac:dyDescent="0.35">
      <c r="B183" s="34">
        <f t="array" ref="B183:C183">Days+36+DATE(Calendar11Year,Calendar11MonthOption,1)-WEEKDAY(DATE(Calendar11Year,Calendar11MonthOption,1),WeekdayOption)</f>
        <v>46208</v>
      </c>
      <c r="C183" s="11">
        <v>46209</v>
      </c>
      <c r="D183" s="165" t="s">
        <v>7</v>
      </c>
      <c r="E183" s="165"/>
      <c r="F183" s="165"/>
      <c r="G183" s="165"/>
      <c r="H183" s="165"/>
    </row>
    <row r="184" spans="2:8" s="8" customFormat="1" ht="51" customHeight="1" x14ac:dyDescent="0.3">
      <c r="B184" s="83"/>
      <c r="C184" s="153"/>
      <c r="D184" s="160"/>
      <c r="E184" s="160"/>
      <c r="F184" s="160"/>
      <c r="G184" s="160"/>
      <c r="H184" s="160"/>
    </row>
    <row r="185" spans="2:8" s="10" customFormat="1" ht="9" customHeight="1" x14ac:dyDescent="0.3">
      <c r="B185" s="1"/>
      <c r="C185" s="1"/>
      <c r="D185" s="2"/>
      <c r="E185" s="2"/>
      <c r="F185" s="2"/>
      <c r="G185" s="2"/>
      <c r="H185" s="2"/>
    </row>
    <row r="186" spans="2:8" ht="95.25" customHeight="1" x14ac:dyDescent="0.9">
      <c r="B186" s="47">
        <f>YEAR(DATE(Calendar11Year,Calendar11MonthOption+1,1))</f>
        <v>2026</v>
      </c>
      <c r="C186" s="47" t="str">
        <f>TEXT(DATE(Calendar11Year,Calendar11MonthOption+1,1),"mmmm")</f>
        <v>July</v>
      </c>
      <c r="D186" s="48"/>
      <c r="E186" s="44"/>
      <c r="F186" s="45"/>
      <c r="G186" s="45"/>
      <c r="H186" s="46"/>
    </row>
    <row r="187" spans="2:8" ht="9" customHeight="1" x14ac:dyDescent="0.3"/>
    <row r="188" spans="2:8" s="6" customFormat="1" ht="24" customHeight="1" x14ac:dyDescent="0.35">
      <c r="B188" s="49" t="str">
        <f t="shared" ref="B188:H188" si="10">TEXT(B189,"dddd")</f>
        <v>Sunday</v>
      </c>
      <c r="C188" s="50" t="str">
        <f t="shared" si="10"/>
        <v>Monday</v>
      </c>
      <c r="D188" s="49" t="str">
        <f t="shared" si="10"/>
        <v>Tuesday</v>
      </c>
      <c r="E188" s="50" t="str">
        <f t="shared" si="10"/>
        <v>Wednesday</v>
      </c>
      <c r="F188" s="49" t="str">
        <f t="shared" si="10"/>
        <v>Thursday</v>
      </c>
      <c r="G188" s="50" t="str">
        <f t="shared" si="10"/>
        <v>Friday</v>
      </c>
      <c r="H188" s="49" t="str">
        <f t="shared" si="10"/>
        <v>Saturday</v>
      </c>
    </row>
    <row r="189" spans="2:8" s="9" customFormat="1" ht="24" customHeight="1" x14ac:dyDescent="0.35">
      <c r="B189" s="3">
        <f t="array" ref="B189:H189">Days+1+DATE(Calendar12Year,Calendar12MonthOption,1)-WEEKDAY(DATE(Calendar12Year,Calendar12MonthOption,1),WeekdayOption)</f>
        <v>46201</v>
      </c>
      <c r="C189" s="29">
        <v>46202</v>
      </c>
      <c r="D189" s="29">
        <v>46203</v>
      </c>
      <c r="E189" s="29">
        <v>46204</v>
      </c>
      <c r="F189" s="29">
        <v>46205</v>
      </c>
      <c r="G189" s="29">
        <v>46206</v>
      </c>
      <c r="H189" s="3">
        <v>46207</v>
      </c>
    </row>
    <row r="190" spans="2:8" s="8" customFormat="1" ht="51" customHeight="1" x14ac:dyDescent="0.3">
      <c r="B190" s="82"/>
      <c r="C190" s="153"/>
      <c r="D190" s="153"/>
      <c r="E190" s="97"/>
      <c r="F190" s="97"/>
      <c r="G190" s="97"/>
      <c r="H190" s="82"/>
    </row>
    <row r="191" spans="2:8" s="9" customFormat="1" ht="24" customHeight="1" x14ac:dyDescent="0.35">
      <c r="B191" s="13">
        <f t="array" ref="B191:H191">Days+8+DATE(Calendar12Year,Calendar12MonthOption,1)-WEEKDAY(DATE(Calendar12Year,Calendar12MonthOption,1),WeekdayOption)</f>
        <v>46208</v>
      </c>
      <c r="C191" s="30">
        <v>46209</v>
      </c>
      <c r="D191" s="30">
        <v>46210</v>
      </c>
      <c r="E191" s="30">
        <v>46211</v>
      </c>
      <c r="F191" s="30">
        <v>46212</v>
      </c>
      <c r="G191" s="30">
        <v>46213</v>
      </c>
      <c r="H191" s="13">
        <v>46214</v>
      </c>
    </row>
    <row r="192" spans="2:8" s="8" customFormat="1" ht="51" customHeight="1" x14ac:dyDescent="0.3">
      <c r="B192" s="86"/>
      <c r="C192" s="97"/>
      <c r="D192" s="97"/>
      <c r="E192" s="97"/>
      <c r="F192" s="97"/>
      <c r="G192" s="97"/>
      <c r="H192" s="86"/>
    </row>
    <row r="193" spans="2:8" s="9" customFormat="1" ht="24" customHeight="1" x14ac:dyDescent="0.35">
      <c r="B193" s="13">
        <f t="array" ref="B193:H193">Days+15+DATE(Calendar12Year,Calendar12MonthOption,1)-WEEKDAY(DATE(Calendar12Year,Calendar12MonthOption,1),WeekdayOption)</f>
        <v>46215</v>
      </c>
      <c r="C193" s="30">
        <v>46216</v>
      </c>
      <c r="D193" s="30">
        <v>46217</v>
      </c>
      <c r="E193" s="30">
        <v>46218</v>
      </c>
      <c r="F193" s="30">
        <v>46219</v>
      </c>
      <c r="G193" s="30">
        <v>46220</v>
      </c>
      <c r="H193" s="13">
        <v>46221</v>
      </c>
    </row>
    <row r="194" spans="2:8" s="8" customFormat="1" ht="51" customHeight="1" x14ac:dyDescent="0.3">
      <c r="B194" s="86"/>
      <c r="C194" s="97"/>
      <c r="D194" s="97"/>
      <c r="E194" s="97"/>
      <c r="F194" s="97"/>
      <c r="G194" s="97"/>
      <c r="H194" s="86"/>
    </row>
    <row r="195" spans="2:8" s="9" customFormat="1" ht="24" customHeight="1" x14ac:dyDescent="0.35">
      <c r="B195" s="13">
        <f t="array" ref="B195:H195">Days+22+DATE(Calendar12Year,Calendar12MonthOption,1)-WEEKDAY(DATE(Calendar12Year,Calendar12MonthOption,1),WeekdayOption)</f>
        <v>46222</v>
      </c>
      <c r="C195" s="30">
        <v>46223</v>
      </c>
      <c r="D195" s="30">
        <v>46224</v>
      </c>
      <c r="E195" s="30">
        <v>46225</v>
      </c>
      <c r="F195" s="30">
        <v>46226</v>
      </c>
      <c r="G195" s="30">
        <v>46227</v>
      </c>
      <c r="H195" s="13">
        <v>46228</v>
      </c>
    </row>
    <row r="196" spans="2:8" s="8" customFormat="1" ht="51" customHeight="1" x14ac:dyDescent="0.3">
      <c r="B196" s="86"/>
      <c r="C196" s="97"/>
      <c r="D196" s="97"/>
      <c r="E196" s="97"/>
      <c r="F196" s="97"/>
      <c r="G196" s="97"/>
      <c r="H196" s="86"/>
    </row>
    <row r="197" spans="2:8" s="9" customFormat="1" ht="24" customHeight="1" x14ac:dyDescent="0.35">
      <c r="B197" s="13">
        <f t="array" ref="B197:H197">Days+29+DATE(Calendar12Year,Calendar12MonthOption,1)-WEEKDAY(DATE(Calendar12Year,Calendar12MonthOption,1),WeekdayOption)</f>
        <v>46229</v>
      </c>
      <c r="C197" s="30">
        <v>46230</v>
      </c>
      <c r="D197" s="30">
        <v>46231</v>
      </c>
      <c r="E197" s="30">
        <v>46232</v>
      </c>
      <c r="F197" s="30">
        <v>46233</v>
      </c>
      <c r="G197" s="30">
        <v>46234</v>
      </c>
      <c r="H197" s="13">
        <v>46235</v>
      </c>
    </row>
    <row r="198" spans="2:8" s="8" customFormat="1" ht="51" customHeight="1" x14ac:dyDescent="0.3">
      <c r="B198" s="86"/>
      <c r="C198" s="97"/>
      <c r="E198" s="97"/>
      <c r="F198" s="97"/>
      <c r="G198" s="97"/>
      <c r="H198" s="86"/>
    </row>
    <row r="199" spans="2:8" s="9" customFormat="1" ht="24" customHeight="1" x14ac:dyDescent="0.35">
      <c r="B199" s="3">
        <f t="array" ref="B199:C199">Days+36+DATE(Calendar12Year,Calendar12MonthOption,1)-WEEKDAY(DATE(Calendar12Year,Calendar12MonthOption,1),WeekdayOption)</f>
        <v>46236</v>
      </c>
      <c r="C199" s="29">
        <v>46237</v>
      </c>
      <c r="D199" s="161" t="s">
        <v>7</v>
      </c>
      <c r="E199" s="162"/>
      <c r="F199" s="162"/>
      <c r="G199" s="162"/>
      <c r="H199" s="162"/>
    </row>
    <row r="200" spans="2:8" s="8" customFormat="1" ht="51" customHeight="1" x14ac:dyDescent="0.3">
      <c r="B200" s="82"/>
      <c r="C200" s="97"/>
      <c r="D200" s="160"/>
      <c r="E200" s="160"/>
      <c r="F200" s="160"/>
      <c r="G200" s="160"/>
      <c r="H200" s="160"/>
    </row>
  </sheetData>
  <sheetProtection algorithmName="SHA-512" hashValue="NuU3RR7ttbQAuI7EVYYalIFII88s3ikbRQyyWyCqKWnmOhgPrQwkACmZAMRgFOZwAGBCa1zfL/TpAf9doctK+A==" saltValue="R9og8yXVBihO11AZYTVIvA==" spinCount="100000" sheet="1" selectLockedCells="1"/>
  <mergeCells count="37">
    <mergeCell ref="L15:P15"/>
    <mergeCell ref="K14:Q14"/>
    <mergeCell ref="C10:D10"/>
    <mergeCell ref="D183:H183"/>
    <mergeCell ref="D23:H23"/>
    <mergeCell ref="D24:H24"/>
    <mergeCell ref="D56:H56"/>
    <mergeCell ref="D72:H72"/>
    <mergeCell ref="D88:H88"/>
    <mergeCell ref="D71:H71"/>
    <mergeCell ref="D87:H87"/>
    <mergeCell ref="D39:H39"/>
    <mergeCell ref="D40:H40"/>
    <mergeCell ref="D55:H55"/>
    <mergeCell ref="C42:D42"/>
    <mergeCell ref="D135:H135"/>
    <mergeCell ref="D151:H151"/>
    <mergeCell ref="D120:H120"/>
    <mergeCell ref="D136:H136"/>
    <mergeCell ref="D184:H184"/>
    <mergeCell ref="C122:D122"/>
    <mergeCell ref="C138:D138"/>
    <mergeCell ref="C154:D154"/>
    <mergeCell ref="C170:D170"/>
    <mergeCell ref="D200:H200"/>
    <mergeCell ref="D167:H167"/>
    <mergeCell ref="D168:H168"/>
    <mergeCell ref="D152:H152"/>
    <mergeCell ref="D199:H199"/>
    <mergeCell ref="C26:D26"/>
    <mergeCell ref="D103:H103"/>
    <mergeCell ref="D119:H119"/>
    <mergeCell ref="D104:H104"/>
    <mergeCell ref="C58:D58"/>
    <mergeCell ref="C74:D74"/>
    <mergeCell ref="C90:D90"/>
    <mergeCell ref="C106:D106"/>
  </mergeCells>
  <phoneticPr fontId="3" type="noConversion"/>
  <conditionalFormatting sqref="B20 H20">
    <cfRule type="expression" dxfId="94" priority="845">
      <formula>MONTH($B$19)&lt;&gt;8</formula>
    </cfRule>
  </conditionalFormatting>
  <conditionalFormatting sqref="B22">
    <cfRule type="expression" dxfId="93" priority="832">
      <formula>MONTH($B$21)&lt;&gt;8</formula>
    </cfRule>
  </conditionalFormatting>
  <conditionalFormatting sqref="B24">
    <cfRule type="expression" dxfId="92" priority="840">
      <formula>MONTH($B$23)&lt;&gt;8</formula>
    </cfRule>
  </conditionalFormatting>
  <conditionalFormatting sqref="B30 B40:C40">
    <cfRule type="expression" dxfId="91" priority="831">
      <formula>MONTH(B29)&lt;&gt;MONTH(DATE(Calendar1Year,_xlfn.SINGLE(Calendar1MonthOption)+1,1))</formula>
    </cfRule>
  </conditionalFormatting>
  <conditionalFormatting sqref="B38">
    <cfRule type="expression" dxfId="90" priority="822">
      <formula>MONTH(B37)&lt;&gt;MONTH(DATE(Calendar1Year,_xlfn.SINGLE(Calendar1MonthOption)+1,1))</formula>
    </cfRule>
  </conditionalFormatting>
  <conditionalFormatting sqref="B46">
    <cfRule type="expression" dxfId="89" priority="811">
      <formula>MONTH($B$45)&lt;&gt;Calendar3MonthOption</formula>
    </cfRule>
  </conditionalFormatting>
  <conditionalFormatting sqref="B56">
    <cfRule type="expression" dxfId="88" priority="843">
      <formula>MONTH($B$55)&lt;&gt;MONTH(DATE(Calendar2Year,_xlfn.SINGLE(Calendar2MonthOption)+1,1))</formula>
    </cfRule>
  </conditionalFormatting>
  <conditionalFormatting sqref="B62">
    <cfRule type="expression" dxfId="87" priority="802">
      <formula>MONTH($B$61)&lt;&gt;Calendar4MonthOption</formula>
    </cfRule>
  </conditionalFormatting>
  <conditionalFormatting sqref="B72">
    <cfRule type="expression" dxfId="86" priority="789">
      <formula>MONTH($B$71)&lt;&gt;Calendar4MonthOption</formula>
    </cfRule>
  </conditionalFormatting>
  <conditionalFormatting sqref="B78">
    <cfRule type="expression" dxfId="85" priority="787">
      <formula>MONTH($B$77)&lt;&gt;Calendar5MonthOption</formula>
    </cfRule>
  </conditionalFormatting>
  <conditionalFormatting sqref="B88">
    <cfRule type="expression" dxfId="84" priority="773">
      <formula>MONTH($B$87)&lt;&gt;Calendar5MonthOption</formula>
    </cfRule>
  </conditionalFormatting>
  <conditionalFormatting sqref="B94">
    <cfRule type="expression" dxfId="83" priority="771">
      <formula>MONTH($B$93)&lt;&gt;Calendar6MonthOption</formula>
    </cfRule>
  </conditionalFormatting>
  <conditionalFormatting sqref="B104">
    <cfRule type="expression" dxfId="82" priority="759">
      <formula>MONTH($B$103)&lt;&gt;Calendar6MonthOption</formula>
    </cfRule>
  </conditionalFormatting>
  <conditionalFormatting sqref="B110">
    <cfRule type="expression" dxfId="81" priority="757">
      <formula>MONTH($B$109)&lt;&gt;Calendar7MonthOption</formula>
    </cfRule>
  </conditionalFormatting>
  <conditionalFormatting sqref="B118">
    <cfRule type="expression" dxfId="80" priority="751">
      <formula>MONTH($B$117)&lt;&gt;Calendar7MonthOption</formula>
    </cfRule>
  </conditionalFormatting>
  <conditionalFormatting sqref="B120">
    <cfRule type="expression" dxfId="79" priority="744">
      <formula>MONTH($B$120)&lt;&gt;Calendar7MonthOption</formula>
    </cfRule>
  </conditionalFormatting>
  <conditionalFormatting sqref="B126">
    <cfRule type="expression" dxfId="78" priority="742">
      <formula>MONTH($B$125)&lt;&gt;Calendar8MonthOption</formula>
    </cfRule>
  </conditionalFormatting>
  <conditionalFormatting sqref="B136">
    <cfRule type="expression" dxfId="77" priority="731">
      <formula>MONTH($B$135)&lt;&gt;Calendar8MonthOption</formula>
    </cfRule>
  </conditionalFormatting>
  <conditionalFormatting sqref="B142">
    <cfRule type="expression" dxfId="76" priority="729">
      <formula>MONTH($B$141)&lt;&gt;Calendar9MonthOption</formula>
    </cfRule>
  </conditionalFormatting>
  <conditionalFormatting sqref="B152">
    <cfRule type="expression" dxfId="75" priority="715">
      <formula>MONTH($B$151)&lt;&gt;Calendar9MonthOption</formula>
    </cfRule>
  </conditionalFormatting>
  <conditionalFormatting sqref="B158">
    <cfRule type="expression" dxfId="74" priority="713">
      <formula>MONTH($B$157)&lt;&gt;Calendar10MonthOption</formula>
    </cfRule>
  </conditionalFormatting>
  <conditionalFormatting sqref="B168">
    <cfRule type="expression" dxfId="73" priority="702">
      <formula>MONTH($B$167)&lt;&gt;Calendar10MonthOption</formula>
    </cfRule>
  </conditionalFormatting>
  <conditionalFormatting sqref="B174">
    <cfRule type="expression" dxfId="72" priority="700">
      <formula>MONTH($B$173)&lt;&gt;Calendar11MonthOption</formula>
    </cfRule>
  </conditionalFormatting>
  <conditionalFormatting sqref="B184">
    <cfRule type="expression" dxfId="71" priority="689">
      <formula>MONTH($B$183)&lt;&gt;Calendar11MonthOption</formula>
    </cfRule>
  </conditionalFormatting>
  <conditionalFormatting sqref="B190">
    <cfRule type="expression" dxfId="70" priority="687">
      <formula>MONTH($B$189)&lt;&gt;Calendar12MonthOption</formula>
    </cfRule>
  </conditionalFormatting>
  <conditionalFormatting sqref="B200">
    <cfRule type="expression" dxfId="69" priority="676">
      <formula>MONTH($B$199)&lt;&gt;Calendar12MonthOption</formula>
    </cfRule>
  </conditionalFormatting>
  <conditionalFormatting sqref="B13:H13 B15:H15 B17:H17 B19:H19 B21:H21 B23:C23">
    <cfRule type="expression" dxfId="68" priority="890">
      <formula>MONTH(B13)&lt;&gt;Calendar1MonthOption</formula>
    </cfRule>
  </conditionalFormatting>
  <conditionalFormatting sqref="B13:H13 F14:H14 B15:H37 B38:D38 H38 B39:H45 B46 E46:H46 B47:H55 B56 D56:H56 B57:H61 B62 H62 B63:H71 B72 D72:H72 B73:H85 B86:E86 H86 B87:H87 B88 D88:H88 B89:H93 B94 F94:H94 B95:H103 B104 D104:H104 B105:H119 B120 D120:H120 B121:H141 B142 E142:H142 B143:H149 B150:F150 H150 B151:H151 B152 D152:H152 B153:H157 B158 G158:H158 B159:H181 B182:D182 H182 B183:H183 B184 D184:H184 B185:H189 B190 E190:H190 B191:H197 B199:H200 E198:H198 B198:C198">
    <cfRule type="containsText" dxfId="67" priority="8" operator="containsText" text="Extra Day">
      <formula>NOT(ISERROR(SEARCH("Extra Day",B13)))</formula>
    </cfRule>
    <cfRule type="containsText" dxfId="66" priority="9" operator="containsText" text="Early Dismissal">
      <formula>NOT(ISERROR(SEARCH("Early Dismissal",B13)))</formula>
    </cfRule>
    <cfRule type="containsText" dxfId="65" priority="10" operator="containsText" text="Planning Day">
      <formula>NOT(ISERROR(SEARCH("Planning Day",B13)))</formula>
    </cfRule>
    <cfRule type="containsText" dxfId="64" priority="11" operator="containsText" text="PD/In-Service">
      <formula>NOT(ISERROR(SEARCH("PD/In-Service",B13)))</formula>
    </cfRule>
  </conditionalFormatting>
  <conditionalFormatting sqref="B29:H29 B31:H31 B33:H33 B35:H35 B37:H37 B39:C39">
    <cfRule type="expression" dxfId="63" priority="879">
      <formula>MONTH(B29)&lt;&gt;Calendar2MonthOption</formula>
    </cfRule>
  </conditionalFormatting>
  <conditionalFormatting sqref="B45:H45 B47:H47 B49:H49 B51:H51 B53:H53 B55:C55">
    <cfRule type="expression" dxfId="62" priority="877">
      <formula>MONTH(B45)&lt;&gt;Calendar3MonthOption</formula>
    </cfRule>
  </conditionalFormatting>
  <conditionalFormatting sqref="B61:H61 B63:H63 B65:H65 B67:H67 B69:H69 B71:C71">
    <cfRule type="expression" dxfId="61" priority="875">
      <formula>MONTH(B61)&lt;&gt;Calendar4MonthOption</formula>
    </cfRule>
  </conditionalFormatting>
  <conditionalFormatting sqref="B77:H77 B79:H79 B81:H81 B83:H83 B85:H85 B87:C87">
    <cfRule type="expression" dxfId="60" priority="873">
      <formula>MONTH(B77)&lt;&gt;Calendar5MonthOption</formula>
    </cfRule>
  </conditionalFormatting>
  <conditionalFormatting sqref="B93:H93 B95:H95 B97:H97 B99:H99 B101:H101 B103:C103">
    <cfRule type="expression" dxfId="59" priority="871">
      <formula>MONTH(B93)&lt;&gt;Calendar6MonthOption</formula>
    </cfRule>
  </conditionalFormatting>
  <conditionalFormatting sqref="B109:H109 B111:H111 B113:H113 B115:H115 B117:H117 B119:C119">
    <cfRule type="expression" dxfId="58" priority="869">
      <formula>MONTH(B109)&lt;&gt;Calendar7MonthOption</formula>
    </cfRule>
  </conditionalFormatting>
  <conditionalFormatting sqref="B121:H141 B13:H13 F14:H14 B15:H37 B38:D38 H38 B39:H45 B46 E46:H46 B47:H55 B56 D56:H56 B57:H61 B62 H62 B63:H71 B72 D72:H72 B73:H85 B86:E86 H86 B87:H87 B88 D88:H88 B89:H93 B94 F94:H94 B95:H103 B104 D104:H104 B105:H119 B120 D120:H120 B142 E142:H142 B143:H149 B150:F150 H150 B151:H151 B152 D152:H152 B153:H157 B158 G158:H158 B159:H181 B182:D182 H182 B183:H183 B184 D184:H184 B185:H189 B190 E190:H190 B191:H197 B199:H200 E198:H198 B198:C198">
    <cfRule type="containsText" dxfId="57" priority="7" operator="containsText" text="not scheduled">
      <formula>NOT(ISERROR(SEARCH("not scheduled",B13)))</formula>
    </cfRule>
  </conditionalFormatting>
  <conditionalFormatting sqref="B125:H125 B127:H127 B129:H129 B131:H131 B133:H133 B135:C135">
    <cfRule type="expression" dxfId="56" priority="867">
      <formula>MONTH(B125)&lt;&gt;Calendar8MonthOption</formula>
    </cfRule>
  </conditionalFormatting>
  <conditionalFormatting sqref="B141:H141 B143:H143 B145:H145 B147:H147 B149:H149 B151:C151">
    <cfRule type="expression" dxfId="55" priority="865">
      <formula>MONTH(B141)&lt;&gt;Calendar9MonthOption</formula>
    </cfRule>
  </conditionalFormatting>
  <conditionalFormatting sqref="B157:H157 B159:H159 B161:H161 B163:H163 B165:H165 B167:C167">
    <cfRule type="expression" dxfId="54" priority="855">
      <formula>MONTH(B157)&lt;&gt;Calendar10MonthOption</formula>
    </cfRule>
  </conditionalFormatting>
  <conditionalFormatting sqref="B173:H173 B175:H175 B177:H177 B179:H179 B181:H181 B183:C183">
    <cfRule type="expression" dxfId="53" priority="854">
      <formula>MONTH(B173)&lt;&gt;Calendar11MonthOption</formula>
    </cfRule>
  </conditionalFormatting>
  <conditionalFormatting sqref="B189:H189 B191:H191 B193:H193 B195:H195 B197:H197 B199:C199">
    <cfRule type="expression" dxfId="52" priority="853">
      <formula>MONTH(B189)&lt;&gt;Calendar12MonthOption</formula>
    </cfRule>
  </conditionalFormatting>
  <conditionalFormatting sqref="C24">
    <cfRule type="expression" dxfId="51" priority="839">
      <formula>MONTH($C$23)&lt;&gt;8</formula>
    </cfRule>
  </conditionalFormatting>
  <conditionalFormatting sqref="C30">
    <cfRule type="expression" dxfId="50" priority="830">
      <formula>MONTH($C$29)&lt;&gt;MONTH(DATE(Calendar1Year,_xlfn.SINGLE(Calendar1MonthOption)+1,1))</formula>
    </cfRule>
  </conditionalFormatting>
  <conditionalFormatting sqref="C78">
    <cfRule type="expression" dxfId="49" priority="786">
      <formula>MONTH($C$77)&lt;&gt;Calendar5MonthOption</formula>
    </cfRule>
  </conditionalFormatting>
  <conditionalFormatting sqref="C136">
    <cfRule type="expression" dxfId="48" priority="1">
      <formula>MONTH($H$133)&lt;&gt;Calendar8MonthOption</formula>
    </cfRule>
    <cfRule type="expression" dxfId="47" priority="730">
      <formula>MONTH($C$135)&lt;&gt;Calendar8MonthOption</formula>
    </cfRule>
  </conditionalFormatting>
  <conditionalFormatting sqref="C168">
    <cfRule type="expression" dxfId="46" priority="701">
      <formula>MONTH($C$167)&lt;&gt;Calendar10MonthOption</formula>
    </cfRule>
  </conditionalFormatting>
  <conditionalFormatting sqref="C174">
    <cfRule type="expression" dxfId="45" priority="699">
      <formula>MONTH($C$173)&lt;&gt;Calendar11MonthOption</formula>
    </cfRule>
  </conditionalFormatting>
  <conditionalFormatting sqref="C200">
    <cfRule type="expression" dxfId="44" priority="675">
      <formula>MONTH($C$199)&lt;&gt;Calendar12MonthOption</formula>
    </cfRule>
  </conditionalFormatting>
  <conditionalFormatting sqref="C118:G118">
    <cfRule type="expression" dxfId="43" priority="746">
      <formula>MONTH($G$117)&lt;&gt;Calendar7MonthOption</formula>
    </cfRule>
  </conditionalFormatting>
  <conditionalFormatting sqref="D30">
    <cfRule type="expression" dxfId="42" priority="829">
      <formula>MONTH($D$29)&lt;&gt;MONTH(DATE(Calendar1Year,_xlfn.SINGLE(Calendar1MonthOption)+1,1))</formula>
    </cfRule>
  </conditionalFormatting>
  <conditionalFormatting sqref="D78">
    <cfRule type="expression" dxfId="41" priority="785">
      <formula>MONTH($D$77)&lt;&gt;Calendar5MonthOption</formula>
    </cfRule>
  </conditionalFormatting>
  <conditionalFormatting sqref="D174">
    <cfRule type="expression" dxfId="40" priority="698">
      <formula>MONTH($D$173)&lt;&gt;Calendar11MonthOption</formula>
    </cfRule>
  </conditionalFormatting>
  <conditionalFormatting sqref="E30">
    <cfRule type="expression" dxfId="39" priority="828">
      <formula>MONTH($E$29)&lt;&gt;MONTH(DATE(Calendar1Year,_xlfn.SINGLE(Calendar1MonthOption)+1,1))</formula>
    </cfRule>
  </conditionalFormatting>
  <conditionalFormatting sqref="E78">
    <cfRule type="expression" dxfId="38" priority="783">
      <formula>MONTH($E$77)&lt;&gt;Calendar5MonthOption</formula>
    </cfRule>
  </conditionalFormatting>
  <conditionalFormatting sqref="E174">
    <cfRule type="expression" dxfId="37" priority="697">
      <formula>MONTH($E$173)&lt;&gt;Calendar11MonthOption</formula>
    </cfRule>
  </conditionalFormatting>
  <conditionalFormatting sqref="E150:F150">
    <cfRule type="expression" dxfId="36" priority="721">
      <formula>MONTH($E$149)&lt;&gt;Calendar9MonthOption</formula>
    </cfRule>
  </conditionalFormatting>
  <conditionalFormatting sqref="E54:G54">
    <cfRule type="expression" dxfId="35" priority="841">
      <formula>MONTH($E$53)&lt;&gt;MONTH(DATE(Calendar2Year,_xlfn.SINGLE(Calendar2MonthOption)+1,1))</formula>
    </cfRule>
  </conditionalFormatting>
  <conditionalFormatting sqref="E134:G134">
    <cfRule type="expression" dxfId="34" priority="2">
      <formula>MONTH($C$135)&lt;&gt;Calendar8MonthOption</formula>
    </cfRule>
  </conditionalFormatting>
  <conditionalFormatting sqref="E134:H134">
    <cfRule type="expression" dxfId="33" priority="732">
      <formula>MONTH($H$133)&lt;&gt;Calendar8MonthOption</formula>
    </cfRule>
  </conditionalFormatting>
  <conditionalFormatting sqref="F30">
    <cfRule type="expression" dxfId="32" priority="826">
      <formula>MONTH($F$29)&lt;&gt;MONTH(DATE(Calendar1Year,_xlfn.SINGLE(Calendar1MonthOption)+1,1))</formula>
    </cfRule>
  </conditionalFormatting>
  <conditionalFormatting sqref="F78">
    <cfRule type="expression" dxfId="31" priority="782">
      <formula>MONTH($F$77)&lt;&gt;Calendar5MonthOption</formula>
    </cfRule>
  </conditionalFormatting>
  <conditionalFormatting sqref="F174">
    <cfRule type="expression" dxfId="30" priority="696">
      <formula>MONTH($F$173)&lt;&gt;Calendar11MonthOption</formula>
    </cfRule>
  </conditionalFormatting>
  <conditionalFormatting sqref="F198">
    <cfRule type="expression" dxfId="29" priority="679">
      <formula>MONTH($F$197)&lt;&gt;Calendar12MonthOption</formula>
    </cfRule>
  </conditionalFormatting>
  <conditionalFormatting sqref="F102:G102">
    <cfRule type="expression" dxfId="28" priority="762">
      <formula>MONTH($F$101)&lt;&gt;Calendar6MonthOption</formula>
    </cfRule>
  </conditionalFormatting>
  <conditionalFormatting sqref="F14:H14 B15:H37 B38:D38 H38 B39:H45 B46 E46:H46 B47:H55 B56 D56:H56 B57:H61 B62 H62 B63:H71 B72 D72:H72 B73:H85 B86:E86 H86 B87:H87 B88 D88:H88 B89:H93 B94 F94:H94 B95:H103 B104 D104:H104 B105:H119 B120 D120:H120 B121:H141 B142 E142:H142 B143:H149 B150:F150 H150 B151:H151 B152 D152:H152 B153:H157 B158 G158:H158 B159:H181 B182:D182 H182 B183:H183 B184 D184:H184 B185:H189 B190 E190:H190 B191:H197 E198:H198 B198:C198">
    <cfRule type="cellIs" dxfId="27" priority="12" operator="equal">
      <formula>"Closed (non-operational)"</formula>
    </cfRule>
  </conditionalFormatting>
  <conditionalFormatting sqref="G22">
    <cfRule type="expression" dxfId="26" priority="838">
      <formula>MONTH($G$21)&lt;&gt;8</formula>
    </cfRule>
  </conditionalFormatting>
  <conditionalFormatting sqref="G70">
    <cfRule type="expression" dxfId="25" priority="791">
      <formula>MONTH($G$69)&lt;&gt;Calendar4MonthOption</formula>
    </cfRule>
  </conditionalFormatting>
  <conditionalFormatting sqref="G174">
    <cfRule type="expression" dxfId="24" priority="695">
      <formula>MONTH($G$173)&lt;&gt;Calendar11MonthOption</formula>
    </cfRule>
  </conditionalFormatting>
  <conditionalFormatting sqref="F198:G198">
    <cfRule type="expression" dxfId="23" priority="678">
      <formula>MONTH($G$197)&lt;&gt;Calendar12MonthOption</formula>
    </cfRule>
  </conditionalFormatting>
  <conditionalFormatting sqref="H14">
    <cfRule type="expression" dxfId="22" priority="846">
      <formula>MONTH($H$13)&lt;&gt;8</formula>
    </cfRule>
  </conditionalFormatting>
  <conditionalFormatting sqref="H22">
    <cfRule type="expression" dxfId="21" priority="837">
      <formula>MONTH($H$21)&lt;&gt;8</formula>
    </cfRule>
  </conditionalFormatting>
  <conditionalFormatting sqref="H30">
    <cfRule type="expression" dxfId="20" priority="824">
      <formula>MONTH($H$29)&lt;&gt;MONTH(DATE(Calendar1Year,_xlfn.SINGLE(Calendar1MonthOption)+1,1))</formula>
    </cfRule>
  </conditionalFormatting>
  <conditionalFormatting sqref="H38">
    <cfRule type="expression" dxfId="19" priority="813">
      <formula>MONTH($H$37)&lt;&gt;MONTH(DATE(Calendar1Year,_xlfn.SINGLE(Calendar1MonthOption)+1,1))</formula>
    </cfRule>
  </conditionalFormatting>
  <conditionalFormatting sqref="H54">
    <cfRule type="expression" dxfId="18" priority="803">
      <formula>MONTH($H$53)&lt;&gt;Calendar3MonthOption</formula>
    </cfRule>
  </conditionalFormatting>
  <conditionalFormatting sqref="H62">
    <cfRule type="expression" dxfId="17" priority="796">
      <formula>MONTH($H$61)&lt;&gt;Calendar4MonthOption</formula>
    </cfRule>
  </conditionalFormatting>
  <conditionalFormatting sqref="H70">
    <cfRule type="expression" dxfId="16" priority="790">
      <formula>MONTH($H$69)&lt;&gt;Calendar4MonthOption</formula>
    </cfRule>
  </conditionalFormatting>
  <conditionalFormatting sqref="H78">
    <cfRule type="expression" dxfId="15" priority="780">
      <formula>MONTH($H$77)&lt;&gt;Calendar5MonthOption</formula>
    </cfRule>
  </conditionalFormatting>
  <conditionalFormatting sqref="H86">
    <cfRule type="expression" dxfId="14" priority="774">
      <formula>MONTH($H$85)&lt;&gt;Calendar5MonthOption</formula>
    </cfRule>
  </conditionalFormatting>
  <conditionalFormatting sqref="H94">
    <cfRule type="expression" dxfId="13" priority="765">
      <formula>MONTH($H$93)&lt;&gt;Calendar6MonthOption</formula>
    </cfRule>
  </conditionalFormatting>
  <conditionalFormatting sqref="H102">
    <cfRule type="expression" dxfId="12" priority="760">
      <formula>MONTH($H$101)&lt;&gt;Calendar6MonthOption</formula>
    </cfRule>
  </conditionalFormatting>
  <conditionalFormatting sqref="H118">
    <cfRule type="expression" dxfId="11" priority="745">
      <formula>MONTH($H$117)&lt;&gt;Calendar7MonthOption</formula>
    </cfRule>
  </conditionalFormatting>
  <conditionalFormatting sqref="H150">
    <cfRule type="expression" dxfId="10" priority="716">
      <formula>MONTH($H$149)&lt;&gt;Calendar9MonthOption</formula>
    </cfRule>
  </conditionalFormatting>
  <conditionalFormatting sqref="H166">
    <cfRule type="expression" dxfId="9" priority="703">
      <formula>MONTH($H$165)&lt;&gt;Calendar10MonthOption</formula>
    </cfRule>
  </conditionalFormatting>
  <conditionalFormatting sqref="H182">
    <cfRule type="expression" dxfId="8" priority="690">
      <formula>MONTH($H$181)&lt;&gt;Calendar11MonthOption</formula>
    </cfRule>
  </conditionalFormatting>
  <conditionalFormatting sqref="H198">
    <cfRule type="expression" dxfId="7" priority="677">
      <formula>MONTH($H$197)&lt;&gt;Calendar12MonthOption</formula>
    </cfRule>
  </conditionalFormatting>
  <conditionalFormatting sqref="K14:Q14">
    <cfRule type="expression" dxfId="6" priority="630">
      <formula>(part_time_days="Yes")</formula>
    </cfRule>
  </conditionalFormatting>
  <dataValidations xWindow="87" yWindow="689" count="11">
    <dataValidation type="list" errorStyle="warning" allowBlank="1" showInputMessage="1" showErrorMessage="1" error="Select the week start day from the list. Select CANCEL,press ALT+DOWN ARROW for options, then DOWN ARROW and ENTER to make selection" prompt="Select the week start day in this cell. Press ALT+DOWN ARROW to open the drop-down list, then ENTER to make the selection. The calendar will update automatically" sqref="B12" xr:uid="{3164B77C-275E-4A81-8620-98550C13EEF2}">
      <formula1>"Sunday, Monday, Tuesday, Wednesday, Thursday, Friday, Saturday"</formula1>
    </dataValidation>
    <dataValidation allowBlank="1" showInputMessage="1" prompt="This workbook is a 12-month calendar. Enter starting year in cell B2, then select the starting month in cell C2. The calendar will update automatically for subsequent months" sqref="A9" xr:uid="{00000000-0002-0000-0000-000002000000}"/>
    <dataValidation allowBlank="1" showInputMessage="1" showErrorMessage="1" prompt="Enter year in this cell" sqref="B10" xr:uid="{00000000-0002-0000-0000-000003000000}"/>
    <dataValidation allowBlank="1" showInputMessage="1" prompt="Automatically determined weekday. To change weekdays, select a new week start day in cell B4." sqref="C12:H12 B28:H28 B44:H44 B60:H60 B76:H76 B92:H92 B108:H108 B124:H124 B140:H140 B156:H156 B172:H172 B188:H188" xr:uid="{00000000-0002-0000-0000-000004000000}"/>
    <dataValidation allowBlank="1" showInputMessage="1" sqref="B13" xr:uid="{CBCFDA83-FBF4-49E0-BFE2-D3B04EFA0AA2}"/>
    <dataValidation allowBlank="1" showInputMessage="1" prompt="Calendar year is automatically updated based on the year selected in cell B1" sqref="B27 B43 B59 B75 B91 B107 B123 B139 B155 B171 B187" xr:uid="{00000000-0002-0000-0000-000007000000}"/>
    <dataValidation allowBlank="1" showInputMessage="1" prompt="Calendar month is automatically updated based on the month selected in cell C1" sqref="E26:E27 C27:D27 E42:E43 C43:D43 E58:E59 C59:D59 E74:E75 C75:D75 E90:E91 C91:D91 E106:E107 C107:D107 E122:E123 C123:D123 E138:E139 C139:D139 E154:E155 C155:D155 E170:E171 C171:D171 E186:E187 C187:D187" xr:uid="{00000000-0002-0000-0000-000008000000}"/>
    <dataValidation allowBlank="1" showInputMessage="1" prompt="Enter monthly Notes in cell below" sqref="D23:H23" xr:uid="{00000000-0002-0000-0000-000009000000}"/>
    <dataValidation allowBlank="1" showInputMessage="1" prompt="Enter monthly Notes in this cell" sqref="D24:H25" xr:uid="{00000000-0002-0000-0000-00000A000000}"/>
    <dataValidation allowBlank="1" showInputMessage="1" prompt="Calendar year is automatically updated based on the year selected in cell B2" sqref="B26 B42 B58 B74 B90 B106 B122 B138 B154 B170 B186" xr:uid="{00000000-0002-0000-0000-00000B000000}"/>
    <dataValidation allowBlank="1" showInputMessage="1" prompt="Calendar month is automatically updated based on the month selected in cell C2" sqref="C26:D26 C42:D42 C58:D58 C74:D74 C90:D90 C106:D106 C122:D122 C138:D138 C154:D154 C170:D170 C186:D186" xr:uid="{00000000-0002-0000-0000-00000C000000}"/>
  </dataValidations>
  <printOptions horizontalCentered="1"/>
  <pageMargins left="0.25" right="0.25" top="0.5" bottom="0.3" header="0.3" footer="0.3"/>
  <pageSetup scale="90" fitToHeight="0" orientation="landscape" r:id="rId1"/>
  <headerFooter alignWithMargins="0"/>
  <rowBreaks count="11" manualBreakCount="11">
    <brk id="24" max="16383" man="1"/>
    <brk id="40" max="16383" man="1"/>
    <brk id="56" max="16383" man="1"/>
    <brk id="72" max="16383" man="1"/>
    <brk id="88" max="16383" man="1"/>
    <brk id="104" max="16383" man="1"/>
    <brk id="120" max="16383" man="1"/>
    <brk id="136" max="16383" man="1"/>
    <brk id="152" max="16383" man="1"/>
    <brk id="168" max="16383" man="1"/>
    <brk id="184" max="16383" man="1"/>
  </rowBreaks>
  <drawing r:id="rId2"/>
  <extLst>
    <ext xmlns:x14="http://schemas.microsoft.com/office/spreadsheetml/2009/9/main" uri="{CCE6A557-97BC-4b89-ADB6-D9C93CAAB3DF}">
      <x14:dataValidations xmlns:xm="http://schemas.microsoft.com/office/excel/2006/main" xWindow="87" yWindow="689" count="2">
        <x14:dataValidation type="list" allowBlank="1" showInputMessage="1" showErrorMessage="1" xr:uid="{6DA19DB7-03C7-4CBF-BDC6-4C762722F87E}">
          <x14:formula1>
            <xm:f>Parameters!$B$3:$B$11</xm:f>
          </x14:formula1>
          <xm:sqref>B16</xm:sqref>
        </x14:dataValidation>
        <x14:dataValidation type="list" allowBlank="1" showInputMessage="1" showErrorMessage="1" xr:uid="{D1756FDE-0F1F-45EA-B90C-B08A389297AF}">
          <x14:formula1>
            <xm:f>_xlfn.ANCHORARRAY(Parameters!$B$25)</xm:f>
          </x14:formula1>
          <xm:sqref>E46:G46 C196:G196 C22:G22 C194:G194 C192:G192 C180:G180 C178:G178 C176:G176 C148:G148 C166:G166 C164:G164 C144:G144 C134:D134 C112:G112 C114:G114 C162:G162 C160:G160 C116:G116 C200 C132:G132 C130:G130 C128:G128 C126:G126 C110:G110 C20:G20 C18:G18 C16:G16 C64:G64 C32:G32 C34:G34 C36:G36 C52:G52 C102:G102 C66:G66 C68:G68 C70:G70 C78:G78 C80:G80 C82:G82 E198:G198 C182:D182 C96:G96 C98:G98 C100:G100 C146:G146 C50:G50 C48:G48 F14:G14 C30:G30 C38:D38 G158 C54:G54 C174:G174 C84:G84 C86:E86 C118:G118 C150:F150 E142:G142 F94:G94 C198 E190:G190</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E6773-B1E9-49B8-89A8-9478D8FF2A51}">
  <dimension ref="B12:P364"/>
  <sheetViews>
    <sheetView showGridLines="0" topLeftCell="A4" workbookViewId="0">
      <selection activeCell="C9" sqref="C9"/>
    </sheetView>
  </sheetViews>
  <sheetFormatPr defaultRowHeight="16.5" x14ac:dyDescent="0.3"/>
  <cols>
    <col min="2" max="2" width="11.625" hidden="1" customWidth="1"/>
    <col min="3" max="5" width="14.75" customWidth="1"/>
    <col min="6" max="7" width="19.625" customWidth="1"/>
    <col min="8" max="8" width="40.625" customWidth="1"/>
    <col min="9" max="9" width="12.625" customWidth="1"/>
    <col min="10" max="11" width="26.75" customWidth="1"/>
    <col min="13" max="13" width="9" customWidth="1"/>
    <col min="14" max="14" width="11" customWidth="1"/>
    <col min="15" max="15" width="15" customWidth="1"/>
    <col min="16" max="16" width="19.5" customWidth="1"/>
    <col min="17" max="18" width="9" customWidth="1"/>
  </cols>
  <sheetData>
    <row r="12" spans="2:11" ht="33" x14ac:dyDescent="0.3">
      <c r="B12" t="s">
        <v>28</v>
      </c>
      <c r="C12" s="120" t="s">
        <v>29</v>
      </c>
      <c r="D12" s="120" t="s">
        <v>16</v>
      </c>
      <c r="E12" s="120" t="s">
        <v>17</v>
      </c>
      <c r="F12" s="120" t="s">
        <v>19</v>
      </c>
      <c r="G12" s="120" t="s">
        <v>4145</v>
      </c>
      <c r="H12" s="120" t="s">
        <v>4147</v>
      </c>
      <c r="I12" s="120" t="s">
        <v>18</v>
      </c>
      <c r="J12" s="120" t="s">
        <v>30</v>
      </c>
      <c r="K12" s="121" t="s">
        <v>4100</v>
      </c>
    </row>
    <row r="13" spans="2:11" x14ac:dyDescent="0.3">
      <c r="B13" t="str">
        <f>TEXT(Exceptions[[#This Row],[Date]],"MMMM")</f>
        <v>January</v>
      </c>
      <c r="C13" s="146"/>
      <c r="D13" s="136"/>
      <c r="E13" s="136"/>
      <c r="F13" s="103"/>
      <c r="G13" s="103"/>
      <c r="H13" s="103"/>
      <c r="I13" s="42" t="str">
        <f>IF(OR(ISBLANK(Exceptions[[#This Row],[Start]]),ISBLANK(Exceptions[[#This Row],[End]])),"",(Exceptions[[#This Row],[End]]-Exceptions[[#This Row],[Start]])*1440)</f>
        <v/>
      </c>
      <c r="J13" s="42" t="str">
        <f>IF(ISBLANK(Exceptions[[#This Row],[Activity]]),"",IF(_xlfn.XLOOKUP(Exceptions[[#This Row],[Activity]],Types_of_Activity[Type of Activity],Types_of_Activity[Classification])=1,Exceptions[[#This Row],[Elapsed]],0))</f>
        <v/>
      </c>
      <c r="K13" s="42" t="str">
        <f>IF(ISBLANK(Exceptions[[#This Row],[Activity]]),"",IF(_xlfn.XLOOKUP(Exceptions[[#This Row],[Activity]],Types_of_Activity[Type of Activity],Types_of_Activity[Classification])=2,Exceptions[[#This Row],[Elapsed]],0))</f>
        <v/>
      </c>
    </row>
    <row r="14" spans="2:11" x14ac:dyDescent="0.3">
      <c r="B14" t="str">
        <f>TEXT(Exceptions[[#This Row],[Date]],"MMMM")</f>
        <v>January</v>
      </c>
      <c r="C14" s="146"/>
      <c r="D14" s="136"/>
      <c r="E14" s="136"/>
      <c r="F14" s="103"/>
      <c r="G14" s="103"/>
      <c r="H14" s="103"/>
      <c r="I14" s="42" t="str">
        <f>IF(OR(ISBLANK(Exceptions[[#This Row],[Start]]),ISBLANK(Exceptions[[#This Row],[End]])),"",(Exceptions[[#This Row],[End]]-Exceptions[[#This Row],[Start]])*1440)</f>
        <v/>
      </c>
      <c r="J14" s="42" t="str">
        <f>IF(ISBLANK(Exceptions[[#This Row],[Date]]),"",IF(Exceptions[[#This Row],[Activity]]="Instruction",Exceptions[[#This Row],[Elapsed]],0))</f>
        <v/>
      </c>
      <c r="K14" s="42" t="str">
        <f>IF(ISBLANK(Exceptions[[#This Row],[Activity]]),"",IF(_xlfn.XLOOKUP(Exceptions[[#This Row],[Activity]],Types_of_Activity[Type of Activity],Types_of_Activity[Classification])=2,Exceptions[[#This Row],[Elapsed]],0))</f>
        <v/>
      </c>
    </row>
    <row r="15" spans="2:11" x14ac:dyDescent="0.3">
      <c r="B15" t="str">
        <f>TEXT(Exceptions[[#This Row],[Date]],"MMMM")</f>
        <v>January</v>
      </c>
      <c r="C15" s="146"/>
      <c r="D15" s="136"/>
      <c r="E15" s="136"/>
      <c r="F15" s="103"/>
      <c r="G15" s="103"/>
      <c r="H15" s="103"/>
      <c r="I15" s="42" t="str">
        <f>IF(OR(ISBLANK(Exceptions[[#This Row],[Start]]),ISBLANK(Exceptions[[#This Row],[End]])),"",(Exceptions[[#This Row],[End]]-Exceptions[[#This Row],[Start]])*1440)</f>
        <v/>
      </c>
      <c r="J15" s="42" t="str">
        <f>IF(ISBLANK(Exceptions[[#This Row],[Date]]),"",IF(Exceptions[[#This Row],[Activity]]="Instruction",Exceptions[[#This Row],[Elapsed]],0))</f>
        <v/>
      </c>
      <c r="K15" s="42" t="str">
        <f>IF(ISBLANK(Exceptions[[#This Row],[Activity]]),"",IF(_xlfn.XLOOKUP(Exceptions[[#This Row],[Activity]],Types_of_Activity[Type of Activity],Types_of_Activity[Classification])=2,Exceptions[[#This Row],[Elapsed]],0))</f>
        <v/>
      </c>
    </row>
    <row r="16" spans="2:11" x14ac:dyDescent="0.3">
      <c r="B16" t="str">
        <f>TEXT(Exceptions[[#This Row],[Date]],"MMMM")</f>
        <v>January</v>
      </c>
      <c r="C16" s="146"/>
      <c r="D16" s="136"/>
      <c r="E16" s="136"/>
      <c r="F16" s="103"/>
      <c r="G16" s="103"/>
      <c r="H16" s="103"/>
      <c r="I16" s="42" t="str">
        <f>IF(OR(ISBLANK(Exceptions[[#This Row],[Start]]),ISBLANK(Exceptions[[#This Row],[End]])),"",(Exceptions[[#This Row],[End]]-Exceptions[[#This Row],[Start]])*1440)</f>
        <v/>
      </c>
      <c r="J16" s="42" t="str">
        <f>IF(ISBLANK(Exceptions[[#This Row],[Date]]),"",IF(Exceptions[[#This Row],[Activity]]="Instruction",Exceptions[[#This Row],[Elapsed]],0))</f>
        <v/>
      </c>
      <c r="K16" s="42" t="str">
        <f>IF(ISBLANK(Exceptions[[#This Row],[Activity]]),"",IF(_xlfn.XLOOKUP(Exceptions[[#This Row],[Activity]],Types_of_Activity[Type of Activity],Types_of_Activity[Classification])=2,Exceptions[[#This Row],[Elapsed]],0))</f>
        <v/>
      </c>
    </row>
    <row r="17" spans="2:16" x14ac:dyDescent="0.3">
      <c r="B17" t="str">
        <f>TEXT(Exceptions[[#This Row],[Date]],"MMMM")</f>
        <v>January</v>
      </c>
      <c r="C17" s="146"/>
      <c r="D17" s="136"/>
      <c r="E17" s="136"/>
      <c r="F17" s="103"/>
      <c r="G17" s="103"/>
      <c r="H17" s="103"/>
      <c r="I17" s="42" t="str">
        <f>IF(OR(ISBLANK(Exceptions[[#This Row],[Start]]),ISBLANK(Exceptions[[#This Row],[End]])),"",(Exceptions[[#This Row],[End]]-Exceptions[[#This Row],[Start]])*1440)</f>
        <v/>
      </c>
      <c r="J17" s="42" t="str">
        <f>IF(ISBLANK(Exceptions[[#This Row],[Date]]),"",IF(Exceptions[[#This Row],[Activity]]="Instruction",Exceptions[[#This Row],[Elapsed]],0))</f>
        <v/>
      </c>
      <c r="K17" s="42" t="str">
        <f>IF(ISBLANK(Exceptions[[#This Row],[Activity]]),"",IF(_xlfn.XLOOKUP(Exceptions[[#This Row],[Activity]],Types_of_Activity[Type of Activity],Types_of_Activity[Classification])=2,Exceptions[[#This Row],[Elapsed]],0))</f>
        <v/>
      </c>
    </row>
    <row r="18" spans="2:16" x14ac:dyDescent="0.3">
      <c r="B18" t="str">
        <f>TEXT(Exceptions[[#This Row],[Date]],"MMMM")</f>
        <v>January</v>
      </c>
      <c r="C18" s="146"/>
      <c r="D18" s="136"/>
      <c r="E18" s="136"/>
      <c r="F18" s="103"/>
      <c r="G18" s="103"/>
      <c r="H18" s="103"/>
      <c r="I18" s="42" t="str">
        <f>IF(OR(ISBLANK(Exceptions[[#This Row],[Start]]),ISBLANK(Exceptions[[#This Row],[End]])),"",(Exceptions[[#This Row],[End]]-Exceptions[[#This Row],[Start]])*1440)</f>
        <v/>
      </c>
      <c r="J18" s="42" t="str">
        <f>IF(ISBLANK(Exceptions[[#This Row],[Date]]),"",IF(Exceptions[[#This Row],[Activity]]="Instruction",Exceptions[[#This Row],[Elapsed]],0))</f>
        <v/>
      </c>
      <c r="K18" s="42" t="str">
        <f>IF(ISBLANK(Exceptions[[#This Row],[Activity]]),"",IF(_xlfn.XLOOKUP(Exceptions[[#This Row],[Activity]],Types_of_Activity[Type of Activity],Types_of_Activity[Classification])=2,Exceptions[[#This Row],[Elapsed]],0))</f>
        <v/>
      </c>
    </row>
    <row r="19" spans="2:16" x14ac:dyDescent="0.3">
      <c r="B19" t="str">
        <f>TEXT(Exceptions[[#This Row],[Date]],"MMMM")</f>
        <v>January</v>
      </c>
      <c r="C19" s="146"/>
      <c r="D19" s="136"/>
      <c r="E19" s="136"/>
      <c r="F19" s="103"/>
      <c r="G19" s="103"/>
      <c r="H19" s="103"/>
      <c r="I19" s="42" t="str">
        <f>IF(OR(ISBLANK(Exceptions[[#This Row],[Start]]),ISBLANK(Exceptions[[#This Row],[End]])),"",(Exceptions[[#This Row],[End]]-Exceptions[[#This Row],[Start]])*1440)</f>
        <v/>
      </c>
      <c r="J19" s="42" t="str">
        <f>IF(ISBLANK(Exceptions[[#This Row],[Date]]),"",IF(Exceptions[[#This Row],[Activity]]="Instruction",Exceptions[[#This Row],[Elapsed]],0))</f>
        <v/>
      </c>
      <c r="K19" s="42" t="str">
        <f>IF(ISBLANK(Exceptions[[#This Row],[Activity]]),"",IF(_xlfn.XLOOKUP(Exceptions[[#This Row],[Activity]],Types_of_Activity[Type of Activity],Types_of_Activity[Classification])=2,Exceptions[[#This Row],[Elapsed]],0))</f>
        <v/>
      </c>
    </row>
    <row r="20" spans="2:16" x14ac:dyDescent="0.3">
      <c r="B20" t="str">
        <f>TEXT(Exceptions[[#This Row],[Date]],"MMMM")</f>
        <v>January</v>
      </c>
      <c r="C20" s="146"/>
      <c r="D20" s="136"/>
      <c r="E20" s="136"/>
      <c r="F20" s="103"/>
      <c r="G20" s="103"/>
      <c r="H20" s="103"/>
      <c r="I20" s="42" t="str">
        <f>IF(OR(ISBLANK(Exceptions[[#This Row],[Start]]),ISBLANK(Exceptions[[#This Row],[End]])),"",(Exceptions[[#This Row],[End]]-Exceptions[[#This Row],[Start]])*1440)</f>
        <v/>
      </c>
      <c r="J20" s="42" t="str">
        <f>IF(ISBLANK(Exceptions[[#This Row],[Date]]),"",IF(Exceptions[[#This Row],[Activity]]="Instruction",Exceptions[[#This Row],[Elapsed]],0))</f>
        <v/>
      </c>
      <c r="K20" s="42" t="str">
        <f>IF(ISBLANK(Exceptions[[#This Row],[Activity]]),"",IF(_xlfn.XLOOKUP(Exceptions[[#This Row],[Activity]],Types_of_Activity[Type of Activity],Types_of_Activity[Classification])=2,Exceptions[[#This Row],[Elapsed]],0))</f>
        <v/>
      </c>
    </row>
    <row r="21" spans="2:16" x14ac:dyDescent="0.3">
      <c r="B21" t="str">
        <f>TEXT(Exceptions[[#This Row],[Date]],"MMMM")</f>
        <v>January</v>
      </c>
      <c r="C21" s="146"/>
      <c r="D21" s="136"/>
      <c r="E21" s="136"/>
      <c r="F21" s="103"/>
      <c r="G21" s="103"/>
      <c r="H21" s="103"/>
      <c r="I21" s="42" t="str">
        <f>IF(OR(ISBLANK(Exceptions[[#This Row],[Start]]),ISBLANK(Exceptions[[#This Row],[End]])),"",(Exceptions[[#This Row],[End]]-Exceptions[[#This Row],[Start]])*1440)</f>
        <v/>
      </c>
      <c r="J21" s="42" t="str">
        <f>IF(ISBLANK(Exceptions[[#This Row],[Date]]),"",IF(Exceptions[[#This Row],[Activity]]="Instruction",Exceptions[[#This Row],[Elapsed]],0))</f>
        <v/>
      </c>
      <c r="K21" s="42" t="str">
        <f>IF(ISBLANK(Exceptions[[#This Row],[Activity]]),"",IF(_xlfn.XLOOKUP(Exceptions[[#This Row],[Activity]],Types_of_Activity[Type of Activity],Types_of_Activity[Classification])=2,Exceptions[[#This Row],[Elapsed]],0))</f>
        <v/>
      </c>
    </row>
    <row r="22" spans="2:16" x14ac:dyDescent="0.3">
      <c r="B22" t="str">
        <f>TEXT(Exceptions[[#This Row],[Date]],"MMMM")</f>
        <v>January</v>
      </c>
      <c r="C22" s="146"/>
      <c r="D22" s="136"/>
      <c r="E22" s="136"/>
      <c r="F22" s="103"/>
      <c r="G22" s="103"/>
      <c r="H22" s="103"/>
      <c r="I22" s="42" t="str">
        <f>IF(OR(ISBLANK(Exceptions[[#This Row],[Start]]),ISBLANK(Exceptions[[#This Row],[End]])),"",(Exceptions[[#This Row],[End]]-Exceptions[[#This Row],[Start]])*1440)</f>
        <v/>
      </c>
      <c r="J22" s="42" t="str">
        <f>IF(ISBLANK(Exceptions[[#This Row],[Date]]),"",IF(Exceptions[[#This Row],[Activity]]="Instruction",Exceptions[[#This Row],[Elapsed]],0))</f>
        <v/>
      </c>
      <c r="K22" s="42" t="str">
        <f>IF(ISBLANK(Exceptions[[#This Row],[Activity]]),"",IF(_xlfn.XLOOKUP(Exceptions[[#This Row],[Activity]],Types_of_Activity[Type of Activity],Types_of_Activity[Classification])=2,Exceptions[[#This Row],[Elapsed]],0))</f>
        <v/>
      </c>
    </row>
    <row r="23" spans="2:16" x14ac:dyDescent="0.3">
      <c r="B23" t="str">
        <f>TEXT(Exceptions[[#This Row],[Date]],"MMMM")</f>
        <v>January</v>
      </c>
      <c r="C23" s="146"/>
      <c r="D23" s="136"/>
      <c r="E23" s="136"/>
      <c r="F23" s="103"/>
      <c r="G23" s="103"/>
      <c r="H23" s="103"/>
      <c r="I23" s="42" t="str">
        <f>IF(OR(ISBLANK(Exceptions[[#This Row],[Start]]),ISBLANK(Exceptions[[#This Row],[End]])),"",(Exceptions[[#This Row],[End]]-Exceptions[[#This Row],[Start]])*1440)</f>
        <v/>
      </c>
      <c r="J23" s="42" t="str">
        <f>IF(ISBLANK(Exceptions[[#This Row],[Date]]),"",IF(Exceptions[[#This Row],[Activity]]="Instruction",Exceptions[[#This Row],[Elapsed]],0))</f>
        <v/>
      </c>
      <c r="K23" s="42" t="str">
        <f>IF(ISBLANK(Exceptions[[#This Row],[Activity]]),"",IF(_xlfn.XLOOKUP(Exceptions[[#This Row],[Activity]],Types_of_Activity[Type of Activity],Types_of_Activity[Classification])=2,Exceptions[[#This Row],[Elapsed]],0))</f>
        <v/>
      </c>
    </row>
    <row r="24" spans="2:16" x14ac:dyDescent="0.3">
      <c r="B24" t="str">
        <f>TEXT(Exceptions[[#This Row],[Date]],"MMMM")</f>
        <v>January</v>
      </c>
      <c r="C24" s="146"/>
      <c r="D24" s="136"/>
      <c r="E24" s="136"/>
      <c r="F24" s="103"/>
      <c r="G24" s="103"/>
      <c r="H24" s="103"/>
      <c r="I24" s="42" t="str">
        <f>IF(OR(ISBLANK(Exceptions[[#This Row],[Start]]),ISBLANK(Exceptions[[#This Row],[End]])),"",(Exceptions[[#This Row],[End]]-Exceptions[[#This Row],[Start]])*1440)</f>
        <v/>
      </c>
      <c r="J24" s="42" t="str">
        <f>IF(ISBLANK(Exceptions[[#This Row],[Date]]),"",IF(Exceptions[[#This Row],[Activity]]="Instruction",Exceptions[[#This Row],[Elapsed]],0))</f>
        <v/>
      </c>
      <c r="K24" s="42" t="str">
        <f>IF(ISBLANK(Exceptions[[#This Row],[Activity]]),"",IF(_xlfn.XLOOKUP(Exceptions[[#This Row],[Activity]],Types_of_Activity[Type of Activity],Types_of_Activity[Classification])=2,Exceptions[[#This Row],[Elapsed]],0))</f>
        <v/>
      </c>
    </row>
    <row r="25" spans="2:16" x14ac:dyDescent="0.3">
      <c r="B25" t="str">
        <f>TEXT(Exceptions[[#This Row],[Date]],"MMMM")</f>
        <v>January</v>
      </c>
      <c r="C25" s="146"/>
      <c r="D25" s="136"/>
      <c r="E25" s="136"/>
      <c r="F25" s="103"/>
      <c r="G25" s="103"/>
      <c r="H25" s="103"/>
      <c r="I25" s="42" t="str">
        <f>IF(OR(ISBLANK(Exceptions[[#This Row],[Start]]),ISBLANK(Exceptions[[#This Row],[End]])),"",(Exceptions[[#This Row],[End]]-Exceptions[[#This Row],[Start]])*1440)</f>
        <v/>
      </c>
      <c r="J25" s="42" t="str">
        <f>IF(ISBLANK(Exceptions[[#This Row],[Date]]),"",IF(Exceptions[[#This Row],[Activity]]="Instruction",Exceptions[[#This Row],[Elapsed]],0))</f>
        <v/>
      </c>
      <c r="K25" s="42" t="str">
        <f>IF(ISBLANK(Exceptions[[#This Row],[Activity]]),"",IF(_xlfn.XLOOKUP(Exceptions[[#This Row],[Activity]],Types_of_Activity[Type of Activity],Types_of_Activity[Classification])=2,Exceptions[[#This Row],[Elapsed]],0))</f>
        <v/>
      </c>
    </row>
    <row r="26" spans="2:16" x14ac:dyDescent="0.3">
      <c r="B26" t="str">
        <f>TEXT(Exceptions[[#This Row],[Date]],"MMMM")</f>
        <v>January</v>
      </c>
      <c r="C26" s="146"/>
      <c r="D26" s="136"/>
      <c r="E26" s="136"/>
      <c r="F26" s="103"/>
      <c r="G26" s="103"/>
      <c r="H26" s="103"/>
      <c r="I26" s="42" t="str">
        <f>IF(OR(ISBLANK(Exceptions[[#This Row],[Start]]),ISBLANK(Exceptions[[#This Row],[End]])),"",(Exceptions[[#This Row],[End]]-Exceptions[[#This Row],[Start]])*1440)</f>
        <v/>
      </c>
      <c r="J26" s="42" t="str">
        <f>IF(ISBLANK(Exceptions[[#This Row],[Date]]),"",IF(Exceptions[[#This Row],[Activity]]="Instruction",Exceptions[[#This Row],[Elapsed]],0))</f>
        <v/>
      </c>
      <c r="K26" s="42" t="str">
        <f>IF(ISBLANK(Exceptions[[#This Row],[Activity]]),"",IF(_xlfn.XLOOKUP(Exceptions[[#This Row],[Activity]],Types_of_Activity[Type of Activity],Types_of_Activity[Classification])=2,Exceptions[[#This Row],[Elapsed]],0))</f>
        <v/>
      </c>
    </row>
    <row r="27" spans="2:16" x14ac:dyDescent="0.3">
      <c r="B27" t="str">
        <f>TEXT(Exceptions[[#This Row],[Date]],"MMMM")</f>
        <v>January</v>
      </c>
      <c r="C27" s="146"/>
      <c r="D27" s="136"/>
      <c r="E27" s="136"/>
      <c r="F27" s="103"/>
      <c r="G27" s="103"/>
      <c r="H27" s="103"/>
      <c r="I27" s="42" t="str">
        <f>IF(OR(ISBLANK(Exceptions[[#This Row],[Start]]),ISBLANK(Exceptions[[#This Row],[End]])),"",(Exceptions[[#This Row],[End]]-Exceptions[[#This Row],[Start]])*1440)</f>
        <v/>
      </c>
      <c r="J27" s="42" t="str">
        <f>IF(ISBLANK(Exceptions[[#This Row],[Date]]),"",IF(Exceptions[[#This Row],[Activity]]="Instruction",Exceptions[[#This Row],[Elapsed]],0))</f>
        <v/>
      </c>
      <c r="K27" s="42" t="str">
        <f>IF(ISBLANK(Exceptions[[#This Row],[Activity]]),"",IF(_xlfn.XLOOKUP(Exceptions[[#This Row],[Activity]],Types_of_Activity[Type of Activity],Types_of_Activity[Classification])=2,Exceptions[[#This Row],[Elapsed]],0))</f>
        <v/>
      </c>
    </row>
    <row r="28" spans="2:16" x14ac:dyDescent="0.3">
      <c r="B28" t="str">
        <f>TEXT(Exceptions[[#This Row],[Date]],"MMMM")</f>
        <v>January</v>
      </c>
      <c r="C28" s="146"/>
      <c r="D28" s="136"/>
      <c r="E28" s="136"/>
      <c r="F28" s="103"/>
      <c r="G28" s="103"/>
      <c r="H28" s="103"/>
      <c r="I28" s="42" t="str">
        <f>IF(OR(ISBLANK(Exceptions[[#This Row],[Start]]),ISBLANK(Exceptions[[#This Row],[End]])),"",(Exceptions[[#This Row],[End]]-Exceptions[[#This Row],[Start]])*1440)</f>
        <v/>
      </c>
      <c r="J28" s="42" t="str">
        <f>IF(ISBLANK(Exceptions[[#This Row],[Date]]),"",IF(Exceptions[[#This Row],[Activity]]="Instruction",Exceptions[[#This Row],[Elapsed]],0))</f>
        <v/>
      </c>
      <c r="K28" s="42" t="str">
        <f>IF(ISBLANK(Exceptions[[#This Row],[Activity]]),"",IF(_xlfn.XLOOKUP(Exceptions[[#This Row],[Activity]],Types_of_Activity[Type of Activity],Types_of_Activity[Classification])=2,Exceptions[[#This Row],[Elapsed]],0))</f>
        <v/>
      </c>
    </row>
    <row r="29" spans="2:16" x14ac:dyDescent="0.3">
      <c r="B29" t="str">
        <f>TEXT(Exceptions[[#This Row],[Date]],"MMMM")</f>
        <v>January</v>
      </c>
      <c r="C29" s="146"/>
      <c r="D29" s="136"/>
      <c r="E29" s="136"/>
      <c r="F29" s="103"/>
      <c r="G29" s="103"/>
      <c r="H29" s="103"/>
      <c r="I29" s="42" t="str">
        <f>IF(OR(ISBLANK(Exceptions[[#This Row],[Start]]),ISBLANK(Exceptions[[#This Row],[End]])),"",(Exceptions[[#This Row],[End]]-Exceptions[[#This Row],[Start]])*1440)</f>
        <v/>
      </c>
      <c r="J29" s="42" t="str">
        <f>IF(ISBLANK(Exceptions[[#This Row],[Date]]),"",IF(Exceptions[[#This Row],[Activity]]="Instruction",Exceptions[[#This Row],[Elapsed]],0))</f>
        <v/>
      </c>
      <c r="K29" s="42" t="str">
        <f>IF(ISBLANK(Exceptions[[#This Row],[Activity]]),"",IF(_xlfn.XLOOKUP(Exceptions[[#This Row],[Activity]],Types_of_Activity[Type of Activity],Types_of_Activity[Classification])=2,Exceptions[[#This Row],[Elapsed]],0))</f>
        <v/>
      </c>
      <c r="P29" s="42"/>
    </row>
    <row r="30" spans="2:16" x14ac:dyDescent="0.3">
      <c r="B30" t="str">
        <f>TEXT(Exceptions[[#This Row],[Date]],"MMMM")</f>
        <v>January</v>
      </c>
      <c r="C30" s="146"/>
      <c r="D30" s="136"/>
      <c r="E30" s="136"/>
      <c r="F30" s="103"/>
      <c r="G30" s="103"/>
      <c r="H30" s="103"/>
      <c r="I30" s="42" t="str">
        <f>IF(OR(ISBLANK(Exceptions[[#This Row],[Start]]),ISBLANK(Exceptions[[#This Row],[End]])),"",(Exceptions[[#This Row],[End]]-Exceptions[[#This Row],[Start]])*1440)</f>
        <v/>
      </c>
      <c r="J30" s="42" t="str">
        <f>IF(ISBLANK(Exceptions[[#This Row],[Date]]),"",IF(Exceptions[[#This Row],[Activity]]="Instruction",Exceptions[[#This Row],[Elapsed]],0))</f>
        <v/>
      </c>
      <c r="K30" s="42" t="str">
        <f>IF(ISBLANK(Exceptions[[#This Row],[Activity]]),"",IF(_xlfn.XLOOKUP(Exceptions[[#This Row],[Activity]],Types_of_Activity[Type of Activity],Types_of_Activity[Classification])=2,Exceptions[[#This Row],[Elapsed]],0))</f>
        <v/>
      </c>
    </row>
    <row r="31" spans="2:16" x14ac:dyDescent="0.3">
      <c r="B31" t="str">
        <f>TEXT(Exceptions[[#This Row],[Date]],"MMMM")</f>
        <v>January</v>
      </c>
      <c r="C31" s="146"/>
      <c r="D31" s="136"/>
      <c r="E31" s="136"/>
      <c r="F31" s="103"/>
      <c r="G31" s="103"/>
      <c r="H31" s="103"/>
      <c r="I31" s="42" t="str">
        <f>IF(OR(ISBLANK(Exceptions[[#This Row],[Start]]),ISBLANK(Exceptions[[#This Row],[End]])),"",(Exceptions[[#This Row],[End]]-Exceptions[[#This Row],[Start]])*1440)</f>
        <v/>
      </c>
      <c r="J31" s="42" t="str">
        <f>IF(ISBLANK(Exceptions[[#This Row],[Date]]),"",IF(Exceptions[[#This Row],[Activity]]="Instruction",Exceptions[[#This Row],[Elapsed]],0))</f>
        <v/>
      </c>
      <c r="K31" s="42" t="str">
        <f>IF(ISBLANK(Exceptions[[#This Row],[Activity]]),"",IF(_xlfn.XLOOKUP(Exceptions[[#This Row],[Activity]],Types_of_Activity[Type of Activity],Types_of_Activity[Classification])=2,Exceptions[[#This Row],[Elapsed]],0))</f>
        <v/>
      </c>
    </row>
    <row r="32" spans="2:16" x14ac:dyDescent="0.3">
      <c r="B32" t="str">
        <f>TEXT(Exceptions[[#This Row],[Date]],"MMMM")</f>
        <v>January</v>
      </c>
      <c r="C32" s="146"/>
      <c r="D32" s="136"/>
      <c r="E32" s="136"/>
      <c r="F32" s="103"/>
      <c r="G32" s="103"/>
      <c r="H32" s="103"/>
      <c r="I32" s="42" t="str">
        <f>IF(OR(ISBLANK(Exceptions[[#This Row],[Start]]),ISBLANK(Exceptions[[#This Row],[End]])),"",(Exceptions[[#This Row],[End]]-Exceptions[[#This Row],[Start]])*1440)</f>
        <v/>
      </c>
      <c r="J32" s="42" t="str">
        <f>IF(ISBLANK(Exceptions[[#This Row],[Date]]),"",IF(Exceptions[[#This Row],[Activity]]="Instruction",Exceptions[[#This Row],[Elapsed]],0))</f>
        <v/>
      </c>
      <c r="K32" s="42" t="str">
        <f>IF(ISBLANK(Exceptions[[#This Row],[Activity]]),"",IF(_xlfn.XLOOKUP(Exceptions[[#This Row],[Activity]],Types_of_Activity[Type of Activity],Types_of_Activity[Classification])=2,Exceptions[[#This Row],[Elapsed]],0))</f>
        <v/>
      </c>
    </row>
    <row r="33" spans="2:11" x14ac:dyDescent="0.3">
      <c r="B33" t="str">
        <f>TEXT(Exceptions[[#This Row],[Date]],"MMMM")</f>
        <v>January</v>
      </c>
      <c r="C33" s="146"/>
      <c r="D33" s="136"/>
      <c r="E33" s="136"/>
      <c r="F33" s="103"/>
      <c r="G33" s="103"/>
      <c r="H33" s="103"/>
      <c r="I33" s="42" t="str">
        <f>IF(OR(ISBLANK(Exceptions[[#This Row],[Start]]),ISBLANK(Exceptions[[#This Row],[End]])),"",(Exceptions[[#This Row],[End]]-Exceptions[[#This Row],[Start]])*1440)</f>
        <v/>
      </c>
      <c r="J33" s="42" t="str">
        <f>IF(ISBLANK(Exceptions[[#This Row],[Date]]),"",IF(Exceptions[[#This Row],[Activity]]="Instruction",Exceptions[[#This Row],[Elapsed]],0))</f>
        <v/>
      </c>
      <c r="K33" s="42" t="str">
        <f>IF(ISBLANK(Exceptions[[#This Row],[Activity]]),"",IF(_xlfn.XLOOKUP(Exceptions[[#This Row],[Activity]],Types_of_Activity[Type of Activity],Types_of_Activity[Classification])=2,Exceptions[[#This Row],[Elapsed]],0))</f>
        <v/>
      </c>
    </row>
    <row r="34" spans="2:11" x14ac:dyDescent="0.3">
      <c r="B34" t="str">
        <f>TEXT(Exceptions[[#This Row],[Date]],"MMMM")</f>
        <v>January</v>
      </c>
      <c r="C34" s="146"/>
      <c r="D34" s="136"/>
      <c r="E34" s="136"/>
      <c r="F34" s="103"/>
      <c r="G34" s="103"/>
      <c r="H34" s="103"/>
      <c r="I34" s="42" t="str">
        <f>IF(OR(ISBLANK(Exceptions[[#This Row],[Start]]),ISBLANK(Exceptions[[#This Row],[End]])),"",(Exceptions[[#This Row],[End]]-Exceptions[[#This Row],[Start]])*1440)</f>
        <v/>
      </c>
      <c r="J34" s="42" t="str">
        <f>IF(ISBLANK(Exceptions[[#This Row],[Date]]),"",IF(Exceptions[[#This Row],[Activity]]="Instruction",Exceptions[[#This Row],[Elapsed]],0))</f>
        <v/>
      </c>
      <c r="K34" s="42" t="str">
        <f>IF(ISBLANK(Exceptions[[#This Row],[Activity]]),"",IF(_xlfn.XLOOKUP(Exceptions[[#This Row],[Activity]],Types_of_Activity[Type of Activity],Types_of_Activity[Classification])=2,Exceptions[[#This Row],[Elapsed]],0))</f>
        <v/>
      </c>
    </row>
    <row r="35" spans="2:11" x14ac:dyDescent="0.3">
      <c r="B35" t="str">
        <f>TEXT(Exceptions[[#This Row],[Date]],"MMMM")</f>
        <v>January</v>
      </c>
      <c r="C35" s="146"/>
      <c r="D35" s="136"/>
      <c r="E35" s="136"/>
      <c r="F35" s="103"/>
      <c r="G35" s="103"/>
      <c r="H35" s="103"/>
      <c r="I35" s="42" t="str">
        <f>IF(OR(ISBLANK(Exceptions[[#This Row],[Start]]),ISBLANK(Exceptions[[#This Row],[End]])),"",(Exceptions[[#This Row],[End]]-Exceptions[[#This Row],[Start]])*1440)</f>
        <v/>
      </c>
      <c r="J35" s="42" t="str">
        <f>IF(ISBLANK(Exceptions[[#This Row],[Date]]),"",IF(Exceptions[[#This Row],[Activity]]="Instruction",Exceptions[[#This Row],[Elapsed]],0))</f>
        <v/>
      </c>
      <c r="K35" s="42" t="str">
        <f>IF(ISBLANK(Exceptions[[#This Row],[Activity]]),"",IF(_xlfn.XLOOKUP(Exceptions[[#This Row],[Activity]],Types_of_Activity[Type of Activity],Types_of_Activity[Classification])=2,Exceptions[[#This Row],[Elapsed]],0))</f>
        <v/>
      </c>
    </row>
    <row r="36" spans="2:11" x14ac:dyDescent="0.3">
      <c r="B36" t="str">
        <f>TEXT(Exceptions[[#This Row],[Date]],"MMMM")</f>
        <v>January</v>
      </c>
      <c r="C36" s="146"/>
      <c r="D36" s="136"/>
      <c r="E36" s="136"/>
      <c r="F36" s="103"/>
      <c r="G36" s="103"/>
      <c r="H36" s="103"/>
      <c r="I36" s="42" t="str">
        <f>IF(OR(ISBLANK(Exceptions[[#This Row],[Start]]),ISBLANK(Exceptions[[#This Row],[End]])),"",(Exceptions[[#This Row],[End]]-Exceptions[[#This Row],[Start]])*1440)</f>
        <v/>
      </c>
      <c r="J36" s="42" t="str">
        <f>IF(ISBLANK(Exceptions[[#This Row],[Date]]),"",IF(Exceptions[[#This Row],[Activity]]="Instruction",Exceptions[[#This Row],[Elapsed]],0))</f>
        <v/>
      </c>
      <c r="K36" s="42" t="str">
        <f>IF(ISBLANK(Exceptions[[#This Row],[Activity]]),"",IF(_xlfn.XLOOKUP(Exceptions[[#This Row],[Activity]],Types_of_Activity[Type of Activity],Types_of_Activity[Classification])=2,Exceptions[[#This Row],[Elapsed]],0))</f>
        <v/>
      </c>
    </row>
    <row r="37" spans="2:11" x14ac:dyDescent="0.3">
      <c r="B37" t="str">
        <f>TEXT(Exceptions[[#This Row],[Date]],"MMMM")</f>
        <v>January</v>
      </c>
      <c r="C37" s="146"/>
      <c r="D37" s="136"/>
      <c r="E37" s="136"/>
      <c r="F37" s="103"/>
      <c r="G37" s="103"/>
      <c r="H37" s="103"/>
      <c r="I37" s="42" t="str">
        <f>IF(OR(ISBLANK(Exceptions[[#This Row],[Start]]),ISBLANK(Exceptions[[#This Row],[End]])),"",(Exceptions[[#This Row],[End]]-Exceptions[[#This Row],[Start]])*1440)</f>
        <v/>
      </c>
      <c r="J37" s="42" t="str">
        <f>IF(ISBLANK(Exceptions[[#This Row],[Date]]),"",IF(Exceptions[[#This Row],[Activity]]="Instruction",Exceptions[[#This Row],[Elapsed]],0))</f>
        <v/>
      </c>
      <c r="K37" s="42" t="str">
        <f>IF(ISBLANK(Exceptions[[#This Row],[Activity]]),"",IF(_xlfn.XLOOKUP(Exceptions[[#This Row],[Activity]],Types_of_Activity[Type of Activity],Types_of_Activity[Classification])=2,Exceptions[[#This Row],[Elapsed]],0))</f>
        <v/>
      </c>
    </row>
    <row r="38" spans="2:11" x14ac:dyDescent="0.3">
      <c r="B38" t="str">
        <f>TEXT(Exceptions[[#This Row],[Date]],"MMMM")</f>
        <v>January</v>
      </c>
      <c r="C38" s="146"/>
      <c r="D38" s="136"/>
      <c r="E38" s="136"/>
      <c r="F38" s="103"/>
      <c r="G38" s="103"/>
      <c r="H38" s="103"/>
      <c r="I38" s="42" t="str">
        <f>IF(OR(ISBLANK(Exceptions[[#This Row],[Start]]),ISBLANK(Exceptions[[#This Row],[End]])),"",(Exceptions[[#This Row],[End]]-Exceptions[[#This Row],[Start]])*1440)</f>
        <v/>
      </c>
      <c r="J38" s="42" t="str">
        <f>IF(ISBLANK(Exceptions[[#This Row],[Date]]),"",IF(Exceptions[[#This Row],[Activity]]="Instruction",Exceptions[[#This Row],[Elapsed]],0))</f>
        <v/>
      </c>
      <c r="K38" s="42" t="str">
        <f>IF(ISBLANK(Exceptions[[#This Row],[Activity]]),"",IF(_xlfn.XLOOKUP(Exceptions[[#This Row],[Activity]],Types_of_Activity[Type of Activity],Types_of_Activity[Classification])=2,Exceptions[[#This Row],[Elapsed]],0))</f>
        <v/>
      </c>
    </row>
    <row r="39" spans="2:11" x14ac:dyDescent="0.3">
      <c r="B39" t="str">
        <f>TEXT(Exceptions[[#This Row],[Date]],"MMMM")</f>
        <v>January</v>
      </c>
      <c r="C39" s="146"/>
      <c r="D39" s="136"/>
      <c r="E39" s="136"/>
      <c r="F39" s="103"/>
      <c r="G39" s="103"/>
      <c r="H39" s="103"/>
      <c r="I39" s="42" t="str">
        <f>IF(OR(ISBLANK(Exceptions[[#This Row],[Start]]),ISBLANK(Exceptions[[#This Row],[End]])),"",(Exceptions[[#This Row],[End]]-Exceptions[[#This Row],[Start]])*1440)</f>
        <v/>
      </c>
      <c r="J39" s="42" t="str">
        <f>IF(ISBLANK(Exceptions[[#This Row],[Date]]),"",IF(Exceptions[[#This Row],[Activity]]="Instruction",Exceptions[[#This Row],[Elapsed]],0))</f>
        <v/>
      </c>
      <c r="K39" s="42" t="str">
        <f>IF(ISBLANK(Exceptions[[#This Row],[Activity]]),"",IF(_xlfn.XLOOKUP(Exceptions[[#This Row],[Activity]],Types_of_Activity[Type of Activity],Types_of_Activity[Classification])=2,Exceptions[[#This Row],[Elapsed]],0))</f>
        <v/>
      </c>
    </row>
    <row r="40" spans="2:11" x14ac:dyDescent="0.3">
      <c r="B40" t="str">
        <f>TEXT(Exceptions[[#This Row],[Date]],"MMMM")</f>
        <v>January</v>
      </c>
      <c r="C40" s="146"/>
      <c r="D40" s="136"/>
      <c r="E40" s="136"/>
      <c r="F40" s="103"/>
      <c r="G40" s="103"/>
      <c r="H40" s="103"/>
      <c r="I40" s="42" t="str">
        <f>IF(OR(ISBLANK(Exceptions[[#This Row],[Start]]),ISBLANK(Exceptions[[#This Row],[End]])),"",(Exceptions[[#This Row],[End]]-Exceptions[[#This Row],[Start]])*1440)</f>
        <v/>
      </c>
      <c r="J40" s="42" t="str">
        <f>IF(ISBLANK(Exceptions[[#This Row],[Date]]),"",IF(Exceptions[[#This Row],[Activity]]="Instruction",Exceptions[[#This Row],[Elapsed]],0))</f>
        <v/>
      </c>
      <c r="K40" s="42" t="str">
        <f>IF(ISBLANK(Exceptions[[#This Row],[Activity]]),"",IF(_xlfn.XLOOKUP(Exceptions[[#This Row],[Activity]],Types_of_Activity[Type of Activity],Types_of_Activity[Classification])=2,Exceptions[[#This Row],[Elapsed]],0))</f>
        <v/>
      </c>
    </row>
    <row r="41" spans="2:11" x14ac:dyDescent="0.3">
      <c r="B41" t="str">
        <f>TEXT(Exceptions[[#This Row],[Date]],"MMMM")</f>
        <v>January</v>
      </c>
      <c r="C41" s="146"/>
      <c r="D41" s="136"/>
      <c r="E41" s="136"/>
      <c r="F41" s="103"/>
      <c r="G41" s="103"/>
      <c r="H41" s="103"/>
      <c r="I41" s="42" t="str">
        <f>IF(OR(ISBLANK(Exceptions[[#This Row],[Start]]),ISBLANK(Exceptions[[#This Row],[End]])),"",(Exceptions[[#This Row],[End]]-Exceptions[[#This Row],[Start]])*1440)</f>
        <v/>
      </c>
      <c r="J41" s="42" t="str">
        <f>IF(ISBLANK(Exceptions[[#This Row],[Date]]),"",IF(Exceptions[[#This Row],[Activity]]="Instruction",Exceptions[[#This Row],[Elapsed]],0))</f>
        <v/>
      </c>
      <c r="K41" s="42" t="str">
        <f>IF(ISBLANK(Exceptions[[#This Row],[Activity]]),"",IF(_xlfn.XLOOKUP(Exceptions[[#This Row],[Activity]],Types_of_Activity[Type of Activity],Types_of_Activity[Classification])=2,Exceptions[[#This Row],[Elapsed]],0))</f>
        <v/>
      </c>
    </row>
    <row r="42" spans="2:11" x14ac:dyDescent="0.3">
      <c r="B42" t="str">
        <f>TEXT(Exceptions[[#This Row],[Date]],"MMMM")</f>
        <v>January</v>
      </c>
      <c r="C42" s="146"/>
      <c r="D42" s="136"/>
      <c r="E42" s="136"/>
      <c r="F42" s="103"/>
      <c r="G42" s="103"/>
      <c r="H42" s="103"/>
      <c r="I42" s="42" t="str">
        <f>IF(OR(ISBLANK(Exceptions[[#This Row],[Start]]),ISBLANK(Exceptions[[#This Row],[End]])),"",(Exceptions[[#This Row],[End]]-Exceptions[[#This Row],[Start]])*1440)</f>
        <v/>
      </c>
      <c r="J42" s="42" t="str">
        <f>IF(ISBLANK(Exceptions[[#This Row],[Date]]),"",IF(Exceptions[[#This Row],[Activity]]="Instruction",Exceptions[[#This Row],[Elapsed]],0))</f>
        <v/>
      </c>
      <c r="K42" s="42" t="str">
        <f>IF(ISBLANK(Exceptions[[#This Row],[Activity]]),"",IF(_xlfn.XLOOKUP(Exceptions[[#This Row],[Activity]],Types_of_Activity[Type of Activity],Types_of_Activity[Classification])=2,Exceptions[[#This Row],[Elapsed]],0))</f>
        <v/>
      </c>
    </row>
    <row r="43" spans="2:11" x14ac:dyDescent="0.3">
      <c r="B43" t="str">
        <f>TEXT(Exceptions[[#This Row],[Date]],"MMMM")</f>
        <v>January</v>
      </c>
      <c r="C43" s="146"/>
      <c r="D43" s="136"/>
      <c r="E43" s="136"/>
      <c r="F43" s="103"/>
      <c r="G43" s="103"/>
      <c r="H43" s="103"/>
      <c r="I43" s="42" t="str">
        <f>IF(OR(ISBLANK(Exceptions[[#This Row],[Start]]),ISBLANK(Exceptions[[#This Row],[End]])),"",(Exceptions[[#This Row],[End]]-Exceptions[[#This Row],[Start]])*1440)</f>
        <v/>
      </c>
      <c r="J43" s="42" t="str">
        <f>IF(ISBLANK(Exceptions[[#This Row],[Date]]),"",IF(Exceptions[[#This Row],[Activity]]="Instruction",Exceptions[[#This Row],[Elapsed]],0))</f>
        <v/>
      </c>
      <c r="K43" s="42" t="str">
        <f>IF(ISBLANK(Exceptions[[#This Row],[Activity]]),"",IF(_xlfn.XLOOKUP(Exceptions[[#This Row],[Activity]],Types_of_Activity[Type of Activity],Types_of_Activity[Classification])=2,Exceptions[[#This Row],[Elapsed]],0))</f>
        <v/>
      </c>
    </row>
    <row r="44" spans="2:11" x14ac:dyDescent="0.3">
      <c r="B44" t="str">
        <f>TEXT(Exceptions[[#This Row],[Date]],"MMMM")</f>
        <v>January</v>
      </c>
      <c r="C44" s="146"/>
      <c r="D44" s="136"/>
      <c r="E44" s="136"/>
      <c r="F44" s="103"/>
      <c r="G44" s="103"/>
      <c r="H44" s="103"/>
      <c r="I44" s="42" t="str">
        <f>IF(OR(ISBLANK(Exceptions[[#This Row],[Start]]),ISBLANK(Exceptions[[#This Row],[End]])),"",(Exceptions[[#This Row],[End]]-Exceptions[[#This Row],[Start]])*1440)</f>
        <v/>
      </c>
      <c r="J44" s="42" t="str">
        <f>IF(ISBLANK(Exceptions[[#This Row],[Date]]),"",IF(Exceptions[[#This Row],[Activity]]="Instruction",Exceptions[[#This Row],[Elapsed]],0))</f>
        <v/>
      </c>
      <c r="K44" s="42" t="str">
        <f>IF(ISBLANK(Exceptions[[#This Row],[Activity]]),"",IF(_xlfn.XLOOKUP(Exceptions[[#This Row],[Activity]],Types_of_Activity[Type of Activity],Types_of_Activity[Classification])=2,Exceptions[[#This Row],[Elapsed]],0))</f>
        <v/>
      </c>
    </row>
    <row r="45" spans="2:11" x14ac:dyDescent="0.3">
      <c r="B45" t="str">
        <f>TEXT(Exceptions[[#This Row],[Date]],"MMMM")</f>
        <v>January</v>
      </c>
      <c r="C45" s="146"/>
      <c r="D45" s="136"/>
      <c r="E45" s="136"/>
      <c r="F45" s="103"/>
      <c r="G45" s="103"/>
      <c r="H45" s="103"/>
      <c r="I45" s="42" t="str">
        <f>IF(OR(ISBLANK(Exceptions[[#This Row],[Start]]),ISBLANK(Exceptions[[#This Row],[End]])),"",(Exceptions[[#This Row],[End]]-Exceptions[[#This Row],[Start]])*1440)</f>
        <v/>
      </c>
      <c r="J45" s="42" t="str">
        <f>IF(ISBLANK(Exceptions[[#This Row],[Date]]),"",IF(Exceptions[[#This Row],[Activity]]="Instruction",Exceptions[[#This Row],[Elapsed]],0))</f>
        <v/>
      </c>
      <c r="K45" s="42" t="str">
        <f>IF(ISBLANK(Exceptions[[#This Row],[Activity]]),"",IF(_xlfn.XLOOKUP(Exceptions[[#This Row],[Activity]],Types_of_Activity[Type of Activity],Types_of_Activity[Classification])=2,Exceptions[[#This Row],[Elapsed]],0))</f>
        <v/>
      </c>
    </row>
    <row r="46" spans="2:11" x14ac:dyDescent="0.3">
      <c r="B46" t="str">
        <f>TEXT(Exceptions[[#This Row],[Date]],"MMMM")</f>
        <v>January</v>
      </c>
      <c r="C46" s="146"/>
      <c r="D46" s="136"/>
      <c r="E46" s="136"/>
      <c r="F46" s="103"/>
      <c r="G46" s="103"/>
      <c r="H46" s="103"/>
      <c r="I46" s="42" t="str">
        <f>IF(OR(ISBLANK(Exceptions[[#This Row],[Start]]),ISBLANK(Exceptions[[#This Row],[End]])),"",(Exceptions[[#This Row],[End]]-Exceptions[[#This Row],[Start]])*1440)</f>
        <v/>
      </c>
      <c r="J46" s="42" t="str">
        <f>IF(ISBLANK(Exceptions[[#This Row],[Date]]),"",IF(Exceptions[[#This Row],[Activity]]="Instruction",Exceptions[[#This Row],[Elapsed]],0))</f>
        <v/>
      </c>
      <c r="K46" s="42" t="str">
        <f>IF(ISBLANK(Exceptions[[#This Row],[Activity]]),"",IF(_xlfn.XLOOKUP(Exceptions[[#This Row],[Activity]],Types_of_Activity[Type of Activity],Types_of_Activity[Classification])=2,Exceptions[[#This Row],[Elapsed]],0))</f>
        <v/>
      </c>
    </row>
    <row r="47" spans="2:11" x14ac:dyDescent="0.3">
      <c r="B47" t="str">
        <f>TEXT(Exceptions[[#This Row],[Date]],"MMMM")</f>
        <v>January</v>
      </c>
      <c r="C47" s="146"/>
      <c r="D47" s="136"/>
      <c r="E47" s="136"/>
      <c r="F47" s="103"/>
      <c r="G47" s="103"/>
      <c r="H47" s="103"/>
      <c r="I47" s="42" t="str">
        <f>IF(OR(ISBLANK(Exceptions[[#This Row],[Start]]),ISBLANK(Exceptions[[#This Row],[End]])),"",(Exceptions[[#This Row],[End]]-Exceptions[[#This Row],[Start]])*1440)</f>
        <v/>
      </c>
      <c r="J47" s="42" t="str">
        <f>IF(ISBLANK(Exceptions[[#This Row],[Date]]),"",IF(Exceptions[[#This Row],[Activity]]="Instruction",Exceptions[[#This Row],[Elapsed]],0))</f>
        <v/>
      </c>
      <c r="K47" s="42" t="str">
        <f>IF(ISBLANK(Exceptions[[#This Row],[Activity]]),"",IF(_xlfn.XLOOKUP(Exceptions[[#This Row],[Activity]],Types_of_Activity[Type of Activity],Types_of_Activity[Classification])=2,Exceptions[[#This Row],[Elapsed]],0))</f>
        <v/>
      </c>
    </row>
    <row r="48" spans="2:11" x14ac:dyDescent="0.3">
      <c r="B48" t="str">
        <f>TEXT(Exceptions[[#This Row],[Date]],"MMMM")</f>
        <v>January</v>
      </c>
      <c r="C48" s="146"/>
      <c r="D48" s="136"/>
      <c r="E48" s="136"/>
      <c r="F48" s="103"/>
      <c r="G48" s="103"/>
      <c r="H48" s="103"/>
      <c r="I48" s="42" t="str">
        <f>IF(OR(ISBLANK(Exceptions[[#This Row],[Start]]),ISBLANK(Exceptions[[#This Row],[End]])),"",(Exceptions[[#This Row],[End]]-Exceptions[[#This Row],[Start]])*1440)</f>
        <v/>
      </c>
      <c r="J48" s="42" t="str">
        <f>IF(ISBLANK(Exceptions[[#This Row],[Date]]),"",IF(Exceptions[[#This Row],[Activity]]="Instruction",Exceptions[[#This Row],[Elapsed]],0))</f>
        <v/>
      </c>
      <c r="K48" s="42" t="str">
        <f>IF(ISBLANK(Exceptions[[#This Row],[Activity]]),"",IF(_xlfn.XLOOKUP(Exceptions[[#This Row],[Activity]],Types_of_Activity[Type of Activity],Types_of_Activity[Classification])=2,Exceptions[[#This Row],[Elapsed]],0))</f>
        <v/>
      </c>
    </row>
    <row r="49" spans="2:11" x14ac:dyDescent="0.3">
      <c r="B49" t="str">
        <f>TEXT(Exceptions[[#This Row],[Date]],"MMMM")</f>
        <v>January</v>
      </c>
      <c r="C49" s="146"/>
      <c r="D49" s="136"/>
      <c r="E49" s="136"/>
      <c r="F49" s="103"/>
      <c r="G49" s="103"/>
      <c r="H49" s="103"/>
      <c r="I49" s="42" t="str">
        <f>IF(OR(ISBLANK(Exceptions[[#This Row],[Start]]),ISBLANK(Exceptions[[#This Row],[End]])),"",(Exceptions[[#This Row],[End]]-Exceptions[[#This Row],[Start]])*1440)</f>
        <v/>
      </c>
      <c r="J49" s="42" t="str">
        <f>IF(ISBLANK(Exceptions[[#This Row],[Date]]),"",IF(Exceptions[[#This Row],[Activity]]="Instruction",Exceptions[[#This Row],[Elapsed]],0))</f>
        <v/>
      </c>
      <c r="K49" s="42" t="str">
        <f>IF(ISBLANK(Exceptions[[#This Row],[Activity]]),"",IF(_xlfn.XLOOKUP(Exceptions[[#This Row],[Activity]],Types_of_Activity[Type of Activity],Types_of_Activity[Classification])=2,Exceptions[[#This Row],[Elapsed]],0))</f>
        <v/>
      </c>
    </row>
    <row r="50" spans="2:11" x14ac:dyDescent="0.3">
      <c r="B50" t="str">
        <f>TEXT(Exceptions[[#This Row],[Date]],"MMMM")</f>
        <v>January</v>
      </c>
      <c r="C50" s="146"/>
      <c r="D50" s="136"/>
      <c r="E50" s="136"/>
      <c r="F50" s="103"/>
      <c r="G50" s="103"/>
      <c r="H50" s="103"/>
      <c r="I50" s="42" t="str">
        <f>IF(OR(ISBLANK(Exceptions[[#This Row],[Start]]),ISBLANK(Exceptions[[#This Row],[End]])),"",(Exceptions[[#This Row],[End]]-Exceptions[[#This Row],[Start]])*1440)</f>
        <v/>
      </c>
      <c r="J50" s="42" t="str">
        <f>IF(ISBLANK(Exceptions[[#This Row],[Date]]),"",IF(Exceptions[[#This Row],[Activity]]="Instruction",Exceptions[[#This Row],[Elapsed]],0))</f>
        <v/>
      </c>
      <c r="K50" s="42" t="str">
        <f>IF(ISBLANK(Exceptions[[#This Row],[Activity]]),"",IF(_xlfn.XLOOKUP(Exceptions[[#This Row],[Activity]],Types_of_Activity[Type of Activity],Types_of_Activity[Classification])=2,Exceptions[[#This Row],[Elapsed]],0))</f>
        <v/>
      </c>
    </row>
    <row r="51" spans="2:11" x14ac:dyDescent="0.3">
      <c r="B51" t="str">
        <f>TEXT(Exceptions[[#This Row],[Date]],"MMMM")</f>
        <v>January</v>
      </c>
      <c r="C51" s="146"/>
      <c r="D51" s="136"/>
      <c r="E51" s="136"/>
      <c r="F51" s="103"/>
      <c r="G51" s="103"/>
      <c r="H51" s="103"/>
      <c r="I51" s="42" t="str">
        <f>IF(OR(ISBLANK(Exceptions[[#This Row],[Start]]),ISBLANK(Exceptions[[#This Row],[End]])),"",(Exceptions[[#This Row],[End]]-Exceptions[[#This Row],[Start]])*1440)</f>
        <v/>
      </c>
      <c r="J51" s="42" t="str">
        <f>IF(ISBLANK(Exceptions[[#This Row],[Date]]),"",IF(Exceptions[[#This Row],[Activity]]="Instruction",Exceptions[[#This Row],[Elapsed]],0))</f>
        <v/>
      </c>
      <c r="K51" s="42" t="str">
        <f>IF(ISBLANK(Exceptions[[#This Row],[Activity]]),"",IF(_xlfn.XLOOKUP(Exceptions[[#This Row],[Activity]],Types_of_Activity[Type of Activity],Types_of_Activity[Classification])=2,Exceptions[[#This Row],[Elapsed]],0))</f>
        <v/>
      </c>
    </row>
    <row r="52" spans="2:11" x14ac:dyDescent="0.3">
      <c r="B52" t="str">
        <f>TEXT(Exceptions[[#This Row],[Date]],"MMMM")</f>
        <v>January</v>
      </c>
      <c r="C52" s="146"/>
      <c r="D52" s="136"/>
      <c r="E52" s="136"/>
      <c r="F52" s="103"/>
      <c r="G52" s="103"/>
      <c r="H52" s="103"/>
      <c r="I52" s="42" t="str">
        <f>IF(OR(ISBLANK(Exceptions[[#This Row],[Start]]),ISBLANK(Exceptions[[#This Row],[End]])),"",(Exceptions[[#This Row],[End]]-Exceptions[[#This Row],[Start]])*1440)</f>
        <v/>
      </c>
      <c r="J52" s="42" t="str">
        <f>IF(ISBLANK(Exceptions[[#This Row],[Date]]),"",IF(Exceptions[[#This Row],[Activity]]="Instruction",Exceptions[[#This Row],[Elapsed]],0))</f>
        <v/>
      </c>
      <c r="K52" s="42" t="str">
        <f>IF(ISBLANK(Exceptions[[#This Row],[Activity]]),"",IF(_xlfn.XLOOKUP(Exceptions[[#This Row],[Activity]],Types_of_Activity[Type of Activity],Types_of_Activity[Classification])=2,Exceptions[[#This Row],[Elapsed]],0))</f>
        <v/>
      </c>
    </row>
    <row r="53" spans="2:11" x14ac:dyDescent="0.3">
      <c r="B53" t="str">
        <f>TEXT(Exceptions[[#This Row],[Date]],"MMMM")</f>
        <v>January</v>
      </c>
      <c r="C53" s="146"/>
      <c r="D53" s="136"/>
      <c r="E53" s="136"/>
      <c r="F53" s="103"/>
      <c r="G53" s="103"/>
      <c r="H53" s="103"/>
      <c r="I53" s="42" t="str">
        <f>IF(OR(ISBLANK(Exceptions[[#This Row],[Start]]),ISBLANK(Exceptions[[#This Row],[End]])),"",(Exceptions[[#This Row],[End]]-Exceptions[[#This Row],[Start]])*1440)</f>
        <v/>
      </c>
      <c r="J53" s="42" t="str">
        <f>IF(ISBLANK(Exceptions[[#This Row],[Date]]),"",IF(Exceptions[[#This Row],[Activity]]="Instruction",Exceptions[[#This Row],[Elapsed]],0))</f>
        <v/>
      </c>
      <c r="K53" s="42" t="str">
        <f>IF(ISBLANK(Exceptions[[#This Row],[Activity]]),"",IF(_xlfn.XLOOKUP(Exceptions[[#This Row],[Activity]],Types_of_Activity[Type of Activity],Types_of_Activity[Classification])=2,Exceptions[[#This Row],[Elapsed]],0))</f>
        <v/>
      </c>
    </row>
    <row r="54" spans="2:11" x14ac:dyDescent="0.3">
      <c r="B54" t="str">
        <f>TEXT(Exceptions[[#This Row],[Date]],"MMMM")</f>
        <v>January</v>
      </c>
      <c r="C54" s="146"/>
      <c r="D54" s="136"/>
      <c r="E54" s="136"/>
      <c r="F54" s="103"/>
      <c r="G54" s="103"/>
      <c r="H54" s="103"/>
      <c r="I54" s="42" t="str">
        <f>IF(OR(ISBLANK(Exceptions[[#This Row],[Start]]),ISBLANK(Exceptions[[#This Row],[End]])),"",(Exceptions[[#This Row],[End]]-Exceptions[[#This Row],[Start]])*1440)</f>
        <v/>
      </c>
      <c r="J54" s="42" t="str">
        <f>IF(ISBLANK(Exceptions[[#This Row],[Date]]),"",IF(Exceptions[[#This Row],[Activity]]="Instruction",Exceptions[[#This Row],[Elapsed]],0))</f>
        <v/>
      </c>
      <c r="K54" s="42" t="str">
        <f>IF(ISBLANK(Exceptions[[#This Row],[Activity]]),"",IF(_xlfn.XLOOKUP(Exceptions[[#This Row],[Activity]],Types_of_Activity[Type of Activity],Types_of_Activity[Classification])=2,Exceptions[[#This Row],[Elapsed]],0))</f>
        <v/>
      </c>
    </row>
    <row r="55" spans="2:11" x14ac:dyDescent="0.3">
      <c r="B55" t="str">
        <f>TEXT(Exceptions[[#This Row],[Date]],"MMMM")</f>
        <v>January</v>
      </c>
      <c r="C55" s="146"/>
      <c r="D55" s="136"/>
      <c r="E55" s="136"/>
      <c r="F55" s="103"/>
      <c r="G55" s="103"/>
      <c r="H55" s="103"/>
      <c r="I55" s="42" t="str">
        <f>IF(OR(ISBLANK(Exceptions[[#This Row],[Start]]),ISBLANK(Exceptions[[#This Row],[End]])),"",(Exceptions[[#This Row],[End]]-Exceptions[[#This Row],[Start]])*1440)</f>
        <v/>
      </c>
      <c r="J55" s="42" t="str">
        <f>IF(ISBLANK(Exceptions[[#This Row],[Date]]),"",IF(Exceptions[[#This Row],[Activity]]="Instruction",Exceptions[[#This Row],[Elapsed]],0))</f>
        <v/>
      </c>
      <c r="K55" s="42" t="str">
        <f>IF(ISBLANK(Exceptions[[#This Row],[Activity]]),"",IF(_xlfn.XLOOKUP(Exceptions[[#This Row],[Activity]],Types_of_Activity[Type of Activity],Types_of_Activity[Classification])=2,Exceptions[[#This Row],[Elapsed]],0))</f>
        <v/>
      </c>
    </row>
    <row r="56" spans="2:11" x14ac:dyDescent="0.3">
      <c r="B56" t="str">
        <f>TEXT(Exceptions[[#This Row],[Date]],"MMMM")</f>
        <v>January</v>
      </c>
      <c r="C56" s="146"/>
      <c r="D56" s="136"/>
      <c r="E56" s="136"/>
      <c r="F56" s="103"/>
      <c r="G56" s="103"/>
      <c r="H56" s="103"/>
      <c r="I56" s="42" t="str">
        <f>IF(OR(ISBLANK(Exceptions[[#This Row],[Start]]),ISBLANK(Exceptions[[#This Row],[End]])),"",(Exceptions[[#This Row],[End]]-Exceptions[[#This Row],[Start]])*1440)</f>
        <v/>
      </c>
      <c r="J56" s="42" t="str">
        <f>IF(ISBLANK(Exceptions[[#This Row],[Date]]),"",IF(Exceptions[[#This Row],[Activity]]="Instruction",Exceptions[[#This Row],[Elapsed]],0))</f>
        <v/>
      </c>
      <c r="K56" s="42" t="str">
        <f>IF(ISBLANK(Exceptions[[#This Row],[Activity]]),"",IF(_xlfn.XLOOKUP(Exceptions[[#This Row],[Activity]],Types_of_Activity[Type of Activity],Types_of_Activity[Classification])=2,Exceptions[[#This Row],[Elapsed]],0))</f>
        <v/>
      </c>
    </row>
    <row r="57" spans="2:11" x14ac:dyDescent="0.3">
      <c r="B57" t="str">
        <f>TEXT(Exceptions[[#This Row],[Date]],"MMMM")</f>
        <v>January</v>
      </c>
      <c r="C57" s="146"/>
      <c r="D57" s="136"/>
      <c r="E57" s="136"/>
      <c r="F57" s="103"/>
      <c r="G57" s="103"/>
      <c r="H57" s="103"/>
      <c r="I57" s="42" t="str">
        <f>IF(OR(ISBLANK(Exceptions[[#This Row],[Start]]),ISBLANK(Exceptions[[#This Row],[End]])),"",(Exceptions[[#This Row],[End]]-Exceptions[[#This Row],[Start]])*1440)</f>
        <v/>
      </c>
      <c r="J57" s="42" t="str">
        <f>IF(ISBLANK(Exceptions[[#This Row],[Date]]),"",IF(Exceptions[[#This Row],[Activity]]="Instruction",Exceptions[[#This Row],[Elapsed]],0))</f>
        <v/>
      </c>
      <c r="K57" s="42" t="str">
        <f>IF(ISBLANK(Exceptions[[#This Row],[Activity]]),"",IF(_xlfn.XLOOKUP(Exceptions[[#This Row],[Activity]],Types_of_Activity[Type of Activity],Types_of_Activity[Classification])=2,Exceptions[[#This Row],[Elapsed]],0))</f>
        <v/>
      </c>
    </row>
    <row r="58" spans="2:11" x14ac:dyDescent="0.3">
      <c r="B58" t="str">
        <f>TEXT(Exceptions[[#This Row],[Date]],"MMMM")</f>
        <v>January</v>
      </c>
      <c r="C58" s="146"/>
      <c r="D58" s="136"/>
      <c r="E58" s="136"/>
      <c r="F58" s="103"/>
      <c r="G58" s="103"/>
      <c r="H58" s="103"/>
      <c r="I58" s="42" t="str">
        <f>IF(OR(ISBLANK(Exceptions[[#This Row],[Start]]),ISBLANK(Exceptions[[#This Row],[End]])),"",(Exceptions[[#This Row],[End]]-Exceptions[[#This Row],[Start]])*1440)</f>
        <v/>
      </c>
      <c r="J58" s="42" t="str">
        <f>IF(ISBLANK(Exceptions[[#This Row],[Date]]),"",IF(Exceptions[[#This Row],[Activity]]="Instruction",Exceptions[[#This Row],[Elapsed]],0))</f>
        <v/>
      </c>
      <c r="K58" s="42" t="str">
        <f>IF(ISBLANK(Exceptions[[#This Row],[Activity]]),"",IF(_xlfn.XLOOKUP(Exceptions[[#This Row],[Activity]],Types_of_Activity[Type of Activity],Types_of_Activity[Classification])=2,Exceptions[[#This Row],[Elapsed]],0))</f>
        <v/>
      </c>
    </row>
    <row r="59" spans="2:11" x14ac:dyDescent="0.3">
      <c r="B59" t="str">
        <f>TEXT(Exceptions[[#This Row],[Date]],"MMMM")</f>
        <v>January</v>
      </c>
      <c r="C59" s="146"/>
      <c r="D59" s="136"/>
      <c r="E59" s="136"/>
      <c r="F59" s="103"/>
      <c r="G59" s="103"/>
      <c r="H59" s="103"/>
      <c r="I59" s="42" t="str">
        <f>IF(OR(ISBLANK(Exceptions[[#This Row],[Start]]),ISBLANK(Exceptions[[#This Row],[End]])),"",(Exceptions[[#This Row],[End]]-Exceptions[[#This Row],[Start]])*1440)</f>
        <v/>
      </c>
      <c r="J59" s="42" t="str">
        <f>IF(ISBLANK(Exceptions[[#This Row],[Date]]),"",IF(Exceptions[[#This Row],[Activity]]="Instruction",Exceptions[[#This Row],[Elapsed]],0))</f>
        <v/>
      </c>
      <c r="K59" s="42" t="str">
        <f>IF(ISBLANK(Exceptions[[#This Row],[Activity]]),"",IF(_xlfn.XLOOKUP(Exceptions[[#This Row],[Activity]],Types_of_Activity[Type of Activity],Types_of_Activity[Classification])=2,Exceptions[[#This Row],[Elapsed]],0))</f>
        <v/>
      </c>
    </row>
    <row r="60" spans="2:11" x14ac:dyDescent="0.3">
      <c r="B60" t="str">
        <f>TEXT(Exceptions[[#This Row],[Date]],"MMMM")</f>
        <v>January</v>
      </c>
      <c r="C60" s="146"/>
      <c r="D60" s="136"/>
      <c r="E60" s="136"/>
      <c r="F60" s="103"/>
      <c r="G60" s="103"/>
      <c r="H60" s="103"/>
      <c r="I60" s="42" t="str">
        <f>IF(OR(ISBLANK(Exceptions[[#This Row],[Start]]),ISBLANK(Exceptions[[#This Row],[End]])),"",(Exceptions[[#This Row],[End]]-Exceptions[[#This Row],[Start]])*1440)</f>
        <v/>
      </c>
      <c r="J60" s="42" t="str">
        <f>IF(ISBLANK(Exceptions[[#This Row],[Date]]),"",IF(Exceptions[[#This Row],[Activity]]="Instruction",Exceptions[[#This Row],[Elapsed]],0))</f>
        <v/>
      </c>
      <c r="K60" s="42" t="str">
        <f>IF(ISBLANK(Exceptions[[#This Row],[Activity]]),"",IF(_xlfn.XLOOKUP(Exceptions[[#This Row],[Activity]],Types_of_Activity[Type of Activity],Types_of_Activity[Classification])=2,Exceptions[[#This Row],[Elapsed]],0))</f>
        <v/>
      </c>
    </row>
    <row r="61" spans="2:11" x14ac:dyDescent="0.3">
      <c r="B61" t="str">
        <f>TEXT(Exceptions[[#This Row],[Date]],"MMMM")</f>
        <v>January</v>
      </c>
      <c r="C61" s="146"/>
      <c r="D61" s="136"/>
      <c r="E61" s="136"/>
      <c r="F61" s="103"/>
      <c r="G61" s="103"/>
      <c r="H61" s="103"/>
      <c r="I61" s="42" t="str">
        <f>IF(OR(ISBLANK(Exceptions[[#This Row],[Start]]),ISBLANK(Exceptions[[#This Row],[End]])),"",(Exceptions[[#This Row],[End]]-Exceptions[[#This Row],[Start]])*1440)</f>
        <v/>
      </c>
      <c r="J61" s="42" t="str">
        <f>IF(ISBLANK(Exceptions[[#This Row],[Date]]),"",IF(Exceptions[[#This Row],[Activity]]="Instruction",Exceptions[[#This Row],[Elapsed]],0))</f>
        <v/>
      </c>
      <c r="K61" s="42" t="str">
        <f>IF(ISBLANK(Exceptions[[#This Row],[Activity]]),"",IF(_xlfn.XLOOKUP(Exceptions[[#This Row],[Activity]],Types_of_Activity[Type of Activity],Types_of_Activity[Classification])=2,Exceptions[[#This Row],[Elapsed]],0))</f>
        <v/>
      </c>
    </row>
    <row r="62" spans="2:11" x14ac:dyDescent="0.3">
      <c r="B62" t="str">
        <f>TEXT(Exceptions[[#This Row],[Date]],"MMMM")</f>
        <v>January</v>
      </c>
      <c r="C62" s="146"/>
      <c r="D62" s="136"/>
      <c r="E62" s="136"/>
      <c r="F62" s="103"/>
      <c r="G62" s="103"/>
      <c r="H62" s="103"/>
      <c r="I62" s="42" t="str">
        <f>IF(OR(ISBLANK(Exceptions[[#This Row],[Start]]),ISBLANK(Exceptions[[#This Row],[End]])),"",(Exceptions[[#This Row],[End]]-Exceptions[[#This Row],[Start]])*1440)</f>
        <v/>
      </c>
      <c r="J62" s="42" t="str">
        <f>IF(ISBLANK(Exceptions[[#This Row],[Date]]),"",IF(Exceptions[[#This Row],[Activity]]="Instruction",Exceptions[[#This Row],[Elapsed]],0))</f>
        <v/>
      </c>
      <c r="K62" s="42" t="str">
        <f>IF(ISBLANK(Exceptions[[#This Row],[Activity]]),"",IF(_xlfn.XLOOKUP(Exceptions[[#This Row],[Activity]],Types_of_Activity[Type of Activity],Types_of_Activity[Classification])=2,Exceptions[[#This Row],[Elapsed]],0))</f>
        <v/>
      </c>
    </row>
    <row r="63" spans="2:11" x14ac:dyDescent="0.3">
      <c r="B63" t="str">
        <f>TEXT(Exceptions[[#This Row],[Date]],"MMMM")</f>
        <v>January</v>
      </c>
      <c r="C63" s="146"/>
      <c r="D63" s="136"/>
      <c r="E63" s="136"/>
      <c r="F63" s="103"/>
      <c r="G63" s="103"/>
      <c r="H63" s="103"/>
      <c r="I63" s="42" t="str">
        <f>IF(OR(ISBLANK(Exceptions[[#This Row],[Start]]),ISBLANK(Exceptions[[#This Row],[End]])),"",(Exceptions[[#This Row],[End]]-Exceptions[[#This Row],[Start]])*1440)</f>
        <v/>
      </c>
      <c r="J63" s="42" t="str">
        <f>IF(ISBLANK(Exceptions[[#This Row],[Date]]),"",IF(Exceptions[[#This Row],[Activity]]="Instruction",Exceptions[[#This Row],[Elapsed]],0))</f>
        <v/>
      </c>
      <c r="K63" s="42" t="str">
        <f>IF(ISBLANK(Exceptions[[#This Row],[Activity]]),"",IF(_xlfn.XLOOKUP(Exceptions[[#This Row],[Activity]],Types_of_Activity[Type of Activity],Types_of_Activity[Classification])=2,Exceptions[[#This Row],[Elapsed]],0))</f>
        <v/>
      </c>
    </row>
    <row r="64" spans="2:11" x14ac:dyDescent="0.3">
      <c r="B64" t="str">
        <f>TEXT(Exceptions[[#This Row],[Date]],"MMMM")</f>
        <v>January</v>
      </c>
      <c r="C64" s="146"/>
      <c r="D64" s="136"/>
      <c r="E64" s="136"/>
      <c r="F64" s="103"/>
      <c r="G64" s="103"/>
      <c r="H64" s="103"/>
      <c r="I64" s="42" t="str">
        <f>IF(OR(ISBLANK(Exceptions[[#This Row],[Start]]),ISBLANK(Exceptions[[#This Row],[End]])),"",(Exceptions[[#This Row],[End]]-Exceptions[[#This Row],[Start]])*1440)</f>
        <v/>
      </c>
      <c r="J64" s="42" t="str">
        <f>IF(ISBLANK(Exceptions[[#This Row],[Date]]),"",IF(Exceptions[[#This Row],[Activity]]="Instruction",Exceptions[[#This Row],[Elapsed]],0))</f>
        <v/>
      </c>
      <c r="K64" s="42" t="str">
        <f>IF(ISBLANK(Exceptions[[#This Row],[Activity]]),"",IF(_xlfn.XLOOKUP(Exceptions[[#This Row],[Activity]],Types_of_Activity[Type of Activity],Types_of_Activity[Classification])=2,Exceptions[[#This Row],[Elapsed]],0))</f>
        <v/>
      </c>
    </row>
    <row r="65" spans="2:11" x14ac:dyDescent="0.3">
      <c r="B65" t="str">
        <f>TEXT(Exceptions[[#This Row],[Date]],"MMMM")</f>
        <v>January</v>
      </c>
      <c r="C65" s="146"/>
      <c r="D65" s="136"/>
      <c r="E65" s="136"/>
      <c r="F65" s="103"/>
      <c r="G65" s="103"/>
      <c r="H65" s="103"/>
      <c r="I65" s="42" t="str">
        <f>IF(OR(ISBLANK(Exceptions[[#This Row],[Start]]),ISBLANK(Exceptions[[#This Row],[End]])),"",(Exceptions[[#This Row],[End]]-Exceptions[[#This Row],[Start]])*1440)</f>
        <v/>
      </c>
      <c r="J65" s="42" t="str">
        <f>IF(ISBLANK(Exceptions[[#This Row],[Date]]),"",IF(Exceptions[[#This Row],[Activity]]="Instruction",Exceptions[[#This Row],[Elapsed]],0))</f>
        <v/>
      </c>
      <c r="K65" s="42" t="str">
        <f>IF(ISBLANK(Exceptions[[#This Row],[Activity]]),"",IF(_xlfn.XLOOKUP(Exceptions[[#This Row],[Activity]],Types_of_Activity[Type of Activity],Types_of_Activity[Classification])=2,Exceptions[[#This Row],[Elapsed]],0))</f>
        <v/>
      </c>
    </row>
    <row r="66" spans="2:11" x14ac:dyDescent="0.3">
      <c r="B66" t="str">
        <f>TEXT(Exceptions[[#This Row],[Date]],"MMMM")</f>
        <v>January</v>
      </c>
      <c r="C66" s="146"/>
      <c r="D66" s="136"/>
      <c r="E66" s="136"/>
      <c r="F66" s="103"/>
      <c r="G66" s="103"/>
      <c r="H66" s="103"/>
      <c r="I66" s="42" t="str">
        <f>IF(OR(ISBLANK(Exceptions[[#This Row],[Start]]),ISBLANK(Exceptions[[#This Row],[End]])),"",(Exceptions[[#This Row],[End]]-Exceptions[[#This Row],[Start]])*1440)</f>
        <v/>
      </c>
      <c r="J66" s="42" t="str">
        <f>IF(ISBLANK(Exceptions[[#This Row],[Date]]),"",IF(Exceptions[[#This Row],[Activity]]="Instruction",Exceptions[[#This Row],[Elapsed]],0))</f>
        <v/>
      </c>
      <c r="K66" s="42" t="str">
        <f>IF(ISBLANK(Exceptions[[#This Row],[Activity]]),"",IF(_xlfn.XLOOKUP(Exceptions[[#This Row],[Activity]],Types_of_Activity[Type of Activity],Types_of_Activity[Classification])=2,Exceptions[[#This Row],[Elapsed]],0))</f>
        <v/>
      </c>
    </row>
    <row r="67" spans="2:11" x14ac:dyDescent="0.3">
      <c r="B67" t="str">
        <f>TEXT(Exceptions[[#This Row],[Date]],"MMMM")</f>
        <v>January</v>
      </c>
      <c r="C67" s="146"/>
      <c r="D67" s="136"/>
      <c r="E67" s="136"/>
      <c r="F67" s="103"/>
      <c r="G67" s="103"/>
      <c r="H67" s="103"/>
      <c r="I67" s="42" t="str">
        <f>IF(OR(ISBLANK(Exceptions[[#This Row],[Start]]),ISBLANK(Exceptions[[#This Row],[End]])),"",(Exceptions[[#This Row],[End]]-Exceptions[[#This Row],[Start]])*1440)</f>
        <v/>
      </c>
      <c r="J67" s="42" t="str">
        <f>IF(ISBLANK(Exceptions[[#This Row],[Date]]),"",IF(Exceptions[[#This Row],[Activity]]="Instruction",Exceptions[[#This Row],[Elapsed]],0))</f>
        <v/>
      </c>
      <c r="K67" s="42" t="str">
        <f>IF(ISBLANK(Exceptions[[#This Row],[Activity]]),"",IF(_xlfn.XLOOKUP(Exceptions[[#This Row],[Activity]],Types_of_Activity[Type of Activity],Types_of_Activity[Classification])=2,Exceptions[[#This Row],[Elapsed]],0))</f>
        <v/>
      </c>
    </row>
    <row r="68" spans="2:11" x14ac:dyDescent="0.3">
      <c r="B68" t="str">
        <f>TEXT(Exceptions[[#This Row],[Date]],"MMMM")</f>
        <v>January</v>
      </c>
      <c r="C68" s="146"/>
      <c r="D68" s="136"/>
      <c r="E68" s="136"/>
      <c r="F68" s="103"/>
      <c r="G68" s="103"/>
      <c r="H68" s="103"/>
      <c r="I68" s="42" t="str">
        <f>IF(OR(ISBLANK(Exceptions[[#This Row],[Start]]),ISBLANK(Exceptions[[#This Row],[End]])),"",(Exceptions[[#This Row],[End]]-Exceptions[[#This Row],[Start]])*1440)</f>
        <v/>
      </c>
      <c r="J68" s="42" t="str">
        <f>IF(ISBLANK(Exceptions[[#This Row],[Date]]),"",IF(Exceptions[[#This Row],[Activity]]="Instruction",Exceptions[[#This Row],[Elapsed]],0))</f>
        <v/>
      </c>
      <c r="K68" s="42" t="str">
        <f>IF(ISBLANK(Exceptions[[#This Row],[Activity]]),"",IF(_xlfn.XLOOKUP(Exceptions[[#This Row],[Activity]],Types_of_Activity[Type of Activity],Types_of_Activity[Classification])=2,Exceptions[[#This Row],[Elapsed]],0))</f>
        <v/>
      </c>
    </row>
    <row r="69" spans="2:11" x14ac:dyDescent="0.3">
      <c r="B69" t="str">
        <f>TEXT(Exceptions[[#This Row],[Date]],"MMMM")</f>
        <v>January</v>
      </c>
      <c r="C69" s="146"/>
      <c r="D69" s="136"/>
      <c r="E69" s="136"/>
      <c r="F69" s="103"/>
      <c r="G69" s="103"/>
      <c r="H69" s="103"/>
      <c r="I69" s="42" t="str">
        <f>IF(OR(ISBLANK(Exceptions[[#This Row],[Start]]),ISBLANK(Exceptions[[#This Row],[End]])),"",(Exceptions[[#This Row],[End]]-Exceptions[[#This Row],[Start]])*1440)</f>
        <v/>
      </c>
      <c r="J69" s="42" t="str">
        <f>IF(ISBLANK(Exceptions[[#This Row],[Date]]),"",IF(Exceptions[[#This Row],[Activity]]="Instruction",Exceptions[[#This Row],[Elapsed]],0))</f>
        <v/>
      </c>
      <c r="K69" s="42" t="str">
        <f>IF(ISBLANK(Exceptions[[#This Row],[Activity]]),"",IF(_xlfn.XLOOKUP(Exceptions[[#This Row],[Activity]],Types_of_Activity[Type of Activity],Types_of_Activity[Classification])=2,Exceptions[[#This Row],[Elapsed]],0))</f>
        <v/>
      </c>
    </row>
    <row r="70" spans="2:11" x14ac:dyDescent="0.3">
      <c r="B70" t="str">
        <f>TEXT(Exceptions[[#This Row],[Date]],"MMMM")</f>
        <v>January</v>
      </c>
      <c r="C70" s="146"/>
      <c r="D70" s="136"/>
      <c r="E70" s="136"/>
      <c r="F70" s="103"/>
      <c r="G70" s="103"/>
      <c r="H70" s="103"/>
      <c r="I70" s="42" t="str">
        <f>IF(OR(ISBLANK(Exceptions[[#This Row],[Start]]),ISBLANK(Exceptions[[#This Row],[End]])),"",(Exceptions[[#This Row],[End]]-Exceptions[[#This Row],[Start]])*1440)</f>
        <v/>
      </c>
      <c r="J70" s="42" t="str">
        <f>IF(ISBLANK(Exceptions[[#This Row],[Date]]),"",IF(Exceptions[[#This Row],[Activity]]="Instruction",Exceptions[[#This Row],[Elapsed]],0))</f>
        <v/>
      </c>
      <c r="K70" s="42" t="str">
        <f>IF(ISBLANK(Exceptions[[#This Row],[Activity]]),"",IF(_xlfn.XLOOKUP(Exceptions[[#This Row],[Activity]],Types_of_Activity[Type of Activity],Types_of_Activity[Classification])=2,Exceptions[[#This Row],[Elapsed]],0))</f>
        <v/>
      </c>
    </row>
    <row r="71" spans="2:11" x14ac:dyDescent="0.3">
      <c r="B71" t="str">
        <f>TEXT(Exceptions[[#This Row],[Date]],"MMMM")</f>
        <v>January</v>
      </c>
      <c r="C71" s="146"/>
      <c r="D71" s="136"/>
      <c r="E71" s="136"/>
      <c r="F71" s="103"/>
      <c r="G71" s="103"/>
      <c r="H71" s="103"/>
      <c r="I71" s="42" t="str">
        <f>IF(OR(ISBLANK(Exceptions[[#This Row],[Start]]),ISBLANK(Exceptions[[#This Row],[End]])),"",(Exceptions[[#This Row],[End]]-Exceptions[[#This Row],[Start]])*1440)</f>
        <v/>
      </c>
      <c r="J71" s="42" t="str">
        <f>IF(ISBLANK(Exceptions[[#This Row],[Date]]),"",IF(Exceptions[[#This Row],[Activity]]="Instruction",Exceptions[[#This Row],[Elapsed]],0))</f>
        <v/>
      </c>
      <c r="K71" s="42" t="str">
        <f>IF(ISBLANK(Exceptions[[#This Row],[Activity]]),"",IF(_xlfn.XLOOKUP(Exceptions[[#This Row],[Activity]],Types_of_Activity[Type of Activity],Types_of_Activity[Classification])=2,Exceptions[[#This Row],[Elapsed]],0))</f>
        <v/>
      </c>
    </row>
    <row r="72" spans="2:11" x14ac:dyDescent="0.3">
      <c r="B72" t="str">
        <f>TEXT(Exceptions[[#This Row],[Date]],"MMMM")</f>
        <v>January</v>
      </c>
      <c r="C72" s="146"/>
      <c r="D72" s="136"/>
      <c r="E72" s="136"/>
      <c r="F72" s="103"/>
      <c r="G72" s="103"/>
      <c r="H72" s="103"/>
      <c r="I72" s="42" t="str">
        <f>IF(OR(ISBLANK(Exceptions[[#This Row],[Start]]),ISBLANK(Exceptions[[#This Row],[End]])),"",(Exceptions[[#This Row],[End]]-Exceptions[[#This Row],[Start]])*1440)</f>
        <v/>
      </c>
      <c r="J72" s="42" t="str">
        <f>IF(ISBLANK(Exceptions[[#This Row],[Date]]),"",IF(Exceptions[[#This Row],[Activity]]="Instruction",Exceptions[[#This Row],[Elapsed]],0))</f>
        <v/>
      </c>
      <c r="K72" s="42" t="str">
        <f>IF(ISBLANK(Exceptions[[#This Row],[Activity]]),"",IF(_xlfn.XLOOKUP(Exceptions[[#This Row],[Activity]],Types_of_Activity[Type of Activity],Types_of_Activity[Classification])=2,Exceptions[[#This Row],[Elapsed]],0))</f>
        <v/>
      </c>
    </row>
    <row r="73" spans="2:11" x14ac:dyDescent="0.3">
      <c r="B73" t="str">
        <f>TEXT(Exceptions[[#This Row],[Date]],"MMMM")</f>
        <v>January</v>
      </c>
      <c r="C73" s="146"/>
      <c r="D73" s="136"/>
      <c r="E73" s="136"/>
      <c r="F73" s="103"/>
      <c r="G73" s="103"/>
      <c r="H73" s="103"/>
      <c r="I73" s="42" t="str">
        <f>IF(OR(ISBLANK(Exceptions[[#This Row],[Start]]),ISBLANK(Exceptions[[#This Row],[End]])),"",(Exceptions[[#This Row],[End]]-Exceptions[[#This Row],[Start]])*1440)</f>
        <v/>
      </c>
      <c r="J73" s="42" t="str">
        <f>IF(ISBLANK(Exceptions[[#This Row],[Date]]),"",IF(Exceptions[[#This Row],[Activity]]="Instruction",Exceptions[[#This Row],[Elapsed]],0))</f>
        <v/>
      </c>
      <c r="K73" s="42" t="str">
        <f>IF(ISBLANK(Exceptions[[#This Row],[Activity]]),"",IF(_xlfn.XLOOKUP(Exceptions[[#This Row],[Activity]],Types_of_Activity[Type of Activity],Types_of_Activity[Classification])=2,Exceptions[[#This Row],[Elapsed]],0))</f>
        <v/>
      </c>
    </row>
    <row r="74" spans="2:11" x14ac:dyDescent="0.3">
      <c r="B74" t="str">
        <f>TEXT(Exceptions[[#This Row],[Date]],"MMMM")</f>
        <v>January</v>
      </c>
      <c r="C74" s="146"/>
      <c r="D74" s="136"/>
      <c r="E74" s="136"/>
      <c r="F74" s="103"/>
      <c r="G74" s="103"/>
      <c r="H74" s="103"/>
      <c r="I74" s="42" t="str">
        <f>IF(OR(ISBLANK(Exceptions[[#This Row],[Start]]),ISBLANK(Exceptions[[#This Row],[End]])),"",(Exceptions[[#This Row],[End]]-Exceptions[[#This Row],[Start]])*1440)</f>
        <v/>
      </c>
      <c r="J74" s="42" t="str">
        <f>IF(ISBLANK(Exceptions[[#This Row],[Date]]),"",IF(Exceptions[[#This Row],[Activity]]="Instruction",Exceptions[[#This Row],[Elapsed]],0))</f>
        <v/>
      </c>
      <c r="K74" s="42" t="str">
        <f>IF(ISBLANK(Exceptions[[#This Row],[Activity]]),"",IF(_xlfn.XLOOKUP(Exceptions[[#This Row],[Activity]],Types_of_Activity[Type of Activity],Types_of_Activity[Classification])=2,Exceptions[[#This Row],[Elapsed]],0))</f>
        <v/>
      </c>
    </row>
    <row r="75" spans="2:11" x14ac:dyDescent="0.3">
      <c r="B75" t="str">
        <f>TEXT(Exceptions[[#This Row],[Date]],"MMMM")</f>
        <v>January</v>
      </c>
      <c r="C75" s="146"/>
      <c r="D75" s="136"/>
      <c r="E75" s="136"/>
      <c r="F75" s="103"/>
      <c r="G75" s="103"/>
      <c r="H75" s="103"/>
      <c r="I75" s="42" t="str">
        <f>IF(OR(ISBLANK(Exceptions[[#This Row],[Start]]),ISBLANK(Exceptions[[#This Row],[End]])),"",(Exceptions[[#This Row],[End]]-Exceptions[[#This Row],[Start]])*1440)</f>
        <v/>
      </c>
      <c r="J75" s="42" t="str">
        <f>IF(ISBLANK(Exceptions[[#This Row],[Date]]),"",IF(Exceptions[[#This Row],[Activity]]="Instruction",Exceptions[[#This Row],[Elapsed]],0))</f>
        <v/>
      </c>
      <c r="K75" s="42" t="str">
        <f>IF(ISBLANK(Exceptions[[#This Row],[Activity]]),"",IF(_xlfn.XLOOKUP(Exceptions[[#This Row],[Activity]],Types_of_Activity[Type of Activity],Types_of_Activity[Classification])=2,Exceptions[[#This Row],[Elapsed]],0))</f>
        <v/>
      </c>
    </row>
    <row r="76" spans="2:11" x14ac:dyDescent="0.3">
      <c r="B76" t="str">
        <f>TEXT(Exceptions[[#This Row],[Date]],"MMMM")</f>
        <v>January</v>
      </c>
      <c r="C76" s="146"/>
      <c r="D76" s="136"/>
      <c r="E76" s="136"/>
      <c r="F76" s="103"/>
      <c r="G76" s="103"/>
      <c r="H76" s="103"/>
      <c r="I76" s="42" t="str">
        <f>IF(OR(ISBLANK(Exceptions[[#This Row],[Start]]),ISBLANK(Exceptions[[#This Row],[End]])),"",(Exceptions[[#This Row],[End]]-Exceptions[[#This Row],[Start]])*1440)</f>
        <v/>
      </c>
      <c r="J76" s="42" t="str">
        <f>IF(ISBLANK(Exceptions[[#This Row],[Date]]),"",IF(Exceptions[[#This Row],[Activity]]="Instruction",Exceptions[[#This Row],[Elapsed]],0))</f>
        <v/>
      </c>
      <c r="K76" s="42" t="str">
        <f>IF(ISBLANK(Exceptions[[#This Row],[Activity]]),"",IF(_xlfn.XLOOKUP(Exceptions[[#This Row],[Activity]],Types_of_Activity[Type of Activity],Types_of_Activity[Classification])=2,Exceptions[[#This Row],[Elapsed]],0))</f>
        <v/>
      </c>
    </row>
    <row r="77" spans="2:11" x14ac:dyDescent="0.3">
      <c r="B77" t="str">
        <f>TEXT(Exceptions[[#This Row],[Date]],"MMMM")</f>
        <v>January</v>
      </c>
      <c r="C77" s="146"/>
      <c r="D77" s="136"/>
      <c r="E77" s="136"/>
      <c r="F77" s="103"/>
      <c r="G77" s="103"/>
      <c r="H77" s="103"/>
      <c r="I77" s="42" t="str">
        <f>IF(OR(ISBLANK(Exceptions[[#This Row],[Start]]),ISBLANK(Exceptions[[#This Row],[End]])),"",(Exceptions[[#This Row],[End]]-Exceptions[[#This Row],[Start]])*1440)</f>
        <v/>
      </c>
      <c r="J77" s="42" t="str">
        <f>IF(ISBLANK(Exceptions[[#This Row],[Date]]),"",IF(Exceptions[[#This Row],[Activity]]="Instruction",Exceptions[[#This Row],[Elapsed]],0))</f>
        <v/>
      </c>
      <c r="K77" s="42" t="str">
        <f>IF(ISBLANK(Exceptions[[#This Row],[Activity]]),"",IF(_xlfn.XLOOKUP(Exceptions[[#This Row],[Activity]],Types_of_Activity[Type of Activity],Types_of_Activity[Classification])=2,Exceptions[[#This Row],[Elapsed]],0))</f>
        <v/>
      </c>
    </row>
    <row r="78" spans="2:11" x14ac:dyDescent="0.3">
      <c r="B78" t="str">
        <f>TEXT(Exceptions[[#This Row],[Date]],"MMMM")</f>
        <v>January</v>
      </c>
      <c r="C78" s="146"/>
      <c r="D78" s="136"/>
      <c r="E78" s="136"/>
      <c r="F78" s="103"/>
      <c r="G78" s="103"/>
      <c r="H78" s="103"/>
      <c r="I78" s="42" t="str">
        <f>IF(OR(ISBLANK(Exceptions[[#This Row],[Start]]),ISBLANK(Exceptions[[#This Row],[End]])),"",(Exceptions[[#This Row],[End]]-Exceptions[[#This Row],[Start]])*1440)</f>
        <v/>
      </c>
      <c r="J78" s="42" t="str">
        <f>IF(ISBLANK(Exceptions[[#This Row],[Date]]),"",IF(Exceptions[[#This Row],[Activity]]="Instruction",Exceptions[[#This Row],[Elapsed]],0))</f>
        <v/>
      </c>
      <c r="K78" s="42" t="str">
        <f>IF(ISBLANK(Exceptions[[#This Row],[Activity]]),"",IF(_xlfn.XLOOKUP(Exceptions[[#This Row],[Activity]],Types_of_Activity[Type of Activity],Types_of_Activity[Classification])=2,Exceptions[[#This Row],[Elapsed]],0))</f>
        <v/>
      </c>
    </row>
    <row r="79" spans="2:11" x14ac:dyDescent="0.3">
      <c r="B79" t="str">
        <f>TEXT(Exceptions[[#This Row],[Date]],"MMMM")</f>
        <v>January</v>
      </c>
      <c r="C79" s="146"/>
      <c r="D79" s="136"/>
      <c r="E79" s="136"/>
      <c r="F79" s="103"/>
      <c r="G79" s="103"/>
      <c r="H79" s="103"/>
      <c r="I79" s="42" t="str">
        <f>IF(OR(ISBLANK(Exceptions[[#This Row],[Start]]),ISBLANK(Exceptions[[#This Row],[End]])),"",(Exceptions[[#This Row],[End]]-Exceptions[[#This Row],[Start]])*1440)</f>
        <v/>
      </c>
      <c r="J79" s="42" t="str">
        <f>IF(ISBLANK(Exceptions[[#This Row],[Date]]),"",IF(Exceptions[[#This Row],[Activity]]="Instruction",Exceptions[[#This Row],[Elapsed]],0))</f>
        <v/>
      </c>
      <c r="K79" s="42" t="str">
        <f>IF(ISBLANK(Exceptions[[#This Row],[Activity]]),"",IF(_xlfn.XLOOKUP(Exceptions[[#This Row],[Activity]],Types_of_Activity[Type of Activity],Types_of_Activity[Classification])=2,Exceptions[[#This Row],[Elapsed]],0))</f>
        <v/>
      </c>
    </row>
    <row r="80" spans="2:11" x14ac:dyDescent="0.3">
      <c r="B80" t="str">
        <f>TEXT(Exceptions[[#This Row],[Date]],"MMMM")</f>
        <v>January</v>
      </c>
      <c r="C80" s="146"/>
      <c r="D80" s="136"/>
      <c r="E80" s="136"/>
      <c r="F80" s="103"/>
      <c r="G80" s="103"/>
      <c r="H80" s="103"/>
      <c r="I80" s="42" t="str">
        <f>IF(OR(ISBLANK(Exceptions[[#This Row],[Start]]),ISBLANK(Exceptions[[#This Row],[End]])),"",(Exceptions[[#This Row],[End]]-Exceptions[[#This Row],[Start]])*1440)</f>
        <v/>
      </c>
      <c r="J80" s="42" t="str">
        <f>IF(ISBLANK(Exceptions[[#This Row],[Date]]),"",IF(Exceptions[[#This Row],[Activity]]="Instruction",Exceptions[[#This Row],[Elapsed]],0))</f>
        <v/>
      </c>
      <c r="K80" s="42" t="str">
        <f>IF(ISBLANK(Exceptions[[#This Row],[Activity]]),"",IF(_xlfn.XLOOKUP(Exceptions[[#This Row],[Activity]],Types_of_Activity[Type of Activity],Types_of_Activity[Classification])=2,Exceptions[[#This Row],[Elapsed]],0))</f>
        <v/>
      </c>
    </row>
    <row r="81" spans="2:11" x14ac:dyDescent="0.3">
      <c r="B81" t="str">
        <f>TEXT(Exceptions[[#This Row],[Date]],"MMMM")</f>
        <v>January</v>
      </c>
      <c r="C81" s="146"/>
      <c r="D81" s="136"/>
      <c r="E81" s="136"/>
      <c r="F81" s="103"/>
      <c r="G81" s="103"/>
      <c r="H81" s="103"/>
      <c r="I81" s="42" t="str">
        <f>IF(OR(ISBLANK(Exceptions[[#This Row],[Start]]),ISBLANK(Exceptions[[#This Row],[End]])),"",(Exceptions[[#This Row],[End]]-Exceptions[[#This Row],[Start]])*1440)</f>
        <v/>
      </c>
      <c r="J81" s="42" t="str">
        <f>IF(ISBLANK(Exceptions[[#This Row],[Date]]),"",IF(Exceptions[[#This Row],[Activity]]="Instruction",Exceptions[[#This Row],[Elapsed]],0))</f>
        <v/>
      </c>
      <c r="K81" s="42" t="str">
        <f>IF(ISBLANK(Exceptions[[#This Row],[Activity]]),"",IF(_xlfn.XLOOKUP(Exceptions[[#This Row],[Activity]],Types_of_Activity[Type of Activity],Types_of_Activity[Classification])=2,Exceptions[[#This Row],[Elapsed]],0))</f>
        <v/>
      </c>
    </row>
    <row r="82" spans="2:11" x14ac:dyDescent="0.3">
      <c r="B82" t="str">
        <f>TEXT(Exceptions[[#This Row],[Date]],"MMMM")</f>
        <v>January</v>
      </c>
      <c r="C82" s="146"/>
      <c r="D82" s="136"/>
      <c r="E82" s="136"/>
      <c r="F82" s="103"/>
      <c r="G82" s="103"/>
      <c r="H82" s="103"/>
      <c r="I82" s="42" t="str">
        <f>IF(OR(ISBLANK(Exceptions[[#This Row],[Start]]),ISBLANK(Exceptions[[#This Row],[End]])),"",(Exceptions[[#This Row],[End]]-Exceptions[[#This Row],[Start]])*1440)</f>
        <v/>
      </c>
      <c r="J82" s="42" t="str">
        <f>IF(ISBLANK(Exceptions[[#This Row],[Date]]),"",IF(Exceptions[[#This Row],[Activity]]="Instruction",Exceptions[[#This Row],[Elapsed]],0))</f>
        <v/>
      </c>
      <c r="K82" s="42" t="str">
        <f>IF(ISBLANK(Exceptions[[#This Row],[Activity]]),"",IF(_xlfn.XLOOKUP(Exceptions[[#This Row],[Activity]],Types_of_Activity[Type of Activity],Types_of_Activity[Classification])=2,Exceptions[[#This Row],[Elapsed]],0))</f>
        <v/>
      </c>
    </row>
    <row r="83" spans="2:11" x14ac:dyDescent="0.3">
      <c r="B83" t="str">
        <f>TEXT(Exceptions[[#This Row],[Date]],"MMMM")</f>
        <v>January</v>
      </c>
      <c r="C83" s="146"/>
      <c r="D83" s="136"/>
      <c r="E83" s="136"/>
      <c r="F83" s="103"/>
      <c r="G83" s="103"/>
      <c r="H83" s="103"/>
      <c r="I83" s="42" t="str">
        <f>IF(OR(ISBLANK(Exceptions[[#This Row],[Start]]),ISBLANK(Exceptions[[#This Row],[End]])),"",(Exceptions[[#This Row],[End]]-Exceptions[[#This Row],[Start]])*1440)</f>
        <v/>
      </c>
      <c r="J83" s="42" t="str">
        <f>IF(ISBLANK(Exceptions[[#This Row],[Date]]),"",IF(Exceptions[[#This Row],[Activity]]="Instruction",Exceptions[[#This Row],[Elapsed]],0))</f>
        <v/>
      </c>
      <c r="K83" s="42" t="str">
        <f>IF(ISBLANK(Exceptions[[#This Row],[Activity]]),"",IF(_xlfn.XLOOKUP(Exceptions[[#This Row],[Activity]],Types_of_Activity[Type of Activity],Types_of_Activity[Classification])=2,Exceptions[[#This Row],[Elapsed]],0))</f>
        <v/>
      </c>
    </row>
    <row r="84" spans="2:11" x14ac:dyDescent="0.3">
      <c r="B84" t="str">
        <f>TEXT(Exceptions[[#This Row],[Date]],"MMMM")</f>
        <v>January</v>
      </c>
      <c r="C84" s="146"/>
      <c r="D84" s="136"/>
      <c r="E84" s="136"/>
      <c r="F84" s="103"/>
      <c r="G84" s="103"/>
      <c r="H84" s="103"/>
      <c r="I84" s="42" t="str">
        <f>IF(OR(ISBLANK(Exceptions[[#This Row],[Start]]),ISBLANK(Exceptions[[#This Row],[End]])),"",(Exceptions[[#This Row],[End]]-Exceptions[[#This Row],[Start]])*1440)</f>
        <v/>
      </c>
      <c r="J84" s="42" t="str">
        <f>IF(ISBLANK(Exceptions[[#This Row],[Date]]),"",IF(Exceptions[[#This Row],[Activity]]="Instruction",Exceptions[[#This Row],[Elapsed]],0))</f>
        <v/>
      </c>
      <c r="K84" s="42" t="str">
        <f>IF(ISBLANK(Exceptions[[#This Row],[Activity]]),"",IF(_xlfn.XLOOKUP(Exceptions[[#This Row],[Activity]],Types_of_Activity[Type of Activity],Types_of_Activity[Classification])=2,Exceptions[[#This Row],[Elapsed]],0))</f>
        <v/>
      </c>
    </row>
    <row r="85" spans="2:11" x14ac:dyDescent="0.3">
      <c r="B85" t="str">
        <f>TEXT(Exceptions[[#This Row],[Date]],"MMMM")</f>
        <v>January</v>
      </c>
      <c r="C85" s="146"/>
      <c r="D85" s="136"/>
      <c r="E85" s="136"/>
      <c r="F85" s="103"/>
      <c r="G85" s="103"/>
      <c r="H85" s="103"/>
      <c r="I85" s="42" t="str">
        <f>IF(OR(ISBLANK(Exceptions[[#This Row],[Start]]),ISBLANK(Exceptions[[#This Row],[End]])),"",(Exceptions[[#This Row],[End]]-Exceptions[[#This Row],[Start]])*1440)</f>
        <v/>
      </c>
      <c r="J85" s="42" t="str">
        <f>IF(ISBLANK(Exceptions[[#This Row],[Date]]),"",IF(Exceptions[[#This Row],[Activity]]="Instruction",Exceptions[[#This Row],[Elapsed]],0))</f>
        <v/>
      </c>
      <c r="K85" s="42" t="str">
        <f>IF(ISBLANK(Exceptions[[#This Row],[Activity]]),"",IF(_xlfn.XLOOKUP(Exceptions[[#This Row],[Activity]],Types_of_Activity[Type of Activity],Types_of_Activity[Classification])=2,Exceptions[[#This Row],[Elapsed]],0))</f>
        <v/>
      </c>
    </row>
    <row r="86" spans="2:11" x14ac:dyDescent="0.3">
      <c r="B86" t="str">
        <f>TEXT(Exceptions[[#This Row],[Date]],"MMMM")</f>
        <v>January</v>
      </c>
      <c r="C86" s="146"/>
      <c r="D86" s="136"/>
      <c r="E86" s="136"/>
      <c r="F86" s="103"/>
      <c r="G86" s="103"/>
      <c r="H86" s="103"/>
      <c r="I86" s="42" t="str">
        <f>IF(OR(ISBLANK(Exceptions[[#This Row],[Start]]),ISBLANK(Exceptions[[#This Row],[End]])),"",(Exceptions[[#This Row],[End]]-Exceptions[[#This Row],[Start]])*1440)</f>
        <v/>
      </c>
      <c r="J86" s="42" t="str">
        <f>IF(ISBLANK(Exceptions[[#This Row],[Date]]),"",IF(Exceptions[[#This Row],[Activity]]="Instruction",Exceptions[[#This Row],[Elapsed]],0))</f>
        <v/>
      </c>
      <c r="K86" s="42" t="str">
        <f>IF(ISBLANK(Exceptions[[#This Row],[Activity]]),"",IF(_xlfn.XLOOKUP(Exceptions[[#This Row],[Activity]],Types_of_Activity[Type of Activity],Types_of_Activity[Classification])=2,Exceptions[[#This Row],[Elapsed]],0))</f>
        <v/>
      </c>
    </row>
    <row r="87" spans="2:11" x14ac:dyDescent="0.3">
      <c r="B87" t="str">
        <f>TEXT(Exceptions[[#This Row],[Date]],"MMMM")</f>
        <v>January</v>
      </c>
      <c r="C87" s="146"/>
      <c r="D87" s="136"/>
      <c r="E87" s="136"/>
      <c r="F87" s="103"/>
      <c r="G87" s="103"/>
      <c r="H87" s="103"/>
      <c r="I87" s="42" t="str">
        <f>IF(OR(ISBLANK(Exceptions[[#This Row],[Start]]),ISBLANK(Exceptions[[#This Row],[End]])),"",(Exceptions[[#This Row],[End]]-Exceptions[[#This Row],[Start]])*1440)</f>
        <v/>
      </c>
      <c r="J87" s="42" t="str">
        <f>IF(ISBLANK(Exceptions[[#This Row],[Date]]),"",IF(Exceptions[[#This Row],[Activity]]="Instruction",Exceptions[[#This Row],[Elapsed]],0))</f>
        <v/>
      </c>
      <c r="K87" s="42" t="str">
        <f>IF(ISBLANK(Exceptions[[#This Row],[Activity]]),"",IF(_xlfn.XLOOKUP(Exceptions[[#This Row],[Activity]],Types_of_Activity[Type of Activity],Types_of_Activity[Classification])=2,Exceptions[[#This Row],[Elapsed]],0))</f>
        <v/>
      </c>
    </row>
    <row r="88" spans="2:11" x14ac:dyDescent="0.3">
      <c r="B88" t="str">
        <f>TEXT(Exceptions[[#This Row],[Date]],"MMMM")</f>
        <v>January</v>
      </c>
      <c r="C88" s="146"/>
      <c r="D88" s="136"/>
      <c r="E88" s="136"/>
      <c r="F88" s="103"/>
      <c r="G88" s="103"/>
      <c r="H88" s="103"/>
      <c r="I88" s="42" t="str">
        <f>IF(OR(ISBLANK(Exceptions[[#This Row],[Start]]),ISBLANK(Exceptions[[#This Row],[End]])),"",(Exceptions[[#This Row],[End]]-Exceptions[[#This Row],[Start]])*1440)</f>
        <v/>
      </c>
      <c r="J88" s="42" t="str">
        <f>IF(ISBLANK(Exceptions[[#This Row],[Date]]),"",IF(Exceptions[[#This Row],[Activity]]="Instruction",Exceptions[[#This Row],[Elapsed]],0))</f>
        <v/>
      </c>
      <c r="K88" s="42" t="str">
        <f>IF(ISBLANK(Exceptions[[#This Row],[Activity]]),"",IF(_xlfn.XLOOKUP(Exceptions[[#This Row],[Activity]],Types_of_Activity[Type of Activity],Types_of_Activity[Classification])=2,Exceptions[[#This Row],[Elapsed]],0))</f>
        <v/>
      </c>
    </row>
    <row r="89" spans="2:11" x14ac:dyDescent="0.3">
      <c r="B89" t="str">
        <f>TEXT(Exceptions[[#This Row],[Date]],"MMMM")</f>
        <v>January</v>
      </c>
      <c r="C89" s="146"/>
      <c r="D89" s="136"/>
      <c r="E89" s="136"/>
      <c r="F89" s="103"/>
      <c r="G89" s="103"/>
      <c r="H89" s="103"/>
      <c r="I89" s="42" t="str">
        <f>IF(OR(ISBLANK(Exceptions[[#This Row],[Start]]),ISBLANK(Exceptions[[#This Row],[End]])),"",(Exceptions[[#This Row],[End]]-Exceptions[[#This Row],[Start]])*1440)</f>
        <v/>
      </c>
      <c r="J89" s="42" t="str">
        <f>IF(ISBLANK(Exceptions[[#This Row],[Date]]),"",IF(Exceptions[[#This Row],[Activity]]="Instruction",Exceptions[[#This Row],[Elapsed]],0))</f>
        <v/>
      </c>
      <c r="K89" s="42" t="str">
        <f>IF(ISBLANK(Exceptions[[#This Row],[Activity]]),"",IF(_xlfn.XLOOKUP(Exceptions[[#This Row],[Activity]],Types_of_Activity[Type of Activity],Types_of_Activity[Classification])=2,Exceptions[[#This Row],[Elapsed]],0))</f>
        <v/>
      </c>
    </row>
    <row r="90" spans="2:11" x14ac:dyDescent="0.3">
      <c r="B90" t="str">
        <f>TEXT(Exceptions[[#This Row],[Date]],"MMMM")</f>
        <v>January</v>
      </c>
      <c r="C90" s="146"/>
      <c r="D90" s="136"/>
      <c r="E90" s="136"/>
      <c r="F90" s="103"/>
      <c r="G90" s="103"/>
      <c r="H90" s="103"/>
      <c r="I90" s="42" t="str">
        <f>IF(OR(ISBLANK(Exceptions[[#This Row],[Start]]),ISBLANK(Exceptions[[#This Row],[End]])),"",(Exceptions[[#This Row],[End]]-Exceptions[[#This Row],[Start]])*1440)</f>
        <v/>
      </c>
      <c r="J90" s="42" t="str">
        <f>IF(ISBLANK(Exceptions[[#This Row],[Date]]),"",IF(Exceptions[[#This Row],[Activity]]="Instruction",Exceptions[[#This Row],[Elapsed]],0))</f>
        <v/>
      </c>
      <c r="K90" s="42" t="str">
        <f>IF(ISBLANK(Exceptions[[#This Row],[Activity]]),"",IF(_xlfn.XLOOKUP(Exceptions[[#This Row],[Activity]],Types_of_Activity[Type of Activity],Types_of_Activity[Classification])=2,Exceptions[[#This Row],[Elapsed]],0))</f>
        <v/>
      </c>
    </row>
    <row r="91" spans="2:11" x14ac:dyDescent="0.3">
      <c r="B91" t="str">
        <f>TEXT(Exceptions[[#This Row],[Date]],"MMMM")</f>
        <v>January</v>
      </c>
      <c r="C91" s="146"/>
      <c r="D91" s="136"/>
      <c r="E91" s="136"/>
      <c r="F91" s="103"/>
      <c r="G91" s="103"/>
      <c r="H91" s="103"/>
      <c r="I91" s="42" t="str">
        <f>IF(OR(ISBLANK(Exceptions[[#This Row],[Start]]),ISBLANK(Exceptions[[#This Row],[End]])),"",(Exceptions[[#This Row],[End]]-Exceptions[[#This Row],[Start]])*1440)</f>
        <v/>
      </c>
      <c r="J91" s="42" t="str">
        <f>IF(ISBLANK(Exceptions[[#This Row],[Date]]),"",IF(Exceptions[[#This Row],[Activity]]="Instruction",Exceptions[[#This Row],[Elapsed]],0))</f>
        <v/>
      </c>
      <c r="K91" s="42" t="str">
        <f>IF(ISBLANK(Exceptions[[#This Row],[Activity]]),"",IF(_xlfn.XLOOKUP(Exceptions[[#This Row],[Activity]],Types_of_Activity[Type of Activity],Types_of_Activity[Classification])=2,Exceptions[[#This Row],[Elapsed]],0))</f>
        <v/>
      </c>
    </row>
    <row r="92" spans="2:11" x14ac:dyDescent="0.3">
      <c r="B92" t="str">
        <f>TEXT(Exceptions[[#This Row],[Date]],"MMMM")</f>
        <v>January</v>
      </c>
      <c r="C92" s="146"/>
      <c r="D92" s="136"/>
      <c r="E92" s="136"/>
      <c r="F92" s="103"/>
      <c r="G92" s="103"/>
      <c r="H92" s="103"/>
      <c r="I92" s="42" t="str">
        <f>IF(OR(ISBLANK(Exceptions[[#This Row],[Start]]),ISBLANK(Exceptions[[#This Row],[End]])),"",(Exceptions[[#This Row],[End]]-Exceptions[[#This Row],[Start]])*1440)</f>
        <v/>
      </c>
      <c r="J92" s="42" t="str">
        <f>IF(ISBLANK(Exceptions[[#This Row],[Date]]),"",IF(Exceptions[[#This Row],[Activity]]="Instruction",Exceptions[[#This Row],[Elapsed]],0))</f>
        <v/>
      </c>
      <c r="K92" s="42" t="str">
        <f>IF(ISBLANK(Exceptions[[#This Row],[Activity]]),"",IF(_xlfn.XLOOKUP(Exceptions[[#This Row],[Activity]],Types_of_Activity[Type of Activity],Types_of_Activity[Classification])=2,Exceptions[[#This Row],[Elapsed]],0))</f>
        <v/>
      </c>
    </row>
    <row r="93" spans="2:11" x14ac:dyDescent="0.3">
      <c r="B93" t="str">
        <f>TEXT(Exceptions[[#This Row],[Date]],"MMMM")</f>
        <v>January</v>
      </c>
      <c r="C93" s="146"/>
      <c r="D93" s="136"/>
      <c r="E93" s="136"/>
      <c r="F93" s="103"/>
      <c r="G93" s="103"/>
      <c r="H93" s="103"/>
      <c r="I93" s="42" t="str">
        <f>IF(OR(ISBLANK(Exceptions[[#This Row],[Start]]),ISBLANK(Exceptions[[#This Row],[End]])),"",(Exceptions[[#This Row],[End]]-Exceptions[[#This Row],[Start]])*1440)</f>
        <v/>
      </c>
      <c r="J93" s="42" t="str">
        <f>IF(ISBLANK(Exceptions[[#This Row],[Date]]),"",IF(Exceptions[[#This Row],[Activity]]="Instruction",Exceptions[[#This Row],[Elapsed]],0))</f>
        <v/>
      </c>
      <c r="K93" s="42" t="str">
        <f>IF(ISBLANK(Exceptions[[#This Row],[Activity]]),"",IF(_xlfn.XLOOKUP(Exceptions[[#This Row],[Activity]],Types_of_Activity[Type of Activity],Types_of_Activity[Classification])=2,Exceptions[[#This Row],[Elapsed]],0))</f>
        <v/>
      </c>
    </row>
    <row r="94" spans="2:11" x14ac:dyDescent="0.3">
      <c r="B94" t="str">
        <f>TEXT(Exceptions[[#This Row],[Date]],"MMMM")</f>
        <v>January</v>
      </c>
      <c r="C94" s="146"/>
      <c r="D94" s="136"/>
      <c r="E94" s="136"/>
      <c r="F94" s="103"/>
      <c r="G94" s="103"/>
      <c r="H94" s="103"/>
      <c r="I94" s="42" t="str">
        <f>IF(OR(ISBLANK(Exceptions[[#This Row],[Start]]),ISBLANK(Exceptions[[#This Row],[End]])),"",(Exceptions[[#This Row],[End]]-Exceptions[[#This Row],[Start]])*1440)</f>
        <v/>
      </c>
      <c r="J94" s="42" t="str">
        <f>IF(ISBLANK(Exceptions[[#This Row],[Date]]),"",IF(Exceptions[[#This Row],[Activity]]="Instruction",Exceptions[[#This Row],[Elapsed]],0))</f>
        <v/>
      </c>
      <c r="K94" s="42" t="str">
        <f>IF(ISBLANK(Exceptions[[#This Row],[Activity]]),"",IF(_xlfn.XLOOKUP(Exceptions[[#This Row],[Activity]],Types_of_Activity[Type of Activity],Types_of_Activity[Classification])=2,Exceptions[[#This Row],[Elapsed]],0))</f>
        <v/>
      </c>
    </row>
    <row r="95" spans="2:11" x14ac:dyDescent="0.3">
      <c r="B95" t="str">
        <f>TEXT(Exceptions[[#This Row],[Date]],"MMMM")</f>
        <v>January</v>
      </c>
      <c r="C95" s="146"/>
      <c r="D95" s="136"/>
      <c r="E95" s="136"/>
      <c r="F95" s="103"/>
      <c r="G95" s="103"/>
      <c r="H95" s="103"/>
      <c r="I95" s="42" t="str">
        <f>IF(OR(ISBLANK(Exceptions[[#This Row],[Start]]),ISBLANK(Exceptions[[#This Row],[End]])),"",(Exceptions[[#This Row],[End]]-Exceptions[[#This Row],[Start]])*1440)</f>
        <v/>
      </c>
      <c r="J95" s="42" t="str">
        <f>IF(ISBLANK(Exceptions[[#This Row],[Date]]),"",IF(Exceptions[[#This Row],[Activity]]="Instruction",Exceptions[[#This Row],[Elapsed]],0))</f>
        <v/>
      </c>
      <c r="K95" s="42" t="str">
        <f>IF(ISBLANK(Exceptions[[#This Row],[Activity]]),"",IF(_xlfn.XLOOKUP(Exceptions[[#This Row],[Activity]],Types_of_Activity[Type of Activity],Types_of_Activity[Classification])=2,Exceptions[[#This Row],[Elapsed]],0))</f>
        <v/>
      </c>
    </row>
    <row r="96" spans="2:11" x14ac:dyDescent="0.3">
      <c r="B96" t="str">
        <f>TEXT(Exceptions[[#This Row],[Date]],"MMMM")</f>
        <v>January</v>
      </c>
      <c r="C96" s="146"/>
      <c r="D96" s="136"/>
      <c r="E96" s="136"/>
      <c r="F96" s="103"/>
      <c r="G96" s="103"/>
      <c r="H96" s="103"/>
      <c r="I96" s="42" t="str">
        <f>IF(OR(ISBLANK(Exceptions[[#This Row],[Start]]),ISBLANK(Exceptions[[#This Row],[End]])),"",(Exceptions[[#This Row],[End]]-Exceptions[[#This Row],[Start]])*1440)</f>
        <v/>
      </c>
      <c r="J96" s="42" t="str">
        <f>IF(ISBLANK(Exceptions[[#This Row],[Date]]),"",IF(Exceptions[[#This Row],[Activity]]="Instruction",Exceptions[[#This Row],[Elapsed]],0))</f>
        <v/>
      </c>
      <c r="K96" s="42" t="str">
        <f>IF(ISBLANK(Exceptions[[#This Row],[Activity]]),"",IF(_xlfn.XLOOKUP(Exceptions[[#This Row],[Activity]],Types_of_Activity[Type of Activity],Types_of_Activity[Classification])=2,Exceptions[[#This Row],[Elapsed]],0))</f>
        <v/>
      </c>
    </row>
    <row r="97" spans="2:11" x14ac:dyDescent="0.3">
      <c r="B97" t="str">
        <f>TEXT(Exceptions[[#This Row],[Date]],"MMMM")</f>
        <v>January</v>
      </c>
      <c r="C97" s="146"/>
      <c r="D97" s="136"/>
      <c r="E97" s="136"/>
      <c r="F97" s="103"/>
      <c r="G97" s="103"/>
      <c r="H97" s="103"/>
      <c r="I97" s="42" t="str">
        <f>IF(OR(ISBLANK(Exceptions[[#This Row],[Start]]),ISBLANK(Exceptions[[#This Row],[End]])),"",(Exceptions[[#This Row],[End]]-Exceptions[[#This Row],[Start]])*1440)</f>
        <v/>
      </c>
      <c r="J97" s="42" t="str">
        <f>IF(ISBLANK(Exceptions[[#This Row],[Date]]),"",IF(Exceptions[[#This Row],[Activity]]="Instruction",Exceptions[[#This Row],[Elapsed]],0))</f>
        <v/>
      </c>
      <c r="K97" s="42" t="str">
        <f>IF(ISBLANK(Exceptions[[#This Row],[Activity]]),"",IF(_xlfn.XLOOKUP(Exceptions[[#This Row],[Activity]],Types_of_Activity[Type of Activity],Types_of_Activity[Classification])=2,Exceptions[[#This Row],[Elapsed]],0))</f>
        <v/>
      </c>
    </row>
    <row r="98" spans="2:11" x14ac:dyDescent="0.3">
      <c r="B98" t="str">
        <f>TEXT(Exceptions[[#This Row],[Date]],"MMMM")</f>
        <v>January</v>
      </c>
      <c r="C98" s="146"/>
      <c r="D98" s="136"/>
      <c r="E98" s="136"/>
      <c r="F98" s="103"/>
      <c r="G98" s="103"/>
      <c r="H98" s="103"/>
      <c r="I98" s="42" t="str">
        <f>IF(OR(ISBLANK(Exceptions[[#This Row],[Start]]),ISBLANK(Exceptions[[#This Row],[End]])),"",(Exceptions[[#This Row],[End]]-Exceptions[[#This Row],[Start]])*1440)</f>
        <v/>
      </c>
      <c r="J98" s="42" t="str">
        <f>IF(ISBLANK(Exceptions[[#This Row],[Date]]),"",IF(Exceptions[[#This Row],[Activity]]="Instruction",Exceptions[[#This Row],[Elapsed]],0))</f>
        <v/>
      </c>
      <c r="K98" s="42" t="str">
        <f>IF(ISBLANK(Exceptions[[#This Row],[Activity]]),"",IF(_xlfn.XLOOKUP(Exceptions[[#This Row],[Activity]],Types_of_Activity[Type of Activity],Types_of_Activity[Classification])=2,Exceptions[[#This Row],[Elapsed]],0))</f>
        <v/>
      </c>
    </row>
    <row r="99" spans="2:11" x14ac:dyDescent="0.3">
      <c r="B99" t="str">
        <f>TEXT(Exceptions[[#This Row],[Date]],"MMMM")</f>
        <v>January</v>
      </c>
      <c r="C99" s="146"/>
      <c r="D99" s="136"/>
      <c r="E99" s="136"/>
      <c r="F99" s="103"/>
      <c r="G99" s="103"/>
      <c r="H99" s="103"/>
      <c r="I99" s="42" t="str">
        <f>IF(OR(ISBLANK(Exceptions[[#This Row],[Start]]),ISBLANK(Exceptions[[#This Row],[End]])),"",(Exceptions[[#This Row],[End]]-Exceptions[[#This Row],[Start]])*1440)</f>
        <v/>
      </c>
      <c r="J99" s="42" t="str">
        <f>IF(ISBLANK(Exceptions[[#This Row],[Date]]),"",IF(Exceptions[[#This Row],[Activity]]="Instruction",Exceptions[[#This Row],[Elapsed]],0))</f>
        <v/>
      </c>
      <c r="K99" s="42" t="str">
        <f>IF(ISBLANK(Exceptions[[#This Row],[Activity]]),"",IF(_xlfn.XLOOKUP(Exceptions[[#This Row],[Activity]],Types_of_Activity[Type of Activity],Types_of_Activity[Classification])=2,Exceptions[[#This Row],[Elapsed]],0))</f>
        <v/>
      </c>
    </row>
    <row r="100" spans="2:11" x14ac:dyDescent="0.3">
      <c r="B100" t="str">
        <f>TEXT(Exceptions[[#This Row],[Date]],"MMMM")</f>
        <v>January</v>
      </c>
      <c r="C100" s="146"/>
      <c r="D100" s="136"/>
      <c r="E100" s="136"/>
      <c r="F100" s="103"/>
      <c r="G100" s="103"/>
      <c r="H100" s="103"/>
      <c r="I100" s="42" t="str">
        <f>IF(OR(ISBLANK(Exceptions[[#This Row],[Start]]),ISBLANK(Exceptions[[#This Row],[End]])),"",(Exceptions[[#This Row],[End]]-Exceptions[[#This Row],[Start]])*1440)</f>
        <v/>
      </c>
      <c r="J100" s="42" t="str">
        <f>IF(ISBLANK(Exceptions[[#This Row],[Date]]),"",IF(Exceptions[[#This Row],[Activity]]="Instruction",Exceptions[[#This Row],[Elapsed]],0))</f>
        <v/>
      </c>
      <c r="K100" s="42" t="str">
        <f>IF(ISBLANK(Exceptions[[#This Row],[Activity]]),"",IF(_xlfn.XLOOKUP(Exceptions[[#This Row],[Activity]],Types_of_Activity[Type of Activity],Types_of_Activity[Classification])=2,Exceptions[[#This Row],[Elapsed]],0))</f>
        <v/>
      </c>
    </row>
    <row r="101" spans="2:11" x14ac:dyDescent="0.3">
      <c r="B101" t="str">
        <f>TEXT(Exceptions[[#This Row],[Date]],"MMMM")</f>
        <v>January</v>
      </c>
      <c r="C101" s="146"/>
      <c r="D101" s="136"/>
      <c r="E101" s="136"/>
      <c r="F101" s="103"/>
      <c r="G101" s="103"/>
      <c r="H101" s="103"/>
      <c r="I101" s="42" t="str">
        <f>IF(OR(ISBLANK(Exceptions[[#This Row],[Start]]),ISBLANK(Exceptions[[#This Row],[End]])),"",(Exceptions[[#This Row],[End]]-Exceptions[[#This Row],[Start]])*1440)</f>
        <v/>
      </c>
      <c r="J101" s="42" t="str">
        <f>IF(ISBLANK(Exceptions[[#This Row],[Date]]),"",IF(Exceptions[[#This Row],[Activity]]="Instruction",Exceptions[[#This Row],[Elapsed]],0))</f>
        <v/>
      </c>
      <c r="K101" s="42" t="str">
        <f>IF(ISBLANK(Exceptions[[#This Row],[Activity]]),"",IF(_xlfn.XLOOKUP(Exceptions[[#This Row],[Activity]],Types_of_Activity[Type of Activity],Types_of_Activity[Classification])=2,Exceptions[[#This Row],[Elapsed]],0))</f>
        <v/>
      </c>
    </row>
    <row r="102" spans="2:11" x14ac:dyDescent="0.3">
      <c r="B102" t="str">
        <f>TEXT(Exceptions[[#This Row],[Date]],"MMMM")</f>
        <v>January</v>
      </c>
      <c r="C102" s="146"/>
      <c r="D102" s="136"/>
      <c r="E102" s="136"/>
      <c r="F102" s="103"/>
      <c r="G102" s="103"/>
      <c r="H102" s="103"/>
      <c r="I102" s="42" t="str">
        <f>IF(OR(ISBLANK(Exceptions[[#This Row],[Start]]),ISBLANK(Exceptions[[#This Row],[End]])),"",(Exceptions[[#This Row],[End]]-Exceptions[[#This Row],[Start]])*1440)</f>
        <v/>
      </c>
      <c r="J102" s="42" t="str">
        <f>IF(ISBLANK(Exceptions[[#This Row],[Date]]),"",IF(Exceptions[[#This Row],[Activity]]="Instruction",Exceptions[[#This Row],[Elapsed]],0))</f>
        <v/>
      </c>
      <c r="K102" s="42" t="str">
        <f>IF(ISBLANK(Exceptions[[#This Row],[Activity]]),"",IF(_xlfn.XLOOKUP(Exceptions[[#This Row],[Activity]],Types_of_Activity[Type of Activity],Types_of_Activity[Classification])=2,Exceptions[[#This Row],[Elapsed]],0))</f>
        <v/>
      </c>
    </row>
    <row r="103" spans="2:11" x14ac:dyDescent="0.3">
      <c r="B103" t="str">
        <f>TEXT(Exceptions[[#This Row],[Date]],"MMMM")</f>
        <v>January</v>
      </c>
      <c r="C103" s="146"/>
      <c r="D103" s="136"/>
      <c r="E103" s="136"/>
      <c r="F103" s="103"/>
      <c r="G103" s="103"/>
      <c r="H103" s="103"/>
      <c r="I103" s="42" t="str">
        <f>IF(OR(ISBLANK(Exceptions[[#This Row],[Start]]),ISBLANK(Exceptions[[#This Row],[End]])),"",(Exceptions[[#This Row],[End]]-Exceptions[[#This Row],[Start]])*1440)</f>
        <v/>
      </c>
      <c r="J103" s="42" t="str">
        <f>IF(ISBLANK(Exceptions[[#This Row],[Date]]),"",IF(Exceptions[[#This Row],[Activity]]="Instruction",Exceptions[[#This Row],[Elapsed]],0))</f>
        <v/>
      </c>
      <c r="K103" s="42" t="str">
        <f>IF(ISBLANK(Exceptions[[#This Row],[Activity]]),"",IF(_xlfn.XLOOKUP(Exceptions[[#This Row],[Activity]],Types_of_Activity[Type of Activity],Types_of_Activity[Classification])=2,Exceptions[[#This Row],[Elapsed]],0))</f>
        <v/>
      </c>
    </row>
    <row r="104" spans="2:11" x14ac:dyDescent="0.3">
      <c r="B104" t="str">
        <f>TEXT(Exceptions[[#This Row],[Date]],"MMMM")</f>
        <v>January</v>
      </c>
      <c r="C104" s="146"/>
      <c r="D104" s="136"/>
      <c r="E104" s="136"/>
      <c r="F104" s="103"/>
      <c r="G104" s="103"/>
      <c r="H104" s="103"/>
      <c r="I104" s="42" t="str">
        <f>IF(OR(ISBLANK(Exceptions[[#This Row],[Start]]),ISBLANK(Exceptions[[#This Row],[End]])),"",(Exceptions[[#This Row],[End]]-Exceptions[[#This Row],[Start]])*1440)</f>
        <v/>
      </c>
      <c r="J104" s="42" t="str">
        <f>IF(ISBLANK(Exceptions[[#This Row],[Date]]),"",IF(Exceptions[[#This Row],[Activity]]="Instruction",Exceptions[[#This Row],[Elapsed]],0))</f>
        <v/>
      </c>
      <c r="K104" s="42" t="str">
        <f>IF(ISBLANK(Exceptions[[#This Row],[Activity]]),"",IF(_xlfn.XLOOKUP(Exceptions[[#This Row],[Activity]],Types_of_Activity[Type of Activity],Types_of_Activity[Classification])=2,Exceptions[[#This Row],[Elapsed]],0))</f>
        <v/>
      </c>
    </row>
    <row r="105" spans="2:11" x14ac:dyDescent="0.3">
      <c r="B105" t="str">
        <f>TEXT(Exceptions[[#This Row],[Date]],"MMMM")</f>
        <v>January</v>
      </c>
      <c r="C105" s="146"/>
      <c r="D105" s="136"/>
      <c r="E105" s="136"/>
      <c r="F105" s="103"/>
      <c r="G105" s="103"/>
      <c r="H105" s="103"/>
      <c r="I105" s="42" t="str">
        <f>IF(OR(ISBLANK(Exceptions[[#This Row],[Start]]),ISBLANK(Exceptions[[#This Row],[End]])),"",(Exceptions[[#This Row],[End]]-Exceptions[[#This Row],[Start]])*1440)</f>
        <v/>
      </c>
      <c r="J105" s="42" t="str">
        <f>IF(ISBLANK(Exceptions[[#This Row],[Date]]),"",IF(Exceptions[[#This Row],[Activity]]="Instruction",Exceptions[[#This Row],[Elapsed]],0))</f>
        <v/>
      </c>
      <c r="K105" s="42" t="str">
        <f>IF(ISBLANK(Exceptions[[#This Row],[Activity]]),"",IF(_xlfn.XLOOKUP(Exceptions[[#This Row],[Activity]],Types_of_Activity[Type of Activity],Types_of_Activity[Classification])=2,Exceptions[[#This Row],[Elapsed]],0))</f>
        <v/>
      </c>
    </row>
    <row r="106" spans="2:11" x14ac:dyDescent="0.3">
      <c r="B106" t="str">
        <f>TEXT(Exceptions[[#This Row],[Date]],"MMMM")</f>
        <v>January</v>
      </c>
      <c r="C106" s="146"/>
      <c r="D106" s="136"/>
      <c r="E106" s="136"/>
      <c r="F106" s="103"/>
      <c r="G106" s="103"/>
      <c r="H106" s="103"/>
      <c r="I106" s="42" t="str">
        <f>IF(OR(ISBLANK(Exceptions[[#This Row],[Start]]),ISBLANK(Exceptions[[#This Row],[End]])),"",(Exceptions[[#This Row],[End]]-Exceptions[[#This Row],[Start]])*1440)</f>
        <v/>
      </c>
      <c r="J106" s="42" t="str">
        <f>IF(ISBLANK(Exceptions[[#This Row],[Date]]),"",IF(Exceptions[[#This Row],[Activity]]="Instruction",Exceptions[[#This Row],[Elapsed]],0))</f>
        <v/>
      </c>
      <c r="K106" s="42" t="str">
        <f>IF(ISBLANK(Exceptions[[#This Row],[Activity]]),"",IF(_xlfn.XLOOKUP(Exceptions[[#This Row],[Activity]],Types_of_Activity[Type of Activity],Types_of_Activity[Classification])=2,Exceptions[[#This Row],[Elapsed]],0))</f>
        <v/>
      </c>
    </row>
    <row r="107" spans="2:11" x14ac:dyDescent="0.3">
      <c r="B107" t="str">
        <f>TEXT(Exceptions[[#This Row],[Date]],"MMMM")</f>
        <v>January</v>
      </c>
      <c r="C107" s="146"/>
      <c r="D107" s="136"/>
      <c r="E107" s="136"/>
      <c r="F107" s="103"/>
      <c r="G107" s="103"/>
      <c r="H107" s="103"/>
      <c r="I107" s="42" t="str">
        <f>IF(OR(ISBLANK(Exceptions[[#This Row],[Start]]),ISBLANK(Exceptions[[#This Row],[End]])),"",(Exceptions[[#This Row],[End]]-Exceptions[[#This Row],[Start]])*1440)</f>
        <v/>
      </c>
      <c r="J107" s="42" t="str">
        <f>IF(ISBLANK(Exceptions[[#This Row],[Date]]),"",IF(Exceptions[[#This Row],[Activity]]="Instruction",Exceptions[[#This Row],[Elapsed]],0))</f>
        <v/>
      </c>
      <c r="K107" s="42" t="str">
        <f>IF(ISBLANK(Exceptions[[#This Row],[Activity]]),"",IF(_xlfn.XLOOKUP(Exceptions[[#This Row],[Activity]],Types_of_Activity[Type of Activity],Types_of_Activity[Classification])=2,Exceptions[[#This Row],[Elapsed]],0))</f>
        <v/>
      </c>
    </row>
    <row r="108" spans="2:11" x14ac:dyDescent="0.3">
      <c r="B108" t="str">
        <f>TEXT(Exceptions[[#This Row],[Date]],"MMMM")</f>
        <v>January</v>
      </c>
      <c r="C108" s="146"/>
      <c r="D108" s="136"/>
      <c r="E108" s="136"/>
      <c r="F108" s="103"/>
      <c r="G108" s="103"/>
      <c r="H108" s="103"/>
      <c r="I108" s="42" t="str">
        <f>IF(OR(ISBLANK(Exceptions[[#This Row],[Start]]),ISBLANK(Exceptions[[#This Row],[End]])),"",(Exceptions[[#This Row],[End]]-Exceptions[[#This Row],[Start]])*1440)</f>
        <v/>
      </c>
      <c r="J108" s="42" t="str">
        <f>IF(ISBLANK(Exceptions[[#This Row],[Date]]),"",IF(Exceptions[[#This Row],[Activity]]="Instruction",Exceptions[[#This Row],[Elapsed]],0))</f>
        <v/>
      </c>
      <c r="K108" s="42" t="str">
        <f>IF(ISBLANK(Exceptions[[#This Row],[Activity]]),"",IF(_xlfn.XLOOKUP(Exceptions[[#This Row],[Activity]],Types_of_Activity[Type of Activity],Types_of_Activity[Classification])=2,Exceptions[[#This Row],[Elapsed]],0))</f>
        <v/>
      </c>
    </row>
    <row r="109" spans="2:11" x14ac:dyDescent="0.3">
      <c r="B109" t="str">
        <f>TEXT(Exceptions[[#This Row],[Date]],"MMMM")</f>
        <v>January</v>
      </c>
      <c r="C109" s="146"/>
      <c r="D109" s="136"/>
      <c r="E109" s="136"/>
      <c r="F109" s="103"/>
      <c r="G109" s="103"/>
      <c r="H109" s="103"/>
      <c r="I109" s="42" t="str">
        <f>IF(OR(ISBLANK(Exceptions[[#This Row],[Start]]),ISBLANK(Exceptions[[#This Row],[End]])),"",(Exceptions[[#This Row],[End]]-Exceptions[[#This Row],[Start]])*1440)</f>
        <v/>
      </c>
      <c r="J109" s="42" t="str">
        <f>IF(ISBLANK(Exceptions[[#This Row],[Date]]),"",IF(Exceptions[[#This Row],[Activity]]="Instruction",Exceptions[[#This Row],[Elapsed]],0))</f>
        <v/>
      </c>
      <c r="K109" s="42" t="str">
        <f>IF(ISBLANK(Exceptions[[#This Row],[Activity]]),"",IF(_xlfn.XLOOKUP(Exceptions[[#This Row],[Activity]],Types_of_Activity[Type of Activity],Types_of_Activity[Classification])=2,Exceptions[[#This Row],[Elapsed]],0))</f>
        <v/>
      </c>
    </row>
    <row r="110" spans="2:11" x14ac:dyDescent="0.3">
      <c r="B110" t="str">
        <f>TEXT(Exceptions[[#This Row],[Date]],"MMMM")</f>
        <v>January</v>
      </c>
      <c r="C110" s="146"/>
      <c r="D110" s="136"/>
      <c r="E110" s="136"/>
      <c r="F110" s="103"/>
      <c r="G110" s="103"/>
      <c r="H110" s="103"/>
      <c r="I110" s="42" t="str">
        <f>IF(OR(ISBLANK(Exceptions[[#This Row],[Start]]),ISBLANK(Exceptions[[#This Row],[End]])),"",(Exceptions[[#This Row],[End]]-Exceptions[[#This Row],[Start]])*1440)</f>
        <v/>
      </c>
      <c r="J110" s="42" t="str">
        <f>IF(ISBLANK(Exceptions[[#This Row],[Date]]),"",IF(Exceptions[[#This Row],[Activity]]="Instruction",Exceptions[[#This Row],[Elapsed]],0))</f>
        <v/>
      </c>
      <c r="K110" s="42" t="str">
        <f>IF(ISBLANK(Exceptions[[#This Row],[Activity]]),"",IF(_xlfn.XLOOKUP(Exceptions[[#This Row],[Activity]],Types_of_Activity[Type of Activity],Types_of_Activity[Classification])=2,Exceptions[[#This Row],[Elapsed]],0))</f>
        <v/>
      </c>
    </row>
    <row r="111" spans="2:11" x14ac:dyDescent="0.3">
      <c r="B111" t="str">
        <f>TEXT(Exceptions[[#This Row],[Date]],"MMMM")</f>
        <v>January</v>
      </c>
      <c r="C111" s="146"/>
      <c r="D111" s="136"/>
      <c r="E111" s="136"/>
      <c r="F111" s="103"/>
      <c r="G111" s="103"/>
      <c r="H111" s="103"/>
      <c r="I111" s="42" t="str">
        <f>IF(OR(ISBLANK(Exceptions[[#This Row],[Start]]),ISBLANK(Exceptions[[#This Row],[End]])),"",(Exceptions[[#This Row],[End]]-Exceptions[[#This Row],[Start]])*1440)</f>
        <v/>
      </c>
      <c r="J111" s="42" t="str">
        <f>IF(ISBLANK(Exceptions[[#This Row],[Date]]),"",IF(Exceptions[[#This Row],[Activity]]="Instruction",Exceptions[[#This Row],[Elapsed]],0))</f>
        <v/>
      </c>
      <c r="K111" s="42" t="str">
        <f>IF(ISBLANK(Exceptions[[#This Row],[Activity]]),"",IF(_xlfn.XLOOKUP(Exceptions[[#This Row],[Activity]],Types_of_Activity[Type of Activity],Types_of_Activity[Classification])=2,Exceptions[[#This Row],[Elapsed]],0))</f>
        <v/>
      </c>
    </row>
    <row r="112" spans="2:11" x14ac:dyDescent="0.3">
      <c r="B112" t="str">
        <f>TEXT(Exceptions[[#This Row],[Date]],"MMMM")</f>
        <v>January</v>
      </c>
      <c r="C112" s="146"/>
      <c r="D112" s="136"/>
      <c r="E112" s="136"/>
      <c r="F112" s="103"/>
      <c r="G112" s="103"/>
      <c r="H112" s="103"/>
      <c r="I112" s="42" t="str">
        <f>IF(OR(ISBLANK(Exceptions[[#This Row],[Start]]),ISBLANK(Exceptions[[#This Row],[End]])),"",(Exceptions[[#This Row],[End]]-Exceptions[[#This Row],[Start]])*1440)</f>
        <v/>
      </c>
      <c r="J112" s="42" t="str">
        <f>IF(ISBLANK(Exceptions[[#This Row],[Date]]),"",IF(Exceptions[[#This Row],[Activity]]="Instruction",Exceptions[[#This Row],[Elapsed]],0))</f>
        <v/>
      </c>
      <c r="K112" s="42" t="str">
        <f>IF(ISBLANK(Exceptions[[#This Row],[Activity]]),"",IF(_xlfn.XLOOKUP(Exceptions[[#This Row],[Activity]],Types_of_Activity[Type of Activity],Types_of_Activity[Classification])=2,Exceptions[[#This Row],[Elapsed]],0))</f>
        <v/>
      </c>
    </row>
    <row r="113" spans="2:11" x14ac:dyDescent="0.3">
      <c r="B113" t="str">
        <f>TEXT(Exceptions[[#This Row],[Date]],"MMMM")</f>
        <v>January</v>
      </c>
      <c r="C113" s="146"/>
      <c r="D113" s="136"/>
      <c r="E113" s="136"/>
      <c r="F113" s="103"/>
      <c r="G113" s="103"/>
      <c r="H113" s="103"/>
      <c r="I113" s="42" t="str">
        <f>IF(OR(ISBLANK(Exceptions[[#This Row],[Start]]),ISBLANK(Exceptions[[#This Row],[End]])),"",(Exceptions[[#This Row],[End]]-Exceptions[[#This Row],[Start]])*1440)</f>
        <v/>
      </c>
      <c r="J113" s="42" t="str">
        <f>IF(ISBLANK(Exceptions[[#This Row],[Date]]),"",IF(Exceptions[[#This Row],[Activity]]="Instruction",Exceptions[[#This Row],[Elapsed]],0))</f>
        <v/>
      </c>
      <c r="K113" s="42" t="str">
        <f>IF(ISBLANK(Exceptions[[#This Row],[Activity]]),"",IF(_xlfn.XLOOKUP(Exceptions[[#This Row],[Activity]],Types_of_Activity[Type of Activity],Types_of_Activity[Classification])=2,Exceptions[[#This Row],[Elapsed]],0))</f>
        <v/>
      </c>
    </row>
    <row r="114" spans="2:11" x14ac:dyDescent="0.3">
      <c r="B114" t="str">
        <f>TEXT(Exceptions[[#This Row],[Date]],"MMMM")</f>
        <v>January</v>
      </c>
      <c r="C114" s="146"/>
      <c r="D114" s="136"/>
      <c r="E114" s="136"/>
      <c r="F114" s="103"/>
      <c r="G114" s="103"/>
      <c r="H114" s="103"/>
      <c r="I114" s="42" t="str">
        <f>IF(OR(ISBLANK(Exceptions[[#This Row],[Start]]),ISBLANK(Exceptions[[#This Row],[End]])),"",(Exceptions[[#This Row],[End]]-Exceptions[[#This Row],[Start]])*1440)</f>
        <v/>
      </c>
      <c r="J114" s="42" t="str">
        <f>IF(ISBLANK(Exceptions[[#This Row],[Date]]),"",IF(Exceptions[[#This Row],[Activity]]="Instruction",Exceptions[[#This Row],[Elapsed]],0))</f>
        <v/>
      </c>
      <c r="K114" s="42" t="str">
        <f>IF(ISBLANK(Exceptions[[#This Row],[Activity]]),"",IF(_xlfn.XLOOKUP(Exceptions[[#This Row],[Activity]],Types_of_Activity[Type of Activity],Types_of_Activity[Classification])=2,Exceptions[[#This Row],[Elapsed]],0))</f>
        <v/>
      </c>
    </row>
    <row r="115" spans="2:11" x14ac:dyDescent="0.3">
      <c r="B115" t="str">
        <f>TEXT(Exceptions[[#This Row],[Date]],"MMMM")</f>
        <v>January</v>
      </c>
      <c r="C115" s="146"/>
      <c r="D115" s="136"/>
      <c r="E115" s="136"/>
      <c r="F115" s="103"/>
      <c r="G115" s="103"/>
      <c r="H115" s="103"/>
      <c r="I115" s="42" t="str">
        <f>IF(OR(ISBLANK(Exceptions[[#This Row],[Start]]),ISBLANK(Exceptions[[#This Row],[End]])),"",(Exceptions[[#This Row],[End]]-Exceptions[[#This Row],[Start]])*1440)</f>
        <v/>
      </c>
      <c r="J115" s="42" t="str">
        <f>IF(ISBLANK(Exceptions[[#This Row],[Date]]),"",IF(Exceptions[[#This Row],[Activity]]="Instruction",Exceptions[[#This Row],[Elapsed]],0))</f>
        <v/>
      </c>
      <c r="K115" s="42" t="str">
        <f>IF(ISBLANK(Exceptions[[#This Row],[Activity]]),"",IF(_xlfn.XLOOKUP(Exceptions[[#This Row],[Activity]],Types_of_Activity[Type of Activity],Types_of_Activity[Classification])=2,Exceptions[[#This Row],[Elapsed]],0))</f>
        <v/>
      </c>
    </row>
    <row r="116" spans="2:11" x14ac:dyDescent="0.3">
      <c r="B116" t="str">
        <f>TEXT(Exceptions[[#This Row],[Date]],"MMMM")</f>
        <v>January</v>
      </c>
      <c r="C116" s="146"/>
      <c r="D116" s="136"/>
      <c r="E116" s="136"/>
      <c r="F116" s="103"/>
      <c r="G116" s="103"/>
      <c r="H116" s="103"/>
      <c r="I116" s="42" t="str">
        <f>IF(OR(ISBLANK(Exceptions[[#This Row],[Start]]),ISBLANK(Exceptions[[#This Row],[End]])),"",(Exceptions[[#This Row],[End]]-Exceptions[[#This Row],[Start]])*1440)</f>
        <v/>
      </c>
      <c r="J116" s="42" t="str">
        <f>IF(ISBLANK(Exceptions[[#This Row],[Date]]),"",IF(Exceptions[[#This Row],[Activity]]="Instruction",Exceptions[[#This Row],[Elapsed]],0))</f>
        <v/>
      </c>
      <c r="K116" s="42" t="str">
        <f>IF(ISBLANK(Exceptions[[#This Row],[Activity]]),"",IF(_xlfn.XLOOKUP(Exceptions[[#This Row],[Activity]],Types_of_Activity[Type of Activity],Types_of_Activity[Classification])=2,Exceptions[[#This Row],[Elapsed]],0))</f>
        <v/>
      </c>
    </row>
    <row r="117" spans="2:11" x14ac:dyDescent="0.3">
      <c r="B117" t="str">
        <f>TEXT(Exceptions[[#This Row],[Date]],"MMMM")</f>
        <v>January</v>
      </c>
      <c r="C117" s="146"/>
      <c r="D117" s="136"/>
      <c r="E117" s="136"/>
      <c r="F117" s="103"/>
      <c r="G117" s="103"/>
      <c r="H117" s="103"/>
      <c r="I117" s="42" t="str">
        <f>IF(OR(ISBLANK(Exceptions[[#This Row],[Start]]),ISBLANK(Exceptions[[#This Row],[End]])),"",(Exceptions[[#This Row],[End]]-Exceptions[[#This Row],[Start]])*1440)</f>
        <v/>
      </c>
      <c r="J117" s="42" t="str">
        <f>IF(ISBLANK(Exceptions[[#This Row],[Date]]),"",IF(Exceptions[[#This Row],[Activity]]="Instruction",Exceptions[[#This Row],[Elapsed]],0))</f>
        <v/>
      </c>
      <c r="K117" s="42" t="str">
        <f>IF(ISBLANK(Exceptions[[#This Row],[Activity]]),"",IF(_xlfn.XLOOKUP(Exceptions[[#This Row],[Activity]],Types_of_Activity[Type of Activity],Types_of_Activity[Classification])=2,Exceptions[[#This Row],[Elapsed]],0))</f>
        <v/>
      </c>
    </row>
    <row r="118" spans="2:11" x14ac:dyDescent="0.3">
      <c r="B118" t="str">
        <f>TEXT(Exceptions[[#This Row],[Date]],"MMMM")</f>
        <v>January</v>
      </c>
      <c r="C118" s="146"/>
      <c r="D118" s="136"/>
      <c r="E118" s="136"/>
      <c r="F118" s="103"/>
      <c r="G118" s="103"/>
      <c r="H118" s="103"/>
      <c r="I118" s="42" t="str">
        <f>IF(OR(ISBLANK(Exceptions[[#This Row],[Start]]),ISBLANK(Exceptions[[#This Row],[End]])),"",(Exceptions[[#This Row],[End]]-Exceptions[[#This Row],[Start]])*1440)</f>
        <v/>
      </c>
      <c r="J118" s="42" t="str">
        <f>IF(ISBLANK(Exceptions[[#This Row],[Date]]),"",IF(Exceptions[[#This Row],[Activity]]="Instruction",Exceptions[[#This Row],[Elapsed]],0))</f>
        <v/>
      </c>
      <c r="K118" s="42" t="str">
        <f>IF(ISBLANK(Exceptions[[#This Row],[Activity]]),"",IF(_xlfn.XLOOKUP(Exceptions[[#This Row],[Activity]],Types_of_Activity[Type of Activity],Types_of_Activity[Classification])=2,Exceptions[[#This Row],[Elapsed]],0))</f>
        <v/>
      </c>
    </row>
    <row r="119" spans="2:11" x14ac:dyDescent="0.3">
      <c r="B119" t="str">
        <f>TEXT(Exceptions[[#This Row],[Date]],"MMMM")</f>
        <v>January</v>
      </c>
      <c r="C119" s="146"/>
      <c r="D119" s="136"/>
      <c r="E119" s="136"/>
      <c r="F119" s="103"/>
      <c r="G119" s="103"/>
      <c r="H119" s="103"/>
      <c r="I119" s="42" t="str">
        <f>IF(OR(ISBLANK(Exceptions[[#This Row],[Start]]),ISBLANK(Exceptions[[#This Row],[End]])),"",(Exceptions[[#This Row],[End]]-Exceptions[[#This Row],[Start]])*1440)</f>
        <v/>
      </c>
      <c r="J119" s="42" t="str">
        <f>IF(ISBLANK(Exceptions[[#This Row],[Date]]),"",IF(Exceptions[[#This Row],[Activity]]="Instruction",Exceptions[[#This Row],[Elapsed]],0))</f>
        <v/>
      </c>
      <c r="K119" s="42" t="str">
        <f>IF(ISBLANK(Exceptions[[#This Row],[Activity]]),"",IF(_xlfn.XLOOKUP(Exceptions[[#This Row],[Activity]],Types_of_Activity[Type of Activity],Types_of_Activity[Classification])=2,Exceptions[[#This Row],[Elapsed]],0))</f>
        <v/>
      </c>
    </row>
    <row r="120" spans="2:11" x14ac:dyDescent="0.3">
      <c r="B120" t="str">
        <f>TEXT(Exceptions[[#This Row],[Date]],"MMMM")</f>
        <v>January</v>
      </c>
      <c r="C120" s="146"/>
      <c r="D120" s="136"/>
      <c r="E120" s="136"/>
      <c r="F120" s="103"/>
      <c r="G120" s="103"/>
      <c r="H120" s="103"/>
      <c r="I120" s="42" t="str">
        <f>IF(OR(ISBLANK(Exceptions[[#This Row],[Start]]),ISBLANK(Exceptions[[#This Row],[End]])),"",(Exceptions[[#This Row],[End]]-Exceptions[[#This Row],[Start]])*1440)</f>
        <v/>
      </c>
      <c r="J120" s="42" t="str">
        <f>IF(ISBLANK(Exceptions[[#This Row],[Date]]),"",IF(Exceptions[[#This Row],[Activity]]="Instruction",Exceptions[[#This Row],[Elapsed]],0))</f>
        <v/>
      </c>
      <c r="K120" s="42" t="str">
        <f>IF(ISBLANK(Exceptions[[#This Row],[Activity]]),"",IF(_xlfn.XLOOKUP(Exceptions[[#This Row],[Activity]],Types_of_Activity[Type of Activity],Types_of_Activity[Classification])=2,Exceptions[[#This Row],[Elapsed]],0))</f>
        <v/>
      </c>
    </row>
    <row r="121" spans="2:11" x14ac:dyDescent="0.3">
      <c r="B121" t="str">
        <f>TEXT(Exceptions[[#This Row],[Date]],"MMMM")</f>
        <v>January</v>
      </c>
      <c r="C121" s="146"/>
      <c r="D121" s="136"/>
      <c r="E121" s="136"/>
      <c r="F121" s="103"/>
      <c r="G121" s="103"/>
      <c r="H121" s="103"/>
      <c r="I121" s="42" t="str">
        <f>IF(OR(ISBLANK(Exceptions[[#This Row],[Start]]),ISBLANK(Exceptions[[#This Row],[End]])),"",(Exceptions[[#This Row],[End]]-Exceptions[[#This Row],[Start]])*1440)</f>
        <v/>
      </c>
      <c r="J121" s="42" t="str">
        <f>IF(ISBLANK(Exceptions[[#This Row],[Date]]),"",IF(Exceptions[[#This Row],[Activity]]="Instruction",Exceptions[[#This Row],[Elapsed]],0))</f>
        <v/>
      </c>
      <c r="K121" s="42" t="str">
        <f>IF(ISBLANK(Exceptions[[#This Row],[Activity]]),"",IF(_xlfn.XLOOKUP(Exceptions[[#This Row],[Activity]],Types_of_Activity[Type of Activity],Types_of_Activity[Classification])=2,Exceptions[[#This Row],[Elapsed]],0))</f>
        <v/>
      </c>
    </row>
    <row r="122" spans="2:11" x14ac:dyDescent="0.3">
      <c r="B122" t="str">
        <f>TEXT(Exceptions[[#This Row],[Date]],"MMMM")</f>
        <v>January</v>
      </c>
      <c r="C122" s="146"/>
      <c r="D122" s="136"/>
      <c r="E122" s="136"/>
      <c r="F122" s="103"/>
      <c r="G122" s="103"/>
      <c r="H122" s="103"/>
      <c r="I122" s="42" t="str">
        <f>IF(OR(ISBLANK(Exceptions[[#This Row],[Start]]),ISBLANK(Exceptions[[#This Row],[End]])),"",(Exceptions[[#This Row],[End]]-Exceptions[[#This Row],[Start]])*1440)</f>
        <v/>
      </c>
      <c r="J122" s="42" t="str">
        <f>IF(ISBLANK(Exceptions[[#This Row],[Date]]),"",IF(Exceptions[[#This Row],[Activity]]="Instruction",Exceptions[[#This Row],[Elapsed]],0))</f>
        <v/>
      </c>
      <c r="K122" s="42" t="str">
        <f>IF(ISBLANK(Exceptions[[#This Row],[Activity]]),"",IF(_xlfn.XLOOKUP(Exceptions[[#This Row],[Activity]],Types_of_Activity[Type of Activity],Types_of_Activity[Classification])=2,Exceptions[[#This Row],[Elapsed]],0))</f>
        <v/>
      </c>
    </row>
    <row r="123" spans="2:11" x14ac:dyDescent="0.3">
      <c r="B123" t="str">
        <f>TEXT(Exceptions[[#This Row],[Date]],"MMMM")</f>
        <v>January</v>
      </c>
      <c r="C123" s="146"/>
      <c r="D123" s="136"/>
      <c r="E123" s="136"/>
      <c r="F123" s="103"/>
      <c r="G123" s="103"/>
      <c r="H123" s="103"/>
      <c r="I123" s="42" t="str">
        <f>IF(OR(ISBLANK(Exceptions[[#This Row],[Start]]),ISBLANK(Exceptions[[#This Row],[End]])),"",(Exceptions[[#This Row],[End]]-Exceptions[[#This Row],[Start]])*1440)</f>
        <v/>
      </c>
      <c r="J123" s="42" t="str">
        <f>IF(ISBLANK(Exceptions[[#This Row],[Date]]),"",IF(Exceptions[[#This Row],[Activity]]="Instruction",Exceptions[[#This Row],[Elapsed]],0))</f>
        <v/>
      </c>
      <c r="K123" s="42" t="str">
        <f>IF(ISBLANK(Exceptions[[#This Row],[Activity]]),"",IF(_xlfn.XLOOKUP(Exceptions[[#This Row],[Activity]],Types_of_Activity[Type of Activity],Types_of_Activity[Classification])=2,Exceptions[[#This Row],[Elapsed]],0))</f>
        <v/>
      </c>
    </row>
    <row r="124" spans="2:11" x14ac:dyDescent="0.3">
      <c r="B124" t="str">
        <f>TEXT(Exceptions[[#This Row],[Date]],"MMMM")</f>
        <v>January</v>
      </c>
      <c r="C124" s="146"/>
      <c r="D124" s="136"/>
      <c r="E124" s="136"/>
      <c r="F124" s="103"/>
      <c r="G124" s="103"/>
      <c r="H124" s="103"/>
      <c r="I124" s="42" t="str">
        <f>IF(OR(ISBLANK(Exceptions[[#This Row],[Start]]),ISBLANK(Exceptions[[#This Row],[End]])),"",(Exceptions[[#This Row],[End]]-Exceptions[[#This Row],[Start]])*1440)</f>
        <v/>
      </c>
      <c r="J124" s="42" t="str">
        <f>IF(ISBLANK(Exceptions[[#This Row],[Date]]),"",IF(Exceptions[[#This Row],[Activity]]="Instruction",Exceptions[[#This Row],[Elapsed]],0))</f>
        <v/>
      </c>
      <c r="K124" s="42" t="str">
        <f>IF(ISBLANK(Exceptions[[#This Row],[Activity]]),"",IF(_xlfn.XLOOKUP(Exceptions[[#This Row],[Activity]],Types_of_Activity[Type of Activity],Types_of_Activity[Classification])=2,Exceptions[[#This Row],[Elapsed]],0))</f>
        <v/>
      </c>
    </row>
    <row r="125" spans="2:11" x14ac:dyDescent="0.3">
      <c r="B125" t="str">
        <f>TEXT(Exceptions[[#This Row],[Date]],"MMMM")</f>
        <v>January</v>
      </c>
      <c r="C125" s="146"/>
      <c r="D125" s="136"/>
      <c r="E125" s="136"/>
      <c r="F125" s="103"/>
      <c r="G125" s="103"/>
      <c r="H125" s="103"/>
      <c r="I125" s="42" t="str">
        <f>IF(OR(ISBLANK(Exceptions[[#This Row],[Start]]),ISBLANK(Exceptions[[#This Row],[End]])),"",(Exceptions[[#This Row],[End]]-Exceptions[[#This Row],[Start]])*1440)</f>
        <v/>
      </c>
      <c r="J125" s="42" t="str">
        <f>IF(ISBLANK(Exceptions[[#This Row],[Date]]),"",IF(Exceptions[[#This Row],[Activity]]="Instruction",Exceptions[[#This Row],[Elapsed]],0))</f>
        <v/>
      </c>
      <c r="K125" s="42" t="str">
        <f>IF(ISBLANK(Exceptions[[#This Row],[Activity]]),"",IF(_xlfn.XLOOKUP(Exceptions[[#This Row],[Activity]],Types_of_Activity[Type of Activity],Types_of_Activity[Classification])=2,Exceptions[[#This Row],[Elapsed]],0))</f>
        <v/>
      </c>
    </row>
    <row r="126" spans="2:11" x14ac:dyDescent="0.3">
      <c r="B126" t="str">
        <f>TEXT(Exceptions[[#This Row],[Date]],"MMMM")</f>
        <v>January</v>
      </c>
      <c r="C126" s="146"/>
      <c r="D126" s="136"/>
      <c r="E126" s="136"/>
      <c r="F126" s="103"/>
      <c r="G126" s="103"/>
      <c r="H126" s="103"/>
      <c r="I126" s="42" t="str">
        <f>IF(OR(ISBLANK(Exceptions[[#This Row],[Start]]),ISBLANK(Exceptions[[#This Row],[End]])),"",(Exceptions[[#This Row],[End]]-Exceptions[[#This Row],[Start]])*1440)</f>
        <v/>
      </c>
      <c r="J126" s="42" t="str">
        <f>IF(ISBLANK(Exceptions[[#This Row],[Date]]),"",IF(Exceptions[[#This Row],[Activity]]="Instruction",Exceptions[[#This Row],[Elapsed]],0))</f>
        <v/>
      </c>
      <c r="K126" s="42" t="str">
        <f>IF(ISBLANK(Exceptions[[#This Row],[Activity]]),"",IF(_xlfn.XLOOKUP(Exceptions[[#This Row],[Activity]],Types_of_Activity[Type of Activity],Types_of_Activity[Classification])=2,Exceptions[[#This Row],[Elapsed]],0))</f>
        <v/>
      </c>
    </row>
    <row r="127" spans="2:11" x14ac:dyDescent="0.3">
      <c r="B127" t="str">
        <f>TEXT(Exceptions[[#This Row],[Date]],"MMMM")</f>
        <v>January</v>
      </c>
      <c r="C127" s="146"/>
      <c r="D127" s="136"/>
      <c r="E127" s="136"/>
      <c r="F127" s="103"/>
      <c r="G127" s="103"/>
      <c r="H127" s="103"/>
      <c r="I127" s="42" t="str">
        <f>IF(OR(ISBLANK(Exceptions[[#This Row],[Start]]),ISBLANK(Exceptions[[#This Row],[End]])),"",(Exceptions[[#This Row],[End]]-Exceptions[[#This Row],[Start]])*1440)</f>
        <v/>
      </c>
      <c r="J127" s="42" t="str">
        <f>IF(ISBLANK(Exceptions[[#This Row],[Date]]),"",IF(Exceptions[[#This Row],[Activity]]="Instruction",Exceptions[[#This Row],[Elapsed]],0))</f>
        <v/>
      </c>
      <c r="K127" s="42" t="str">
        <f>IF(ISBLANK(Exceptions[[#This Row],[Activity]]),"",IF(_xlfn.XLOOKUP(Exceptions[[#This Row],[Activity]],Types_of_Activity[Type of Activity],Types_of_Activity[Classification])=2,Exceptions[[#This Row],[Elapsed]],0))</f>
        <v/>
      </c>
    </row>
    <row r="128" spans="2:11" x14ac:dyDescent="0.3">
      <c r="B128" t="str">
        <f>TEXT(Exceptions[[#This Row],[Date]],"MMMM")</f>
        <v>January</v>
      </c>
      <c r="C128" s="146"/>
      <c r="D128" s="136"/>
      <c r="E128" s="136"/>
      <c r="F128" s="103"/>
      <c r="G128" s="103"/>
      <c r="H128" s="103"/>
      <c r="I128" s="42" t="str">
        <f>IF(OR(ISBLANK(Exceptions[[#This Row],[Start]]),ISBLANK(Exceptions[[#This Row],[End]])),"",(Exceptions[[#This Row],[End]]-Exceptions[[#This Row],[Start]])*1440)</f>
        <v/>
      </c>
      <c r="J128" s="42" t="str">
        <f>IF(ISBLANK(Exceptions[[#This Row],[Date]]),"",IF(Exceptions[[#This Row],[Activity]]="Instruction",Exceptions[[#This Row],[Elapsed]],0))</f>
        <v/>
      </c>
      <c r="K128" s="42" t="str">
        <f>IF(ISBLANK(Exceptions[[#This Row],[Activity]]),"",IF(_xlfn.XLOOKUP(Exceptions[[#This Row],[Activity]],Types_of_Activity[Type of Activity],Types_of_Activity[Classification])=2,Exceptions[[#This Row],[Elapsed]],0))</f>
        <v/>
      </c>
    </row>
    <row r="129" spans="2:11" x14ac:dyDescent="0.3">
      <c r="B129" t="str">
        <f>TEXT(Exceptions[[#This Row],[Date]],"MMMM")</f>
        <v>January</v>
      </c>
      <c r="C129" s="146"/>
      <c r="D129" s="136"/>
      <c r="E129" s="136"/>
      <c r="F129" s="103"/>
      <c r="G129" s="103"/>
      <c r="H129" s="103"/>
      <c r="I129" s="42" t="str">
        <f>IF(OR(ISBLANK(Exceptions[[#This Row],[Start]]),ISBLANK(Exceptions[[#This Row],[End]])),"",(Exceptions[[#This Row],[End]]-Exceptions[[#This Row],[Start]])*1440)</f>
        <v/>
      </c>
      <c r="J129" s="42" t="str">
        <f>IF(ISBLANK(Exceptions[[#This Row],[Date]]),"",IF(Exceptions[[#This Row],[Activity]]="Instruction",Exceptions[[#This Row],[Elapsed]],0))</f>
        <v/>
      </c>
      <c r="K129" s="42" t="str">
        <f>IF(ISBLANK(Exceptions[[#This Row],[Activity]]),"",IF(_xlfn.XLOOKUP(Exceptions[[#This Row],[Activity]],Types_of_Activity[Type of Activity],Types_of_Activity[Classification])=2,Exceptions[[#This Row],[Elapsed]],0))</f>
        <v/>
      </c>
    </row>
    <row r="130" spans="2:11" x14ac:dyDescent="0.3">
      <c r="B130" t="str">
        <f>TEXT(Exceptions[[#This Row],[Date]],"MMMM")</f>
        <v>January</v>
      </c>
      <c r="C130" s="146"/>
      <c r="D130" s="136"/>
      <c r="E130" s="136"/>
      <c r="F130" s="103"/>
      <c r="G130" s="103"/>
      <c r="H130" s="103"/>
      <c r="I130" s="42" t="str">
        <f>IF(OR(ISBLANK(Exceptions[[#This Row],[Start]]),ISBLANK(Exceptions[[#This Row],[End]])),"",(Exceptions[[#This Row],[End]]-Exceptions[[#This Row],[Start]])*1440)</f>
        <v/>
      </c>
      <c r="J130" s="42" t="str">
        <f>IF(ISBLANK(Exceptions[[#This Row],[Date]]),"",IF(Exceptions[[#This Row],[Activity]]="Instruction",Exceptions[[#This Row],[Elapsed]],0))</f>
        <v/>
      </c>
      <c r="K130" s="42" t="str">
        <f>IF(ISBLANK(Exceptions[[#This Row],[Activity]]),"",IF(_xlfn.XLOOKUP(Exceptions[[#This Row],[Activity]],Types_of_Activity[Type of Activity],Types_of_Activity[Classification])=2,Exceptions[[#This Row],[Elapsed]],0))</f>
        <v/>
      </c>
    </row>
    <row r="131" spans="2:11" x14ac:dyDescent="0.3">
      <c r="B131" t="str">
        <f>TEXT(Exceptions[[#This Row],[Date]],"MMMM")</f>
        <v>January</v>
      </c>
      <c r="C131" s="146"/>
      <c r="D131" s="136"/>
      <c r="E131" s="136"/>
      <c r="F131" s="103"/>
      <c r="G131" s="103"/>
      <c r="H131" s="103"/>
      <c r="I131" s="42" t="str">
        <f>IF(OR(ISBLANK(Exceptions[[#This Row],[Start]]),ISBLANK(Exceptions[[#This Row],[End]])),"",(Exceptions[[#This Row],[End]]-Exceptions[[#This Row],[Start]])*1440)</f>
        <v/>
      </c>
      <c r="J131" s="42" t="str">
        <f>IF(ISBLANK(Exceptions[[#This Row],[Date]]),"",IF(Exceptions[[#This Row],[Activity]]="Instruction",Exceptions[[#This Row],[Elapsed]],0))</f>
        <v/>
      </c>
      <c r="K131" s="42" t="str">
        <f>IF(ISBLANK(Exceptions[[#This Row],[Activity]]),"",IF(_xlfn.XLOOKUP(Exceptions[[#This Row],[Activity]],Types_of_Activity[Type of Activity],Types_of_Activity[Classification])=2,Exceptions[[#This Row],[Elapsed]],0))</f>
        <v/>
      </c>
    </row>
    <row r="132" spans="2:11" x14ac:dyDescent="0.3">
      <c r="B132" t="str">
        <f>TEXT(Exceptions[[#This Row],[Date]],"MMMM")</f>
        <v>January</v>
      </c>
      <c r="C132" s="146"/>
      <c r="D132" s="136"/>
      <c r="E132" s="136"/>
      <c r="F132" s="103"/>
      <c r="G132" s="103"/>
      <c r="H132" s="103"/>
      <c r="I132" s="42" t="str">
        <f>IF(OR(ISBLANK(Exceptions[[#This Row],[Start]]),ISBLANK(Exceptions[[#This Row],[End]])),"",(Exceptions[[#This Row],[End]]-Exceptions[[#This Row],[Start]])*1440)</f>
        <v/>
      </c>
      <c r="J132" s="42" t="str">
        <f>IF(ISBLANK(Exceptions[[#This Row],[Date]]),"",IF(Exceptions[[#This Row],[Activity]]="Instruction",Exceptions[[#This Row],[Elapsed]],0))</f>
        <v/>
      </c>
      <c r="K132" s="42" t="str">
        <f>IF(ISBLANK(Exceptions[[#This Row],[Activity]]),"",IF(_xlfn.XLOOKUP(Exceptions[[#This Row],[Activity]],Types_of_Activity[Type of Activity],Types_of_Activity[Classification])=2,Exceptions[[#This Row],[Elapsed]],0))</f>
        <v/>
      </c>
    </row>
    <row r="133" spans="2:11" x14ac:dyDescent="0.3">
      <c r="B133" t="str">
        <f>TEXT(Exceptions[[#This Row],[Date]],"MMMM")</f>
        <v>January</v>
      </c>
      <c r="C133" s="146"/>
      <c r="D133" s="136"/>
      <c r="E133" s="136"/>
      <c r="F133" s="103"/>
      <c r="G133" s="103"/>
      <c r="H133" s="103"/>
      <c r="I133" s="42" t="str">
        <f>IF(OR(ISBLANK(Exceptions[[#This Row],[Start]]),ISBLANK(Exceptions[[#This Row],[End]])),"",(Exceptions[[#This Row],[End]]-Exceptions[[#This Row],[Start]])*1440)</f>
        <v/>
      </c>
      <c r="J133" s="42" t="str">
        <f>IF(ISBLANK(Exceptions[[#This Row],[Date]]),"",IF(Exceptions[[#This Row],[Activity]]="Instruction",Exceptions[[#This Row],[Elapsed]],0))</f>
        <v/>
      </c>
      <c r="K133" s="42" t="str">
        <f>IF(ISBLANK(Exceptions[[#This Row],[Activity]]),"",IF(_xlfn.XLOOKUP(Exceptions[[#This Row],[Activity]],Types_of_Activity[Type of Activity],Types_of_Activity[Classification])=2,Exceptions[[#This Row],[Elapsed]],0))</f>
        <v/>
      </c>
    </row>
    <row r="134" spans="2:11" x14ac:dyDescent="0.3">
      <c r="B134" t="str">
        <f>TEXT(Exceptions[[#This Row],[Date]],"MMMM")</f>
        <v>January</v>
      </c>
      <c r="C134" s="146"/>
      <c r="D134" s="136"/>
      <c r="E134" s="136"/>
      <c r="F134" s="103"/>
      <c r="G134" s="103"/>
      <c r="H134" s="103"/>
      <c r="I134" s="42" t="str">
        <f>IF(OR(ISBLANK(Exceptions[[#This Row],[Start]]),ISBLANK(Exceptions[[#This Row],[End]])),"",(Exceptions[[#This Row],[End]]-Exceptions[[#This Row],[Start]])*1440)</f>
        <v/>
      </c>
      <c r="J134" s="42" t="str">
        <f>IF(ISBLANK(Exceptions[[#This Row],[Date]]),"",IF(Exceptions[[#This Row],[Activity]]="Instruction",Exceptions[[#This Row],[Elapsed]],0))</f>
        <v/>
      </c>
      <c r="K134" s="42" t="str">
        <f>IF(ISBLANK(Exceptions[[#This Row],[Activity]]),"",IF(_xlfn.XLOOKUP(Exceptions[[#This Row],[Activity]],Types_of_Activity[Type of Activity],Types_of_Activity[Classification])=2,Exceptions[[#This Row],[Elapsed]],0))</f>
        <v/>
      </c>
    </row>
    <row r="135" spans="2:11" x14ac:dyDescent="0.3">
      <c r="B135" t="str">
        <f>TEXT(Exceptions[[#This Row],[Date]],"MMMM")</f>
        <v>January</v>
      </c>
      <c r="C135" s="146"/>
      <c r="D135" s="136"/>
      <c r="E135" s="136"/>
      <c r="F135" s="103"/>
      <c r="G135" s="103"/>
      <c r="H135" s="103"/>
      <c r="I135" s="42" t="str">
        <f>IF(OR(ISBLANK(Exceptions[[#This Row],[Start]]),ISBLANK(Exceptions[[#This Row],[End]])),"",(Exceptions[[#This Row],[End]]-Exceptions[[#This Row],[Start]])*1440)</f>
        <v/>
      </c>
      <c r="J135" s="42" t="str">
        <f>IF(ISBLANK(Exceptions[[#This Row],[Date]]),"",IF(Exceptions[[#This Row],[Activity]]="Instruction",Exceptions[[#This Row],[Elapsed]],0))</f>
        <v/>
      </c>
      <c r="K135" s="42" t="str">
        <f>IF(ISBLANK(Exceptions[[#This Row],[Activity]]),"",IF(_xlfn.XLOOKUP(Exceptions[[#This Row],[Activity]],Types_of_Activity[Type of Activity],Types_of_Activity[Classification])=2,Exceptions[[#This Row],[Elapsed]],0))</f>
        <v/>
      </c>
    </row>
    <row r="136" spans="2:11" x14ac:dyDescent="0.3">
      <c r="B136" t="str">
        <f>TEXT(Exceptions[[#This Row],[Date]],"MMMM")</f>
        <v>January</v>
      </c>
      <c r="C136" s="146"/>
      <c r="D136" s="136"/>
      <c r="E136" s="136"/>
      <c r="F136" s="103"/>
      <c r="G136" s="103"/>
      <c r="H136" s="103"/>
      <c r="I136" s="42" t="str">
        <f>IF(OR(ISBLANK(Exceptions[[#This Row],[Start]]),ISBLANK(Exceptions[[#This Row],[End]])),"",(Exceptions[[#This Row],[End]]-Exceptions[[#This Row],[Start]])*1440)</f>
        <v/>
      </c>
      <c r="J136" s="42" t="str">
        <f>IF(ISBLANK(Exceptions[[#This Row],[Date]]),"",IF(Exceptions[[#This Row],[Activity]]="Instruction",Exceptions[[#This Row],[Elapsed]],0))</f>
        <v/>
      </c>
      <c r="K136" s="42" t="str">
        <f>IF(ISBLANK(Exceptions[[#This Row],[Activity]]),"",IF(_xlfn.XLOOKUP(Exceptions[[#This Row],[Activity]],Types_of_Activity[Type of Activity],Types_of_Activity[Classification])=2,Exceptions[[#This Row],[Elapsed]],0))</f>
        <v/>
      </c>
    </row>
    <row r="137" spans="2:11" x14ac:dyDescent="0.3">
      <c r="B137" t="str">
        <f>TEXT(Exceptions[[#This Row],[Date]],"MMMM")</f>
        <v>January</v>
      </c>
      <c r="C137" s="146"/>
      <c r="D137" s="136"/>
      <c r="E137" s="136"/>
      <c r="F137" s="103"/>
      <c r="G137" s="103"/>
      <c r="H137" s="103"/>
      <c r="I137" s="42" t="str">
        <f>IF(OR(ISBLANK(Exceptions[[#This Row],[Start]]),ISBLANK(Exceptions[[#This Row],[End]])),"",(Exceptions[[#This Row],[End]]-Exceptions[[#This Row],[Start]])*1440)</f>
        <v/>
      </c>
      <c r="J137" s="42" t="str">
        <f>IF(ISBLANK(Exceptions[[#This Row],[Date]]),"",IF(Exceptions[[#This Row],[Activity]]="Instruction",Exceptions[[#This Row],[Elapsed]],0))</f>
        <v/>
      </c>
      <c r="K137" s="42" t="str">
        <f>IF(ISBLANK(Exceptions[[#This Row],[Activity]]),"",IF(_xlfn.XLOOKUP(Exceptions[[#This Row],[Activity]],Types_of_Activity[Type of Activity],Types_of_Activity[Classification])=2,Exceptions[[#This Row],[Elapsed]],0))</f>
        <v/>
      </c>
    </row>
    <row r="138" spans="2:11" x14ac:dyDescent="0.3">
      <c r="B138" t="str">
        <f>TEXT(Exceptions[[#This Row],[Date]],"MMMM")</f>
        <v>January</v>
      </c>
      <c r="C138" s="146"/>
      <c r="D138" s="136"/>
      <c r="E138" s="136"/>
      <c r="F138" s="103"/>
      <c r="G138" s="103"/>
      <c r="H138" s="103"/>
      <c r="I138" s="42" t="str">
        <f>IF(OR(ISBLANK(Exceptions[[#This Row],[Start]]),ISBLANK(Exceptions[[#This Row],[End]])),"",(Exceptions[[#This Row],[End]]-Exceptions[[#This Row],[Start]])*1440)</f>
        <v/>
      </c>
      <c r="J138" s="42" t="str">
        <f>IF(ISBLANK(Exceptions[[#This Row],[Date]]),"",IF(Exceptions[[#This Row],[Activity]]="Instruction",Exceptions[[#This Row],[Elapsed]],0))</f>
        <v/>
      </c>
      <c r="K138" s="42" t="str">
        <f>IF(ISBLANK(Exceptions[[#This Row],[Activity]]),"",IF(_xlfn.XLOOKUP(Exceptions[[#This Row],[Activity]],Types_of_Activity[Type of Activity],Types_of_Activity[Classification])=2,Exceptions[[#This Row],[Elapsed]],0))</f>
        <v/>
      </c>
    </row>
    <row r="139" spans="2:11" x14ac:dyDescent="0.3">
      <c r="B139" t="str">
        <f>TEXT(Exceptions[[#This Row],[Date]],"MMMM")</f>
        <v>January</v>
      </c>
      <c r="C139" s="146"/>
      <c r="D139" s="136"/>
      <c r="E139" s="136"/>
      <c r="F139" s="103"/>
      <c r="G139" s="103"/>
      <c r="H139" s="103"/>
      <c r="I139" s="42" t="str">
        <f>IF(OR(ISBLANK(Exceptions[[#This Row],[Start]]),ISBLANK(Exceptions[[#This Row],[End]])),"",(Exceptions[[#This Row],[End]]-Exceptions[[#This Row],[Start]])*1440)</f>
        <v/>
      </c>
      <c r="J139" s="42" t="str">
        <f>IF(ISBLANK(Exceptions[[#This Row],[Date]]),"",IF(Exceptions[[#This Row],[Activity]]="Instruction",Exceptions[[#This Row],[Elapsed]],0))</f>
        <v/>
      </c>
      <c r="K139" s="42" t="str">
        <f>IF(ISBLANK(Exceptions[[#This Row],[Activity]]),"",IF(_xlfn.XLOOKUP(Exceptions[[#This Row],[Activity]],Types_of_Activity[Type of Activity],Types_of_Activity[Classification])=2,Exceptions[[#This Row],[Elapsed]],0))</f>
        <v/>
      </c>
    </row>
    <row r="140" spans="2:11" x14ac:dyDescent="0.3">
      <c r="B140" t="str">
        <f>TEXT(Exceptions[[#This Row],[Date]],"MMMM")</f>
        <v>January</v>
      </c>
      <c r="C140" s="146"/>
      <c r="D140" s="136"/>
      <c r="E140" s="136"/>
      <c r="F140" s="103"/>
      <c r="G140" s="103"/>
      <c r="H140" s="103"/>
      <c r="I140" s="42" t="str">
        <f>IF(OR(ISBLANK(Exceptions[[#This Row],[Start]]),ISBLANK(Exceptions[[#This Row],[End]])),"",(Exceptions[[#This Row],[End]]-Exceptions[[#This Row],[Start]])*1440)</f>
        <v/>
      </c>
      <c r="J140" s="42" t="str">
        <f>IF(ISBLANK(Exceptions[[#This Row],[Date]]),"",IF(Exceptions[[#This Row],[Activity]]="Instruction",Exceptions[[#This Row],[Elapsed]],0))</f>
        <v/>
      </c>
      <c r="K140" s="42" t="str">
        <f>IF(ISBLANK(Exceptions[[#This Row],[Activity]]),"",IF(_xlfn.XLOOKUP(Exceptions[[#This Row],[Activity]],Types_of_Activity[Type of Activity],Types_of_Activity[Classification])=2,Exceptions[[#This Row],[Elapsed]],0))</f>
        <v/>
      </c>
    </row>
    <row r="141" spans="2:11" x14ac:dyDescent="0.3">
      <c r="B141" t="str">
        <f>TEXT(Exceptions[[#This Row],[Date]],"MMMM")</f>
        <v>January</v>
      </c>
      <c r="C141" s="146"/>
      <c r="D141" s="136"/>
      <c r="E141" s="136"/>
      <c r="F141" s="103"/>
      <c r="G141" s="103"/>
      <c r="H141" s="103"/>
      <c r="I141" s="42" t="str">
        <f>IF(OR(ISBLANK(Exceptions[[#This Row],[Start]]),ISBLANK(Exceptions[[#This Row],[End]])),"",(Exceptions[[#This Row],[End]]-Exceptions[[#This Row],[Start]])*1440)</f>
        <v/>
      </c>
      <c r="J141" s="42" t="str">
        <f>IF(ISBLANK(Exceptions[[#This Row],[Date]]),"",IF(Exceptions[[#This Row],[Activity]]="Instruction",Exceptions[[#This Row],[Elapsed]],0))</f>
        <v/>
      </c>
      <c r="K141" s="42" t="str">
        <f>IF(ISBLANK(Exceptions[[#This Row],[Activity]]),"",IF(_xlfn.XLOOKUP(Exceptions[[#This Row],[Activity]],Types_of_Activity[Type of Activity],Types_of_Activity[Classification])=2,Exceptions[[#This Row],[Elapsed]],0))</f>
        <v/>
      </c>
    </row>
    <row r="142" spans="2:11" x14ac:dyDescent="0.3">
      <c r="B142" t="str">
        <f>TEXT(Exceptions[[#This Row],[Date]],"MMMM")</f>
        <v>January</v>
      </c>
      <c r="C142" s="146"/>
      <c r="D142" s="136"/>
      <c r="E142" s="136"/>
      <c r="F142" s="103"/>
      <c r="G142" s="103"/>
      <c r="H142" s="103"/>
      <c r="I142" s="42" t="str">
        <f>IF(OR(ISBLANK(Exceptions[[#This Row],[Start]]),ISBLANK(Exceptions[[#This Row],[End]])),"",(Exceptions[[#This Row],[End]]-Exceptions[[#This Row],[Start]])*1440)</f>
        <v/>
      </c>
      <c r="J142" s="42" t="str">
        <f>IF(ISBLANK(Exceptions[[#This Row],[Date]]),"",IF(Exceptions[[#This Row],[Activity]]="Instruction",Exceptions[[#This Row],[Elapsed]],0))</f>
        <v/>
      </c>
      <c r="K142" s="42" t="str">
        <f>IF(ISBLANK(Exceptions[[#This Row],[Activity]]),"",IF(_xlfn.XLOOKUP(Exceptions[[#This Row],[Activity]],Types_of_Activity[Type of Activity],Types_of_Activity[Classification])=2,Exceptions[[#This Row],[Elapsed]],0))</f>
        <v/>
      </c>
    </row>
    <row r="143" spans="2:11" x14ac:dyDescent="0.3">
      <c r="B143" t="str">
        <f>TEXT(Exceptions[[#This Row],[Date]],"MMMM")</f>
        <v>January</v>
      </c>
      <c r="C143" s="146"/>
      <c r="D143" s="136"/>
      <c r="E143" s="136"/>
      <c r="F143" s="103"/>
      <c r="G143" s="103"/>
      <c r="H143" s="103"/>
      <c r="I143" s="42" t="str">
        <f>IF(OR(ISBLANK(Exceptions[[#This Row],[Start]]),ISBLANK(Exceptions[[#This Row],[End]])),"",(Exceptions[[#This Row],[End]]-Exceptions[[#This Row],[Start]])*1440)</f>
        <v/>
      </c>
      <c r="J143" s="42" t="str">
        <f>IF(ISBLANK(Exceptions[[#This Row],[Date]]),"",IF(Exceptions[[#This Row],[Activity]]="Instruction",Exceptions[[#This Row],[Elapsed]],0))</f>
        <v/>
      </c>
      <c r="K143" s="42" t="str">
        <f>IF(ISBLANK(Exceptions[[#This Row],[Activity]]),"",IF(_xlfn.XLOOKUP(Exceptions[[#This Row],[Activity]],Types_of_Activity[Type of Activity],Types_of_Activity[Classification])=2,Exceptions[[#This Row],[Elapsed]],0))</f>
        <v/>
      </c>
    </row>
    <row r="144" spans="2:11" x14ac:dyDescent="0.3">
      <c r="B144" t="str">
        <f>TEXT(Exceptions[[#This Row],[Date]],"MMMM")</f>
        <v>January</v>
      </c>
      <c r="C144" s="146"/>
      <c r="D144" s="136"/>
      <c r="E144" s="136"/>
      <c r="F144" s="103"/>
      <c r="G144" s="103"/>
      <c r="H144" s="103"/>
      <c r="I144" s="42" t="str">
        <f>IF(OR(ISBLANK(Exceptions[[#This Row],[Start]]),ISBLANK(Exceptions[[#This Row],[End]])),"",(Exceptions[[#This Row],[End]]-Exceptions[[#This Row],[Start]])*1440)</f>
        <v/>
      </c>
      <c r="J144" s="42" t="str">
        <f>IF(ISBLANK(Exceptions[[#This Row],[Date]]),"",IF(Exceptions[[#This Row],[Activity]]="Instruction",Exceptions[[#This Row],[Elapsed]],0))</f>
        <v/>
      </c>
      <c r="K144" s="42" t="str">
        <f>IF(ISBLANK(Exceptions[[#This Row],[Activity]]),"",IF(_xlfn.XLOOKUP(Exceptions[[#This Row],[Activity]],Types_of_Activity[Type of Activity],Types_of_Activity[Classification])=2,Exceptions[[#This Row],[Elapsed]],0))</f>
        <v/>
      </c>
    </row>
    <row r="145" spans="2:11" x14ac:dyDescent="0.3">
      <c r="B145" t="str">
        <f>TEXT(Exceptions[[#This Row],[Date]],"MMMM")</f>
        <v>January</v>
      </c>
      <c r="C145" s="146"/>
      <c r="D145" s="136"/>
      <c r="E145" s="136"/>
      <c r="F145" s="103"/>
      <c r="G145" s="103"/>
      <c r="H145" s="103"/>
      <c r="I145" s="42" t="str">
        <f>IF(OR(ISBLANK(Exceptions[[#This Row],[Start]]),ISBLANK(Exceptions[[#This Row],[End]])),"",(Exceptions[[#This Row],[End]]-Exceptions[[#This Row],[Start]])*1440)</f>
        <v/>
      </c>
      <c r="J145" s="42" t="str">
        <f>IF(ISBLANK(Exceptions[[#This Row],[Date]]),"",IF(Exceptions[[#This Row],[Activity]]="Instruction",Exceptions[[#This Row],[Elapsed]],0))</f>
        <v/>
      </c>
      <c r="K145" s="42" t="str">
        <f>IF(ISBLANK(Exceptions[[#This Row],[Activity]]),"",IF(_xlfn.XLOOKUP(Exceptions[[#This Row],[Activity]],Types_of_Activity[Type of Activity],Types_of_Activity[Classification])=2,Exceptions[[#This Row],[Elapsed]],0))</f>
        <v/>
      </c>
    </row>
    <row r="146" spans="2:11" x14ac:dyDescent="0.3">
      <c r="B146" t="str">
        <f>TEXT(Exceptions[[#This Row],[Date]],"MMMM")</f>
        <v>January</v>
      </c>
      <c r="C146" s="146"/>
      <c r="D146" s="136"/>
      <c r="E146" s="136"/>
      <c r="F146" s="103"/>
      <c r="G146" s="103"/>
      <c r="H146" s="103"/>
      <c r="I146" s="42" t="str">
        <f>IF(OR(ISBLANK(Exceptions[[#This Row],[Start]]),ISBLANK(Exceptions[[#This Row],[End]])),"",(Exceptions[[#This Row],[End]]-Exceptions[[#This Row],[Start]])*1440)</f>
        <v/>
      </c>
      <c r="J146" s="42" t="str">
        <f>IF(ISBLANK(Exceptions[[#This Row],[Date]]),"",IF(Exceptions[[#This Row],[Activity]]="Instruction",Exceptions[[#This Row],[Elapsed]],0))</f>
        <v/>
      </c>
      <c r="K146" s="42" t="str">
        <f>IF(ISBLANK(Exceptions[[#This Row],[Activity]]),"",IF(_xlfn.XLOOKUP(Exceptions[[#This Row],[Activity]],Types_of_Activity[Type of Activity],Types_of_Activity[Classification])=2,Exceptions[[#This Row],[Elapsed]],0))</f>
        <v/>
      </c>
    </row>
    <row r="147" spans="2:11" x14ac:dyDescent="0.3">
      <c r="B147" t="str">
        <f>TEXT(Exceptions[[#This Row],[Date]],"MMMM")</f>
        <v>January</v>
      </c>
      <c r="C147" s="146"/>
      <c r="D147" s="136"/>
      <c r="E147" s="136"/>
      <c r="F147" s="103"/>
      <c r="G147" s="103"/>
      <c r="H147" s="103"/>
      <c r="I147" s="42" t="str">
        <f>IF(OR(ISBLANK(Exceptions[[#This Row],[Start]]),ISBLANK(Exceptions[[#This Row],[End]])),"",(Exceptions[[#This Row],[End]]-Exceptions[[#This Row],[Start]])*1440)</f>
        <v/>
      </c>
      <c r="J147" s="42" t="str">
        <f>IF(ISBLANK(Exceptions[[#This Row],[Date]]),"",IF(Exceptions[[#This Row],[Activity]]="Instruction",Exceptions[[#This Row],[Elapsed]],0))</f>
        <v/>
      </c>
      <c r="K147" s="42" t="str">
        <f>IF(ISBLANK(Exceptions[[#This Row],[Activity]]),"",IF(_xlfn.XLOOKUP(Exceptions[[#This Row],[Activity]],Types_of_Activity[Type of Activity],Types_of_Activity[Classification])=2,Exceptions[[#This Row],[Elapsed]],0))</f>
        <v/>
      </c>
    </row>
    <row r="148" spans="2:11" x14ac:dyDescent="0.3">
      <c r="B148" t="str">
        <f>TEXT(Exceptions[[#This Row],[Date]],"MMMM")</f>
        <v>January</v>
      </c>
      <c r="C148" s="146"/>
      <c r="D148" s="136"/>
      <c r="E148" s="136"/>
      <c r="F148" s="103"/>
      <c r="G148" s="103"/>
      <c r="H148" s="103"/>
      <c r="I148" s="42" t="str">
        <f>IF(OR(ISBLANK(Exceptions[[#This Row],[Start]]),ISBLANK(Exceptions[[#This Row],[End]])),"",(Exceptions[[#This Row],[End]]-Exceptions[[#This Row],[Start]])*1440)</f>
        <v/>
      </c>
      <c r="J148" s="42" t="str">
        <f>IF(ISBLANK(Exceptions[[#This Row],[Date]]),"",IF(Exceptions[[#This Row],[Activity]]="Instruction",Exceptions[[#This Row],[Elapsed]],0))</f>
        <v/>
      </c>
      <c r="K148" s="42" t="str">
        <f>IF(ISBLANK(Exceptions[[#This Row],[Activity]]),"",IF(_xlfn.XLOOKUP(Exceptions[[#This Row],[Activity]],Types_of_Activity[Type of Activity],Types_of_Activity[Classification])=2,Exceptions[[#This Row],[Elapsed]],0))</f>
        <v/>
      </c>
    </row>
    <row r="149" spans="2:11" x14ac:dyDescent="0.3">
      <c r="B149" t="str">
        <f>TEXT(Exceptions[[#This Row],[Date]],"MMMM")</f>
        <v>January</v>
      </c>
      <c r="C149" s="146"/>
      <c r="D149" s="136"/>
      <c r="E149" s="136"/>
      <c r="F149" s="103"/>
      <c r="G149" s="103"/>
      <c r="H149" s="103"/>
      <c r="I149" s="42" t="str">
        <f>IF(OR(ISBLANK(Exceptions[[#This Row],[Start]]),ISBLANK(Exceptions[[#This Row],[End]])),"",(Exceptions[[#This Row],[End]]-Exceptions[[#This Row],[Start]])*1440)</f>
        <v/>
      </c>
      <c r="J149" s="42" t="str">
        <f>IF(ISBLANK(Exceptions[[#This Row],[Date]]),"",IF(Exceptions[[#This Row],[Activity]]="Instruction",Exceptions[[#This Row],[Elapsed]],0))</f>
        <v/>
      </c>
      <c r="K149" s="42" t="str">
        <f>IF(ISBLANK(Exceptions[[#This Row],[Activity]]),"",IF(_xlfn.XLOOKUP(Exceptions[[#This Row],[Activity]],Types_of_Activity[Type of Activity],Types_of_Activity[Classification])=2,Exceptions[[#This Row],[Elapsed]],0))</f>
        <v/>
      </c>
    </row>
    <row r="150" spans="2:11" x14ac:dyDescent="0.3">
      <c r="B150" t="str">
        <f>TEXT(Exceptions[[#This Row],[Date]],"MMMM")</f>
        <v>January</v>
      </c>
      <c r="C150" s="146"/>
      <c r="D150" s="136"/>
      <c r="E150" s="136"/>
      <c r="F150" s="103"/>
      <c r="G150" s="103"/>
      <c r="H150" s="103"/>
      <c r="I150" s="42" t="str">
        <f>IF(OR(ISBLANK(Exceptions[[#This Row],[Start]]),ISBLANK(Exceptions[[#This Row],[End]])),"",(Exceptions[[#This Row],[End]]-Exceptions[[#This Row],[Start]])*1440)</f>
        <v/>
      </c>
      <c r="J150" s="42" t="str">
        <f>IF(ISBLANK(Exceptions[[#This Row],[Date]]),"",IF(Exceptions[[#This Row],[Activity]]="Instruction",Exceptions[[#This Row],[Elapsed]],0))</f>
        <v/>
      </c>
      <c r="K150" s="42" t="str">
        <f>IF(ISBLANK(Exceptions[[#This Row],[Activity]]),"",IF(_xlfn.XLOOKUP(Exceptions[[#This Row],[Activity]],Types_of_Activity[Type of Activity],Types_of_Activity[Classification])=2,Exceptions[[#This Row],[Elapsed]],0))</f>
        <v/>
      </c>
    </row>
    <row r="151" spans="2:11" x14ac:dyDescent="0.3">
      <c r="B151" t="str">
        <f>TEXT(Exceptions[[#This Row],[Date]],"MMMM")</f>
        <v>January</v>
      </c>
      <c r="C151" s="146"/>
      <c r="D151" s="136"/>
      <c r="E151" s="136"/>
      <c r="F151" s="103"/>
      <c r="G151" s="103"/>
      <c r="H151" s="103"/>
      <c r="I151" s="42" t="str">
        <f>IF(OR(ISBLANK(Exceptions[[#This Row],[Start]]),ISBLANK(Exceptions[[#This Row],[End]])),"",(Exceptions[[#This Row],[End]]-Exceptions[[#This Row],[Start]])*1440)</f>
        <v/>
      </c>
      <c r="J151" s="42" t="str">
        <f>IF(ISBLANK(Exceptions[[#This Row],[Date]]),"",IF(Exceptions[[#This Row],[Activity]]="Instruction",Exceptions[[#This Row],[Elapsed]],0))</f>
        <v/>
      </c>
      <c r="K151" s="42" t="str">
        <f>IF(ISBLANK(Exceptions[[#This Row],[Activity]]),"",IF(_xlfn.XLOOKUP(Exceptions[[#This Row],[Activity]],Types_of_Activity[Type of Activity],Types_of_Activity[Classification])=2,Exceptions[[#This Row],[Elapsed]],0))</f>
        <v/>
      </c>
    </row>
    <row r="152" spans="2:11" x14ac:dyDescent="0.3">
      <c r="B152" t="str">
        <f>TEXT(Exceptions[[#This Row],[Date]],"MMMM")</f>
        <v>January</v>
      </c>
      <c r="C152" s="146"/>
      <c r="D152" s="136"/>
      <c r="E152" s="136"/>
      <c r="F152" s="103"/>
      <c r="G152" s="103"/>
      <c r="H152" s="103"/>
      <c r="I152" s="42" t="str">
        <f>IF(OR(ISBLANK(Exceptions[[#This Row],[Start]]),ISBLANK(Exceptions[[#This Row],[End]])),"",(Exceptions[[#This Row],[End]]-Exceptions[[#This Row],[Start]])*1440)</f>
        <v/>
      </c>
      <c r="J152" s="42" t="str">
        <f>IF(ISBLANK(Exceptions[[#This Row],[Date]]),"",IF(Exceptions[[#This Row],[Activity]]="Instruction",Exceptions[[#This Row],[Elapsed]],0))</f>
        <v/>
      </c>
      <c r="K152" s="42" t="str">
        <f>IF(ISBLANK(Exceptions[[#This Row],[Activity]]),"",IF(_xlfn.XLOOKUP(Exceptions[[#This Row],[Activity]],Types_of_Activity[Type of Activity],Types_of_Activity[Classification])=2,Exceptions[[#This Row],[Elapsed]],0))</f>
        <v/>
      </c>
    </row>
    <row r="153" spans="2:11" x14ac:dyDescent="0.3">
      <c r="B153" t="str">
        <f>TEXT(Exceptions[[#This Row],[Date]],"MMMM")</f>
        <v>January</v>
      </c>
      <c r="C153" s="146"/>
      <c r="D153" s="136"/>
      <c r="E153" s="136"/>
      <c r="F153" s="103"/>
      <c r="G153" s="103"/>
      <c r="H153" s="103"/>
      <c r="I153" s="42" t="str">
        <f>IF(OR(ISBLANK(Exceptions[[#This Row],[Start]]),ISBLANK(Exceptions[[#This Row],[End]])),"",(Exceptions[[#This Row],[End]]-Exceptions[[#This Row],[Start]])*1440)</f>
        <v/>
      </c>
      <c r="J153" s="42" t="str">
        <f>IF(ISBLANK(Exceptions[[#This Row],[Date]]),"",IF(Exceptions[[#This Row],[Activity]]="Instruction",Exceptions[[#This Row],[Elapsed]],0))</f>
        <v/>
      </c>
      <c r="K153" s="42" t="str">
        <f>IF(ISBLANK(Exceptions[[#This Row],[Activity]]),"",IF(_xlfn.XLOOKUP(Exceptions[[#This Row],[Activity]],Types_of_Activity[Type of Activity],Types_of_Activity[Classification])=2,Exceptions[[#This Row],[Elapsed]],0))</f>
        <v/>
      </c>
    </row>
    <row r="154" spans="2:11" x14ac:dyDescent="0.3">
      <c r="B154" t="str">
        <f>TEXT(Exceptions[[#This Row],[Date]],"MMMM")</f>
        <v>January</v>
      </c>
      <c r="C154" s="146"/>
      <c r="D154" s="136"/>
      <c r="E154" s="136"/>
      <c r="F154" s="103"/>
      <c r="G154" s="103"/>
      <c r="H154" s="103"/>
      <c r="I154" s="42" t="str">
        <f>IF(OR(ISBLANK(Exceptions[[#This Row],[Start]]),ISBLANK(Exceptions[[#This Row],[End]])),"",(Exceptions[[#This Row],[End]]-Exceptions[[#This Row],[Start]])*1440)</f>
        <v/>
      </c>
      <c r="J154" s="42" t="str">
        <f>IF(ISBLANK(Exceptions[[#This Row],[Date]]),"",IF(Exceptions[[#This Row],[Activity]]="Instruction",Exceptions[[#This Row],[Elapsed]],0))</f>
        <v/>
      </c>
      <c r="K154" s="42" t="str">
        <f>IF(ISBLANK(Exceptions[[#This Row],[Activity]]),"",IF(_xlfn.XLOOKUP(Exceptions[[#This Row],[Activity]],Types_of_Activity[Type of Activity],Types_of_Activity[Classification])=2,Exceptions[[#This Row],[Elapsed]],0))</f>
        <v/>
      </c>
    </row>
    <row r="155" spans="2:11" x14ac:dyDescent="0.3">
      <c r="B155" t="str">
        <f>TEXT(Exceptions[[#This Row],[Date]],"MMMM")</f>
        <v>January</v>
      </c>
      <c r="C155" s="146"/>
      <c r="D155" s="136"/>
      <c r="E155" s="136"/>
      <c r="F155" s="103"/>
      <c r="G155" s="103"/>
      <c r="H155" s="103"/>
      <c r="I155" s="42" t="str">
        <f>IF(OR(ISBLANK(Exceptions[[#This Row],[Start]]),ISBLANK(Exceptions[[#This Row],[End]])),"",(Exceptions[[#This Row],[End]]-Exceptions[[#This Row],[Start]])*1440)</f>
        <v/>
      </c>
      <c r="J155" s="42" t="str">
        <f>IF(ISBLANK(Exceptions[[#This Row],[Date]]),"",IF(Exceptions[[#This Row],[Activity]]="Instruction",Exceptions[[#This Row],[Elapsed]],0))</f>
        <v/>
      </c>
      <c r="K155" s="42" t="str">
        <f>IF(ISBLANK(Exceptions[[#This Row],[Activity]]),"",IF(_xlfn.XLOOKUP(Exceptions[[#This Row],[Activity]],Types_of_Activity[Type of Activity],Types_of_Activity[Classification])=2,Exceptions[[#This Row],[Elapsed]],0))</f>
        <v/>
      </c>
    </row>
    <row r="156" spans="2:11" x14ac:dyDescent="0.3">
      <c r="B156" t="str">
        <f>TEXT(Exceptions[[#This Row],[Date]],"MMMM")</f>
        <v>January</v>
      </c>
      <c r="C156" s="146"/>
      <c r="D156" s="136"/>
      <c r="E156" s="136"/>
      <c r="F156" s="103"/>
      <c r="G156" s="103"/>
      <c r="H156" s="103"/>
      <c r="I156" s="42" t="str">
        <f>IF(OR(ISBLANK(Exceptions[[#This Row],[Start]]),ISBLANK(Exceptions[[#This Row],[End]])),"",(Exceptions[[#This Row],[End]]-Exceptions[[#This Row],[Start]])*1440)</f>
        <v/>
      </c>
      <c r="J156" s="42" t="str">
        <f>IF(ISBLANK(Exceptions[[#This Row],[Date]]),"",IF(Exceptions[[#This Row],[Activity]]="Instruction",Exceptions[[#This Row],[Elapsed]],0))</f>
        <v/>
      </c>
      <c r="K156" s="42" t="str">
        <f>IF(ISBLANK(Exceptions[[#This Row],[Activity]]),"",IF(_xlfn.XLOOKUP(Exceptions[[#This Row],[Activity]],Types_of_Activity[Type of Activity],Types_of_Activity[Classification])=2,Exceptions[[#This Row],[Elapsed]],0))</f>
        <v/>
      </c>
    </row>
    <row r="157" spans="2:11" x14ac:dyDescent="0.3">
      <c r="B157" t="str">
        <f>TEXT(Exceptions[[#This Row],[Date]],"MMMM")</f>
        <v>January</v>
      </c>
      <c r="C157" s="146"/>
      <c r="D157" s="136"/>
      <c r="E157" s="136"/>
      <c r="F157" s="103"/>
      <c r="G157" s="103"/>
      <c r="H157" s="103"/>
      <c r="I157" s="42" t="str">
        <f>IF(OR(ISBLANK(Exceptions[[#This Row],[Start]]),ISBLANK(Exceptions[[#This Row],[End]])),"",(Exceptions[[#This Row],[End]]-Exceptions[[#This Row],[Start]])*1440)</f>
        <v/>
      </c>
      <c r="J157" s="42" t="str">
        <f>IF(ISBLANK(Exceptions[[#This Row],[Date]]),"",IF(Exceptions[[#This Row],[Activity]]="Instruction",Exceptions[[#This Row],[Elapsed]],0))</f>
        <v/>
      </c>
      <c r="K157" s="42" t="str">
        <f>IF(ISBLANK(Exceptions[[#This Row],[Activity]]),"",IF(_xlfn.XLOOKUP(Exceptions[[#This Row],[Activity]],Types_of_Activity[Type of Activity],Types_of_Activity[Classification])=2,Exceptions[[#This Row],[Elapsed]],0))</f>
        <v/>
      </c>
    </row>
    <row r="158" spans="2:11" x14ac:dyDescent="0.3">
      <c r="B158" t="str">
        <f>TEXT(Exceptions[[#This Row],[Date]],"MMMM")</f>
        <v>January</v>
      </c>
      <c r="C158" s="146"/>
      <c r="D158" s="136"/>
      <c r="E158" s="136"/>
      <c r="F158" s="103"/>
      <c r="G158" s="103"/>
      <c r="H158" s="103"/>
      <c r="I158" s="42" t="str">
        <f>IF(OR(ISBLANK(Exceptions[[#This Row],[Start]]),ISBLANK(Exceptions[[#This Row],[End]])),"",(Exceptions[[#This Row],[End]]-Exceptions[[#This Row],[Start]])*1440)</f>
        <v/>
      </c>
      <c r="J158" s="42" t="str">
        <f>IF(ISBLANK(Exceptions[[#This Row],[Date]]),"",IF(Exceptions[[#This Row],[Activity]]="Instruction",Exceptions[[#This Row],[Elapsed]],0))</f>
        <v/>
      </c>
      <c r="K158" s="42" t="str">
        <f>IF(ISBLANK(Exceptions[[#This Row],[Activity]]),"",IF(_xlfn.XLOOKUP(Exceptions[[#This Row],[Activity]],Types_of_Activity[Type of Activity],Types_of_Activity[Classification])=2,Exceptions[[#This Row],[Elapsed]],0))</f>
        <v/>
      </c>
    </row>
    <row r="159" spans="2:11" x14ac:dyDescent="0.3">
      <c r="B159" t="str">
        <f>TEXT(Exceptions[[#This Row],[Date]],"MMMM")</f>
        <v>January</v>
      </c>
      <c r="C159" s="146"/>
      <c r="D159" s="136"/>
      <c r="E159" s="136"/>
      <c r="F159" s="103"/>
      <c r="G159" s="103"/>
      <c r="H159" s="103"/>
      <c r="I159" s="42" t="str">
        <f>IF(OR(ISBLANK(Exceptions[[#This Row],[Start]]),ISBLANK(Exceptions[[#This Row],[End]])),"",(Exceptions[[#This Row],[End]]-Exceptions[[#This Row],[Start]])*1440)</f>
        <v/>
      </c>
      <c r="J159" s="42" t="str">
        <f>IF(ISBLANK(Exceptions[[#This Row],[Date]]),"",IF(Exceptions[[#This Row],[Activity]]="Instruction",Exceptions[[#This Row],[Elapsed]],0))</f>
        <v/>
      </c>
      <c r="K159" s="42" t="str">
        <f>IF(ISBLANK(Exceptions[[#This Row],[Activity]]),"",IF(_xlfn.XLOOKUP(Exceptions[[#This Row],[Activity]],Types_of_Activity[Type of Activity],Types_of_Activity[Classification])=2,Exceptions[[#This Row],[Elapsed]],0))</f>
        <v/>
      </c>
    </row>
    <row r="160" spans="2:11" x14ac:dyDescent="0.3">
      <c r="B160" t="str">
        <f>TEXT(Exceptions[[#This Row],[Date]],"MMMM")</f>
        <v>January</v>
      </c>
      <c r="C160" s="146"/>
      <c r="D160" s="136"/>
      <c r="E160" s="136"/>
      <c r="F160" s="103"/>
      <c r="G160" s="103"/>
      <c r="H160" s="103"/>
      <c r="I160" s="42" t="str">
        <f>IF(OR(ISBLANK(Exceptions[[#This Row],[Start]]),ISBLANK(Exceptions[[#This Row],[End]])),"",(Exceptions[[#This Row],[End]]-Exceptions[[#This Row],[Start]])*1440)</f>
        <v/>
      </c>
      <c r="J160" s="42" t="str">
        <f>IF(ISBLANK(Exceptions[[#This Row],[Date]]),"",IF(Exceptions[[#This Row],[Activity]]="Instruction",Exceptions[[#This Row],[Elapsed]],0))</f>
        <v/>
      </c>
      <c r="K160" s="42" t="str">
        <f>IF(ISBLANK(Exceptions[[#This Row],[Activity]]),"",IF(_xlfn.XLOOKUP(Exceptions[[#This Row],[Activity]],Types_of_Activity[Type of Activity],Types_of_Activity[Classification])=2,Exceptions[[#This Row],[Elapsed]],0))</f>
        <v/>
      </c>
    </row>
    <row r="161" spans="2:11" x14ac:dyDescent="0.3">
      <c r="B161" t="str">
        <f>TEXT(Exceptions[[#This Row],[Date]],"MMMM")</f>
        <v>January</v>
      </c>
      <c r="C161" s="146"/>
      <c r="D161" s="136"/>
      <c r="E161" s="136"/>
      <c r="F161" s="103"/>
      <c r="G161" s="103"/>
      <c r="H161" s="103"/>
      <c r="I161" s="42" t="str">
        <f>IF(OR(ISBLANK(Exceptions[[#This Row],[Start]]),ISBLANK(Exceptions[[#This Row],[End]])),"",(Exceptions[[#This Row],[End]]-Exceptions[[#This Row],[Start]])*1440)</f>
        <v/>
      </c>
      <c r="J161" s="42" t="str">
        <f>IF(ISBLANK(Exceptions[[#This Row],[Date]]),"",IF(Exceptions[[#This Row],[Activity]]="Instruction",Exceptions[[#This Row],[Elapsed]],0))</f>
        <v/>
      </c>
      <c r="K161" s="42" t="str">
        <f>IF(ISBLANK(Exceptions[[#This Row],[Activity]]),"",IF(_xlfn.XLOOKUP(Exceptions[[#This Row],[Activity]],Types_of_Activity[Type of Activity],Types_of_Activity[Classification])=2,Exceptions[[#This Row],[Elapsed]],0))</f>
        <v/>
      </c>
    </row>
    <row r="162" spans="2:11" x14ac:dyDescent="0.3">
      <c r="B162" t="str">
        <f>TEXT(Exceptions[[#This Row],[Date]],"MMMM")</f>
        <v>January</v>
      </c>
      <c r="C162" s="146"/>
      <c r="D162" s="136"/>
      <c r="E162" s="136"/>
      <c r="F162" s="103"/>
      <c r="G162" s="103"/>
      <c r="H162" s="103"/>
      <c r="I162" s="42" t="str">
        <f>IF(OR(ISBLANK(Exceptions[[#This Row],[Start]]),ISBLANK(Exceptions[[#This Row],[End]])),"",(Exceptions[[#This Row],[End]]-Exceptions[[#This Row],[Start]])*1440)</f>
        <v/>
      </c>
      <c r="J162" s="42" t="str">
        <f>IF(ISBLANK(Exceptions[[#This Row],[Date]]),"",IF(Exceptions[[#This Row],[Activity]]="Instruction",Exceptions[[#This Row],[Elapsed]],0))</f>
        <v/>
      </c>
      <c r="K162" s="42" t="str">
        <f>IF(ISBLANK(Exceptions[[#This Row],[Activity]]),"",IF(_xlfn.XLOOKUP(Exceptions[[#This Row],[Activity]],Types_of_Activity[Type of Activity],Types_of_Activity[Classification])=2,Exceptions[[#This Row],[Elapsed]],0))</f>
        <v/>
      </c>
    </row>
    <row r="163" spans="2:11" x14ac:dyDescent="0.3">
      <c r="B163" t="str">
        <f>TEXT(Exceptions[[#This Row],[Date]],"MMMM")</f>
        <v>January</v>
      </c>
      <c r="C163" s="146"/>
      <c r="D163" s="136"/>
      <c r="E163" s="136"/>
      <c r="F163" s="103"/>
      <c r="G163" s="103"/>
      <c r="H163" s="103"/>
      <c r="I163" s="42" t="str">
        <f>IF(OR(ISBLANK(Exceptions[[#This Row],[Start]]),ISBLANK(Exceptions[[#This Row],[End]])),"",(Exceptions[[#This Row],[End]]-Exceptions[[#This Row],[Start]])*1440)</f>
        <v/>
      </c>
      <c r="J163" s="42" t="str">
        <f>IF(ISBLANK(Exceptions[[#This Row],[Date]]),"",IF(Exceptions[[#This Row],[Activity]]="Instruction",Exceptions[[#This Row],[Elapsed]],0))</f>
        <v/>
      </c>
      <c r="K163" s="42" t="str">
        <f>IF(ISBLANK(Exceptions[[#This Row],[Activity]]),"",IF(_xlfn.XLOOKUP(Exceptions[[#This Row],[Activity]],Types_of_Activity[Type of Activity],Types_of_Activity[Classification])=2,Exceptions[[#This Row],[Elapsed]],0))</f>
        <v/>
      </c>
    </row>
    <row r="164" spans="2:11" x14ac:dyDescent="0.3">
      <c r="B164" t="str">
        <f>TEXT(Exceptions[[#This Row],[Date]],"MMMM")</f>
        <v>January</v>
      </c>
      <c r="C164" s="146"/>
      <c r="D164" s="136"/>
      <c r="E164" s="136"/>
      <c r="F164" s="103"/>
      <c r="G164" s="103"/>
      <c r="H164" s="103"/>
      <c r="I164" s="42" t="str">
        <f>IF(OR(ISBLANK(Exceptions[[#This Row],[Start]]),ISBLANK(Exceptions[[#This Row],[End]])),"",(Exceptions[[#This Row],[End]]-Exceptions[[#This Row],[Start]])*1440)</f>
        <v/>
      </c>
      <c r="J164" s="42" t="str">
        <f>IF(ISBLANK(Exceptions[[#This Row],[Date]]),"",IF(Exceptions[[#This Row],[Activity]]="Instruction",Exceptions[[#This Row],[Elapsed]],0))</f>
        <v/>
      </c>
      <c r="K164" s="42" t="str">
        <f>IF(ISBLANK(Exceptions[[#This Row],[Activity]]),"",IF(_xlfn.XLOOKUP(Exceptions[[#This Row],[Activity]],Types_of_Activity[Type of Activity],Types_of_Activity[Classification])=2,Exceptions[[#This Row],[Elapsed]],0))</f>
        <v/>
      </c>
    </row>
    <row r="165" spans="2:11" x14ac:dyDescent="0.3">
      <c r="B165" t="str">
        <f>TEXT(Exceptions[[#This Row],[Date]],"MMMM")</f>
        <v>January</v>
      </c>
      <c r="C165" s="146"/>
      <c r="D165" s="136"/>
      <c r="E165" s="136"/>
      <c r="F165" s="103"/>
      <c r="G165" s="103"/>
      <c r="H165" s="103"/>
      <c r="I165" s="42" t="str">
        <f>IF(OR(ISBLANK(Exceptions[[#This Row],[Start]]),ISBLANK(Exceptions[[#This Row],[End]])),"",(Exceptions[[#This Row],[End]]-Exceptions[[#This Row],[Start]])*1440)</f>
        <v/>
      </c>
      <c r="J165" s="42" t="str">
        <f>IF(ISBLANK(Exceptions[[#This Row],[Date]]),"",IF(Exceptions[[#This Row],[Activity]]="Instruction",Exceptions[[#This Row],[Elapsed]],0))</f>
        <v/>
      </c>
      <c r="K165" s="42" t="str">
        <f>IF(ISBLANK(Exceptions[[#This Row],[Activity]]),"",IF(_xlfn.XLOOKUP(Exceptions[[#This Row],[Activity]],Types_of_Activity[Type of Activity],Types_of_Activity[Classification])=2,Exceptions[[#This Row],[Elapsed]],0))</f>
        <v/>
      </c>
    </row>
    <row r="166" spans="2:11" x14ac:dyDescent="0.3">
      <c r="B166" t="str">
        <f>TEXT(Exceptions[[#This Row],[Date]],"MMMM")</f>
        <v>January</v>
      </c>
      <c r="C166" s="146"/>
      <c r="D166" s="136"/>
      <c r="E166" s="136"/>
      <c r="F166" s="103"/>
      <c r="G166" s="103"/>
      <c r="H166" s="103"/>
      <c r="I166" s="42" t="str">
        <f>IF(OR(ISBLANK(Exceptions[[#This Row],[Start]]),ISBLANK(Exceptions[[#This Row],[End]])),"",(Exceptions[[#This Row],[End]]-Exceptions[[#This Row],[Start]])*1440)</f>
        <v/>
      </c>
      <c r="J166" s="42" t="str">
        <f>IF(ISBLANK(Exceptions[[#This Row],[Date]]),"",IF(Exceptions[[#This Row],[Activity]]="Instruction",Exceptions[[#This Row],[Elapsed]],0))</f>
        <v/>
      </c>
      <c r="K166" s="42" t="str">
        <f>IF(ISBLANK(Exceptions[[#This Row],[Activity]]),"",IF(_xlfn.XLOOKUP(Exceptions[[#This Row],[Activity]],Types_of_Activity[Type of Activity],Types_of_Activity[Classification])=2,Exceptions[[#This Row],[Elapsed]],0))</f>
        <v/>
      </c>
    </row>
    <row r="167" spans="2:11" x14ac:dyDescent="0.3">
      <c r="B167" t="str">
        <f>TEXT(Exceptions[[#This Row],[Date]],"MMMM")</f>
        <v>January</v>
      </c>
      <c r="C167" s="146"/>
      <c r="D167" s="136"/>
      <c r="E167" s="136"/>
      <c r="F167" s="103"/>
      <c r="G167" s="103"/>
      <c r="H167" s="103"/>
      <c r="I167" s="42" t="str">
        <f>IF(OR(ISBLANK(Exceptions[[#This Row],[Start]]),ISBLANK(Exceptions[[#This Row],[End]])),"",(Exceptions[[#This Row],[End]]-Exceptions[[#This Row],[Start]])*1440)</f>
        <v/>
      </c>
      <c r="J167" s="42" t="str">
        <f>IF(ISBLANK(Exceptions[[#This Row],[Date]]),"",IF(Exceptions[[#This Row],[Activity]]="Instruction",Exceptions[[#This Row],[Elapsed]],0))</f>
        <v/>
      </c>
      <c r="K167" s="42" t="str">
        <f>IF(ISBLANK(Exceptions[[#This Row],[Activity]]),"",IF(_xlfn.XLOOKUP(Exceptions[[#This Row],[Activity]],Types_of_Activity[Type of Activity],Types_of_Activity[Classification])=2,Exceptions[[#This Row],[Elapsed]],0))</f>
        <v/>
      </c>
    </row>
    <row r="168" spans="2:11" x14ac:dyDescent="0.3">
      <c r="B168" t="str">
        <f>TEXT(Exceptions[[#This Row],[Date]],"MMMM")</f>
        <v>January</v>
      </c>
      <c r="C168" s="146"/>
      <c r="D168" s="136"/>
      <c r="E168" s="136"/>
      <c r="F168" s="103"/>
      <c r="G168" s="103"/>
      <c r="H168" s="103"/>
      <c r="I168" s="42" t="str">
        <f>IF(OR(ISBLANK(Exceptions[[#This Row],[Start]]),ISBLANK(Exceptions[[#This Row],[End]])),"",(Exceptions[[#This Row],[End]]-Exceptions[[#This Row],[Start]])*1440)</f>
        <v/>
      </c>
      <c r="J168" s="42" t="str">
        <f>IF(ISBLANK(Exceptions[[#This Row],[Date]]),"",IF(Exceptions[[#This Row],[Activity]]="Instruction",Exceptions[[#This Row],[Elapsed]],0))</f>
        <v/>
      </c>
      <c r="K168" s="42" t="str">
        <f>IF(ISBLANK(Exceptions[[#This Row],[Activity]]),"",IF(_xlfn.XLOOKUP(Exceptions[[#This Row],[Activity]],Types_of_Activity[Type of Activity],Types_of_Activity[Classification])=2,Exceptions[[#This Row],[Elapsed]],0))</f>
        <v/>
      </c>
    </row>
    <row r="169" spans="2:11" x14ac:dyDescent="0.3">
      <c r="B169" t="str">
        <f>TEXT(Exceptions[[#This Row],[Date]],"MMMM")</f>
        <v>January</v>
      </c>
      <c r="C169" s="146"/>
      <c r="D169" s="136"/>
      <c r="E169" s="136"/>
      <c r="F169" s="103"/>
      <c r="G169" s="103"/>
      <c r="H169" s="103"/>
      <c r="I169" s="42" t="str">
        <f>IF(OR(ISBLANK(Exceptions[[#This Row],[Start]]),ISBLANK(Exceptions[[#This Row],[End]])),"",(Exceptions[[#This Row],[End]]-Exceptions[[#This Row],[Start]])*1440)</f>
        <v/>
      </c>
      <c r="J169" s="42" t="str">
        <f>IF(ISBLANK(Exceptions[[#This Row],[Date]]),"",IF(Exceptions[[#This Row],[Activity]]="Instruction",Exceptions[[#This Row],[Elapsed]],0))</f>
        <v/>
      </c>
      <c r="K169" s="42" t="str">
        <f>IF(ISBLANK(Exceptions[[#This Row],[Activity]]),"",IF(_xlfn.XLOOKUP(Exceptions[[#This Row],[Activity]],Types_of_Activity[Type of Activity],Types_of_Activity[Classification])=2,Exceptions[[#This Row],[Elapsed]],0))</f>
        <v/>
      </c>
    </row>
    <row r="170" spans="2:11" x14ac:dyDescent="0.3">
      <c r="B170" t="str">
        <f>TEXT(Exceptions[[#This Row],[Date]],"MMMM")</f>
        <v>January</v>
      </c>
      <c r="C170" s="146"/>
      <c r="D170" s="136"/>
      <c r="E170" s="136"/>
      <c r="F170" s="103"/>
      <c r="G170" s="103"/>
      <c r="H170" s="103"/>
      <c r="I170" s="42" t="str">
        <f>IF(OR(ISBLANK(Exceptions[[#This Row],[Start]]),ISBLANK(Exceptions[[#This Row],[End]])),"",(Exceptions[[#This Row],[End]]-Exceptions[[#This Row],[Start]])*1440)</f>
        <v/>
      </c>
      <c r="J170" s="42" t="str">
        <f>IF(ISBLANK(Exceptions[[#This Row],[Date]]),"",IF(Exceptions[[#This Row],[Activity]]="Instruction",Exceptions[[#This Row],[Elapsed]],0))</f>
        <v/>
      </c>
      <c r="K170" s="42" t="str">
        <f>IF(ISBLANK(Exceptions[[#This Row],[Activity]]),"",IF(_xlfn.XLOOKUP(Exceptions[[#This Row],[Activity]],Types_of_Activity[Type of Activity],Types_of_Activity[Classification])=2,Exceptions[[#This Row],[Elapsed]],0))</f>
        <v/>
      </c>
    </row>
    <row r="171" spans="2:11" x14ac:dyDescent="0.3">
      <c r="B171" t="str">
        <f>TEXT(Exceptions[[#This Row],[Date]],"MMMM")</f>
        <v>January</v>
      </c>
      <c r="C171" s="146"/>
      <c r="D171" s="136"/>
      <c r="E171" s="136"/>
      <c r="F171" s="103"/>
      <c r="G171" s="103"/>
      <c r="H171" s="103"/>
      <c r="I171" s="42" t="str">
        <f>IF(OR(ISBLANK(Exceptions[[#This Row],[Start]]),ISBLANK(Exceptions[[#This Row],[End]])),"",(Exceptions[[#This Row],[End]]-Exceptions[[#This Row],[Start]])*1440)</f>
        <v/>
      </c>
      <c r="J171" s="42" t="str">
        <f>IF(ISBLANK(Exceptions[[#This Row],[Date]]),"",IF(Exceptions[[#This Row],[Activity]]="Instruction",Exceptions[[#This Row],[Elapsed]],0))</f>
        <v/>
      </c>
      <c r="K171" s="42" t="str">
        <f>IF(ISBLANK(Exceptions[[#This Row],[Activity]]),"",IF(_xlfn.XLOOKUP(Exceptions[[#This Row],[Activity]],Types_of_Activity[Type of Activity],Types_of_Activity[Classification])=2,Exceptions[[#This Row],[Elapsed]],0))</f>
        <v/>
      </c>
    </row>
    <row r="172" spans="2:11" x14ac:dyDescent="0.3">
      <c r="B172" t="str">
        <f>TEXT(Exceptions[[#This Row],[Date]],"MMMM")</f>
        <v>January</v>
      </c>
      <c r="C172" s="146"/>
      <c r="D172" s="136"/>
      <c r="E172" s="136"/>
      <c r="F172" s="103"/>
      <c r="G172" s="103"/>
      <c r="H172" s="103"/>
      <c r="I172" s="42" t="str">
        <f>IF(OR(ISBLANK(Exceptions[[#This Row],[Start]]),ISBLANK(Exceptions[[#This Row],[End]])),"",(Exceptions[[#This Row],[End]]-Exceptions[[#This Row],[Start]])*1440)</f>
        <v/>
      </c>
      <c r="J172" s="42" t="str">
        <f>IF(ISBLANK(Exceptions[[#This Row],[Date]]),"",IF(Exceptions[[#This Row],[Activity]]="Instruction",Exceptions[[#This Row],[Elapsed]],0))</f>
        <v/>
      </c>
      <c r="K172" s="42" t="str">
        <f>IF(ISBLANK(Exceptions[[#This Row],[Activity]]),"",IF(_xlfn.XLOOKUP(Exceptions[[#This Row],[Activity]],Types_of_Activity[Type of Activity],Types_of_Activity[Classification])=2,Exceptions[[#This Row],[Elapsed]],0))</f>
        <v/>
      </c>
    </row>
    <row r="173" spans="2:11" x14ac:dyDescent="0.3">
      <c r="B173" t="str">
        <f>TEXT(Exceptions[[#This Row],[Date]],"MMMM")</f>
        <v>January</v>
      </c>
      <c r="C173" s="146"/>
      <c r="D173" s="136"/>
      <c r="E173" s="136"/>
      <c r="F173" s="103"/>
      <c r="G173" s="103"/>
      <c r="H173" s="103"/>
      <c r="I173" s="42" t="str">
        <f>IF(OR(ISBLANK(Exceptions[[#This Row],[Start]]),ISBLANK(Exceptions[[#This Row],[End]])),"",(Exceptions[[#This Row],[End]]-Exceptions[[#This Row],[Start]])*1440)</f>
        <v/>
      </c>
      <c r="J173" s="42" t="str">
        <f>IF(ISBLANK(Exceptions[[#This Row],[Date]]),"",IF(Exceptions[[#This Row],[Activity]]="Instruction",Exceptions[[#This Row],[Elapsed]],0))</f>
        <v/>
      </c>
      <c r="K173" s="42" t="str">
        <f>IF(ISBLANK(Exceptions[[#This Row],[Activity]]),"",IF(_xlfn.XLOOKUP(Exceptions[[#This Row],[Activity]],Types_of_Activity[Type of Activity],Types_of_Activity[Classification])=2,Exceptions[[#This Row],[Elapsed]],0))</f>
        <v/>
      </c>
    </row>
    <row r="174" spans="2:11" x14ac:dyDescent="0.3">
      <c r="B174" t="str">
        <f>TEXT(Exceptions[[#This Row],[Date]],"MMMM")</f>
        <v>January</v>
      </c>
      <c r="C174" s="146"/>
      <c r="D174" s="136"/>
      <c r="E174" s="136"/>
      <c r="F174" s="103"/>
      <c r="G174" s="103"/>
      <c r="H174" s="103"/>
      <c r="I174" s="42" t="str">
        <f>IF(OR(ISBLANK(Exceptions[[#This Row],[Start]]),ISBLANK(Exceptions[[#This Row],[End]])),"",(Exceptions[[#This Row],[End]]-Exceptions[[#This Row],[Start]])*1440)</f>
        <v/>
      </c>
      <c r="J174" s="42" t="str">
        <f>IF(ISBLANK(Exceptions[[#This Row],[Date]]),"",IF(Exceptions[[#This Row],[Activity]]="Instruction",Exceptions[[#This Row],[Elapsed]],0))</f>
        <v/>
      </c>
      <c r="K174" s="42" t="str">
        <f>IF(ISBLANK(Exceptions[[#This Row],[Activity]]),"",IF(_xlfn.XLOOKUP(Exceptions[[#This Row],[Activity]],Types_of_Activity[Type of Activity],Types_of_Activity[Classification])=2,Exceptions[[#This Row],[Elapsed]],0))</f>
        <v/>
      </c>
    </row>
    <row r="175" spans="2:11" x14ac:dyDescent="0.3">
      <c r="B175" t="str">
        <f>TEXT(Exceptions[[#This Row],[Date]],"MMMM")</f>
        <v>January</v>
      </c>
      <c r="C175" s="146"/>
      <c r="D175" s="136"/>
      <c r="E175" s="136"/>
      <c r="F175" s="103"/>
      <c r="G175" s="103"/>
      <c r="H175" s="103"/>
      <c r="I175" s="42" t="str">
        <f>IF(OR(ISBLANK(Exceptions[[#This Row],[Start]]),ISBLANK(Exceptions[[#This Row],[End]])),"",(Exceptions[[#This Row],[End]]-Exceptions[[#This Row],[Start]])*1440)</f>
        <v/>
      </c>
      <c r="J175" s="42" t="str">
        <f>IF(ISBLANK(Exceptions[[#This Row],[Date]]),"",IF(Exceptions[[#This Row],[Activity]]="Instruction",Exceptions[[#This Row],[Elapsed]],0))</f>
        <v/>
      </c>
      <c r="K175" s="42" t="str">
        <f>IF(ISBLANK(Exceptions[[#This Row],[Activity]]),"",IF(_xlfn.XLOOKUP(Exceptions[[#This Row],[Activity]],Types_of_Activity[Type of Activity],Types_of_Activity[Classification])=2,Exceptions[[#This Row],[Elapsed]],0))</f>
        <v/>
      </c>
    </row>
    <row r="176" spans="2:11" x14ac:dyDescent="0.3">
      <c r="B176" t="str">
        <f>TEXT(Exceptions[[#This Row],[Date]],"MMMM")</f>
        <v>January</v>
      </c>
      <c r="C176" s="146"/>
      <c r="D176" s="136"/>
      <c r="E176" s="136"/>
      <c r="F176" s="103"/>
      <c r="G176" s="103"/>
      <c r="H176" s="103"/>
      <c r="I176" s="42" t="str">
        <f>IF(OR(ISBLANK(Exceptions[[#This Row],[Start]]),ISBLANK(Exceptions[[#This Row],[End]])),"",(Exceptions[[#This Row],[End]]-Exceptions[[#This Row],[Start]])*1440)</f>
        <v/>
      </c>
      <c r="J176" s="42" t="str">
        <f>IF(ISBLANK(Exceptions[[#This Row],[Date]]),"",IF(Exceptions[[#This Row],[Activity]]="Instruction",Exceptions[[#This Row],[Elapsed]],0))</f>
        <v/>
      </c>
      <c r="K176" s="42" t="str">
        <f>IF(ISBLANK(Exceptions[[#This Row],[Activity]]),"",IF(_xlfn.XLOOKUP(Exceptions[[#This Row],[Activity]],Types_of_Activity[Type of Activity],Types_of_Activity[Classification])=2,Exceptions[[#This Row],[Elapsed]],0))</f>
        <v/>
      </c>
    </row>
    <row r="177" spans="2:11" x14ac:dyDescent="0.3">
      <c r="B177" t="str">
        <f>TEXT(Exceptions[[#This Row],[Date]],"MMMM")</f>
        <v>January</v>
      </c>
      <c r="C177" s="146"/>
      <c r="D177" s="136"/>
      <c r="E177" s="136"/>
      <c r="F177" s="103"/>
      <c r="G177" s="103"/>
      <c r="H177" s="103"/>
      <c r="I177" s="42" t="str">
        <f>IF(OR(ISBLANK(Exceptions[[#This Row],[Start]]),ISBLANK(Exceptions[[#This Row],[End]])),"",(Exceptions[[#This Row],[End]]-Exceptions[[#This Row],[Start]])*1440)</f>
        <v/>
      </c>
      <c r="J177" s="42" t="str">
        <f>IF(ISBLANK(Exceptions[[#This Row],[Date]]),"",IF(Exceptions[[#This Row],[Activity]]="Instruction",Exceptions[[#This Row],[Elapsed]],0))</f>
        <v/>
      </c>
      <c r="K177" s="42" t="str">
        <f>IF(ISBLANK(Exceptions[[#This Row],[Activity]]),"",IF(_xlfn.XLOOKUP(Exceptions[[#This Row],[Activity]],Types_of_Activity[Type of Activity],Types_of_Activity[Classification])=2,Exceptions[[#This Row],[Elapsed]],0))</f>
        <v/>
      </c>
    </row>
    <row r="178" spans="2:11" x14ac:dyDescent="0.3">
      <c r="B178" t="str">
        <f>TEXT(Exceptions[[#This Row],[Date]],"MMMM")</f>
        <v>January</v>
      </c>
      <c r="C178" s="146"/>
      <c r="D178" s="136"/>
      <c r="E178" s="136"/>
      <c r="F178" s="103"/>
      <c r="G178" s="103"/>
      <c r="H178" s="103"/>
      <c r="I178" s="42" t="str">
        <f>IF(OR(ISBLANK(Exceptions[[#This Row],[Start]]),ISBLANK(Exceptions[[#This Row],[End]])),"",(Exceptions[[#This Row],[End]]-Exceptions[[#This Row],[Start]])*1440)</f>
        <v/>
      </c>
      <c r="J178" s="42" t="str">
        <f>IF(ISBLANK(Exceptions[[#This Row],[Date]]),"",IF(Exceptions[[#This Row],[Activity]]="Instruction",Exceptions[[#This Row],[Elapsed]],0))</f>
        <v/>
      </c>
      <c r="K178" s="42" t="str">
        <f>IF(ISBLANK(Exceptions[[#This Row],[Activity]]),"",IF(_xlfn.XLOOKUP(Exceptions[[#This Row],[Activity]],Types_of_Activity[Type of Activity],Types_of_Activity[Classification])=2,Exceptions[[#This Row],[Elapsed]],0))</f>
        <v/>
      </c>
    </row>
    <row r="179" spans="2:11" x14ac:dyDescent="0.3">
      <c r="B179" t="str">
        <f>TEXT(Exceptions[[#This Row],[Date]],"MMMM")</f>
        <v>January</v>
      </c>
      <c r="C179" s="146"/>
      <c r="D179" s="136"/>
      <c r="E179" s="136"/>
      <c r="F179" s="103"/>
      <c r="G179" s="103"/>
      <c r="H179" s="103"/>
      <c r="I179" s="42" t="str">
        <f>IF(OR(ISBLANK(Exceptions[[#This Row],[Start]]),ISBLANK(Exceptions[[#This Row],[End]])),"",(Exceptions[[#This Row],[End]]-Exceptions[[#This Row],[Start]])*1440)</f>
        <v/>
      </c>
      <c r="J179" s="42" t="str">
        <f>IF(ISBLANK(Exceptions[[#This Row],[Date]]),"",IF(Exceptions[[#This Row],[Activity]]="Instruction",Exceptions[[#This Row],[Elapsed]],0))</f>
        <v/>
      </c>
      <c r="K179" s="42" t="str">
        <f>IF(ISBLANK(Exceptions[[#This Row],[Activity]]),"",IF(_xlfn.XLOOKUP(Exceptions[[#This Row],[Activity]],Types_of_Activity[Type of Activity],Types_of_Activity[Classification])=2,Exceptions[[#This Row],[Elapsed]],0))</f>
        <v/>
      </c>
    </row>
    <row r="180" spans="2:11" x14ac:dyDescent="0.3">
      <c r="B180" t="str">
        <f>TEXT(Exceptions[[#This Row],[Date]],"MMMM")</f>
        <v>January</v>
      </c>
      <c r="C180" s="146"/>
      <c r="D180" s="136"/>
      <c r="E180" s="136"/>
      <c r="F180" s="103"/>
      <c r="G180" s="103"/>
      <c r="H180" s="103"/>
      <c r="I180" s="42" t="str">
        <f>IF(OR(ISBLANK(Exceptions[[#This Row],[Start]]),ISBLANK(Exceptions[[#This Row],[End]])),"",(Exceptions[[#This Row],[End]]-Exceptions[[#This Row],[Start]])*1440)</f>
        <v/>
      </c>
      <c r="J180" s="42" t="str">
        <f>IF(ISBLANK(Exceptions[[#This Row],[Date]]),"",IF(Exceptions[[#This Row],[Activity]]="Instruction",Exceptions[[#This Row],[Elapsed]],0))</f>
        <v/>
      </c>
      <c r="K180" s="42" t="str">
        <f>IF(ISBLANK(Exceptions[[#This Row],[Activity]]),"",IF(_xlfn.XLOOKUP(Exceptions[[#This Row],[Activity]],Types_of_Activity[Type of Activity],Types_of_Activity[Classification])=2,Exceptions[[#This Row],[Elapsed]],0))</f>
        <v/>
      </c>
    </row>
    <row r="181" spans="2:11" x14ac:dyDescent="0.3">
      <c r="B181" t="str">
        <f>TEXT(Exceptions[[#This Row],[Date]],"MMMM")</f>
        <v>January</v>
      </c>
      <c r="C181" s="146"/>
      <c r="D181" s="136"/>
      <c r="E181" s="136"/>
      <c r="F181" s="103"/>
      <c r="G181" s="103"/>
      <c r="H181" s="103"/>
      <c r="I181" s="42" t="str">
        <f>IF(OR(ISBLANK(Exceptions[[#This Row],[Start]]),ISBLANK(Exceptions[[#This Row],[End]])),"",(Exceptions[[#This Row],[End]]-Exceptions[[#This Row],[Start]])*1440)</f>
        <v/>
      </c>
      <c r="J181" s="42" t="str">
        <f>IF(ISBLANK(Exceptions[[#This Row],[Date]]),"",IF(Exceptions[[#This Row],[Activity]]="Instruction",Exceptions[[#This Row],[Elapsed]],0))</f>
        <v/>
      </c>
      <c r="K181" s="42" t="str">
        <f>IF(ISBLANK(Exceptions[[#This Row],[Activity]]),"",IF(_xlfn.XLOOKUP(Exceptions[[#This Row],[Activity]],Types_of_Activity[Type of Activity],Types_of_Activity[Classification])=2,Exceptions[[#This Row],[Elapsed]],0))</f>
        <v/>
      </c>
    </row>
    <row r="182" spans="2:11" x14ac:dyDescent="0.3">
      <c r="B182" t="str">
        <f>TEXT(Exceptions[[#This Row],[Date]],"MMMM")</f>
        <v>January</v>
      </c>
      <c r="C182" s="146"/>
      <c r="D182" s="136"/>
      <c r="E182" s="136"/>
      <c r="F182" s="103"/>
      <c r="G182" s="103"/>
      <c r="H182" s="103"/>
      <c r="I182" s="42" t="str">
        <f>IF(OR(ISBLANK(Exceptions[[#This Row],[Start]]),ISBLANK(Exceptions[[#This Row],[End]])),"",(Exceptions[[#This Row],[End]]-Exceptions[[#This Row],[Start]])*1440)</f>
        <v/>
      </c>
      <c r="J182" s="42" t="str">
        <f>IF(ISBLANK(Exceptions[[#This Row],[Date]]),"",IF(Exceptions[[#This Row],[Activity]]="Instruction",Exceptions[[#This Row],[Elapsed]],0))</f>
        <v/>
      </c>
      <c r="K182" s="42" t="str">
        <f>IF(ISBLANK(Exceptions[[#This Row],[Activity]]),"",IF(_xlfn.XLOOKUP(Exceptions[[#This Row],[Activity]],Types_of_Activity[Type of Activity],Types_of_Activity[Classification])=2,Exceptions[[#This Row],[Elapsed]],0))</f>
        <v/>
      </c>
    </row>
    <row r="183" spans="2:11" x14ac:dyDescent="0.3">
      <c r="B183" t="str">
        <f>TEXT(Exceptions[[#This Row],[Date]],"MMMM")</f>
        <v>January</v>
      </c>
      <c r="C183" s="146"/>
      <c r="D183" s="136"/>
      <c r="E183" s="136"/>
      <c r="F183" s="103"/>
      <c r="G183" s="103"/>
      <c r="H183" s="103"/>
      <c r="I183" s="42" t="str">
        <f>IF(OR(ISBLANK(Exceptions[[#This Row],[Start]]),ISBLANK(Exceptions[[#This Row],[End]])),"",(Exceptions[[#This Row],[End]]-Exceptions[[#This Row],[Start]])*1440)</f>
        <v/>
      </c>
      <c r="J183" s="42" t="str">
        <f>IF(ISBLANK(Exceptions[[#This Row],[Date]]),"",IF(Exceptions[[#This Row],[Activity]]="Instruction",Exceptions[[#This Row],[Elapsed]],0))</f>
        <v/>
      </c>
      <c r="K183" s="42" t="str">
        <f>IF(ISBLANK(Exceptions[[#This Row],[Activity]]),"",IF(_xlfn.XLOOKUP(Exceptions[[#This Row],[Activity]],Types_of_Activity[Type of Activity],Types_of_Activity[Classification])=2,Exceptions[[#This Row],[Elapsed]],0))</f>
        <v/>
      </c>
    </row>
    <row r="184" spans="2:11" x14ac:dyDescent="0.3">
      <c r="B184" t="str">
        <f>TEXT(Exceptions[[#This Row],[Date]],"MMMM")</f>
        <v>January</v>
      </c>
      <c r="C184" s="146"/>
      <c r="D184" s="136"/>
      <c r="E184" s="136"/>
      <c r="F184" s="103"/>
      <c r="G184" s="103"/>
      <c r="H184" s="103"/>
      <c r="I184" s="42" t="str">
        <f>IF(OR(ISBLANK(Exceptions[[#This Row],[Start]]),ISBLANK(Exceptions[[#This Row],[End]])),"",(Exceptions[[#This Row],[End]]-Exceptions[[#This Row],[Start]])*1440)</f>
        <v/>
      </c>
      <c r="J184" s="42" t="str">
        <f>IF(ISBLANK(Exceptions[[#This Row],[Date]]),"",IF(Exceptions[[#This Row],[Activity]]="Instruction",Exceptions[[#This Row],[Elapsed]],0))</f>
        <v/>
      </c>
      <c r="K184" s="42" t="str">
        <f>IF(ISBLANK(Exceptions[[#This Row],[Activity]]),"",IF(_xlfn.XLOOKUP(Exceptions[[#This Row],[Activity]],Types_of_Activity[Type of Activity],Types_of_Activity[Classification])=2,Exceptions[[#This Row],[Elapsed]],0))</f>
        <v/>
      </c>
    </row>
    <row r="185" spans="2:11" x14ac:dyDescent="0.3">
      <c r="B185" t="str">
        <f>TEXT(Exceptions[[#This Row],[Date]],"MMMM")</f>
        <v>January</v>
      </c>
      <c r="C185" s="146"/>
      <c r="D185" s="136"/>
      <c r="E185" s="136"/>
      <c r="F185" s="103"/>
      <c r="G185" s="103"/>
      <c r="H185" s="103"/>
      <c r="I185" s="42" t="str">
        <f>IF(OR(ISBLANK(Exceptions[[#This Row],[Start]]),ISBLANK(Exceptions[[#This Row],[End]])),"",(Exceptions[[#This Row],[End]]-Exceptions[[#This Row],[Start]])*1440)</f>
        <v/>
      </c>
      <c r="J185" s="42" t="str">
        <f>IF(ISBLANK(Exceptions[[#This Row],[Date]]),"",IF(Exceptions[[#This Row],[Activity]]="Instruction",Exceptions[[#This Row],[Elapsed]],0))</f>
        <v/>
      </c>
      <c r="K185" s="42" t="str">
        <f>IF(ISBLANK(Exceptions[[#This Row],[Activity]]),"",IF(_xlfn.XLOOKUP(Exceptions[[#This Row],[Activity]],Types_of_Activity[Type of Activity],Types_of_Activity[Classification])=2,Exceptions[[#This Row],[Elapsed]],0))</f>
        <v/>
      </c>
    </row>
    <row r="186" spans="2:11" x14ac:dyDescent="0.3">
      <c r="B186" t="str">
        <f>TEXT(Exceptions[[#This Row],[Date]],"MMMM")</f>
        <v>January</v>
      </c>
      <c r="C186" s="146"/>
      <c r="D186" s="136"/>
      <c r="E186" s="136"/>
      <c r="F186" s="103"/>
      <c r="G186" s="103"/>
      <c r="H186" s="103"/>
      <c r="I186" s="42" t="str">
        <f>IF(OR(ISBLANK(Exceptions[[#This Row],[Start]]),ISBLANK(Exceptions[[#This Row],[End]])),"",(Exceptions[[#This Row],[End]]-Exceptions[[#This Row],[Start]])*1440)</f>
        <v/>
      </c>
      <c r="J186" s="42" t="str">
        <f>IF(ISBLANK(Exceptions[[#This Row],[Date]]),"",IF(Exceptions[[#This Row],[Activity]]="Instruction",Exceptions[[#This Row],[Elapsed]],0))</f>
        <v/>
      </c>
      <c r="K186" s="42" t="str">
        <f>IF(ISBLANK(Exceptions[[#This Row],[Activity]]),"",IF(_xlfn.XLOOKUP(Exceptions[[#This Row],[Activity]],Types_of_Activity[Type of Activity],Types_of_Activity[Classification])=2,Exceptions[[#This Row],[Elapsed]],0))</f>
        <v/>
      </c>
    </row>
    <row r="187" spans="2:11" x14ac:dyDescent="0.3">
      <c r="B187" t="str">
        <f>TEXT(Exceptions[[#This Row],[Date]],"MMMM")</f>
        <v>January</v>
      </c>
      <c r="C187" s="146"/>
      <c r="D187" s="136"/>
      <c r="E187" s="136"/>
      <c r="F187" s="103"/>
      <c r="G187" s="103"/>
      <c r="H187" s="103"/>
      <c r="I187" s="42" t="str">
        <f>IF(OR(ISBLANK(Exceptions[[#This Row],[Start]]),ISBLANK(Exceptions[[#This Row],[End]])),"",(Exceptions[[#This Row],[End]]-Exceptions[[#This Row],[Start]])*1440)</f>
        <v/>
      </c>
      <c r="J187" s="42" t="str">
        <f>IF(ISBLANK(Exceptions[[#This Row],[Date]]),"",IF(Exceptions[[#This Row],[Activity]]="Instruction",Exceptions[[#This Row],[Elapsed]],0))</f>
        <v/>
      </c>
      <c r="K187" s="42" t="str">
        <f>IF(ISBLANK(Exceptions[[#This Row],[Activity]]),"",IF(_xlfn.XLOOKUP(Exceptions[[#This Row],[Activity]],Types_of_Activity[Type of Activity],Types_of_Activity[Classification])=2,Exceptions[[#This Row],[Elapsed]],0))</f>
        <v/>
      </c>
    </row>
    <row r="188" spans="2:11" x14ac:dyDescent="0.3">
      <c r="B188" t="str">
        <f>TEXT(Exceptions[[#This Row],[Date]],"MMMM")</f>
        <v>January</v>
      </c>
      <c r="C188" s="146"/>
      <c r="D188" s="136"/>
      <c r="E188" s="136"/>
      <c r="F188" s="103"/>
      <c r="G188" s="103"/>
      <c r="H188" s="103"/>
      <c r="I188" s="42" t="str">
        <f>IF(OR(ISBLANK(Exceptions[[#This Row],[Start]]),ISBLANK(Exceptions[[#This Row],[End]])),"",(Exceptions[[#This Row],[End]]-Exceptions[[#This Row],[Start]])*1440)</f>
        <v/>
      </c>
      <c r="J188" s="42" t="str">
        <f>IF(ISBLANK(Exceptions[[#This Row],[Date]]),"",IF(Exceptions[[#This Row],[Activity]]="Instruction",Exceptions[[#This Row],[Elapsed]],0))</f>
        <v/>
      </c>
      <c r="K188" s="42" t="str">
        <f>IF(ISBLANK(Exceptions[[#This Row],[Activity]]),"",IF(_xlfn.XLOOKUP(Exceptions[[#This Row],[Activity]],Types_of_Activity[Type of Activity],Types_of_Activity[Classification])=2,Exceptions[[#This Row],[Elapsed]],0))</f>
        <v/>
      </c>
    </row>
    <row r="189" spans="2:11" x14ac:dyDescent="0.3">
      <c r="B189" t="str">
        <f>TEXT(Exceptions[[#This Row],[Date]],"MMMM")</f>
        <v>January</v>
      </c>
      <c r="C189" s="146"/>
      <c r="D189" s="136"/>
      <c r="E189" s="136"/>
      <c r="F189" s="103"/>
      <c r="G189" s="103"/>
      <c r="H189" s="103"/>
      <c r="I189" s="42" t="str">
        <f>IF(OR(ISBLANK(Exceptions[[#This Row],[Start]]),ISBLANK(Exceptions[[#This Row],[End]])),"",(Exceptions[[#This Row],[End]]-Exceptions[[#This Row],[Start]])*1440)</f>
        <v/>
      </c>
      <c r="J189" s="42" t="str">
        <f>IF(ISBLANK(Exceptions[[#This Row],[Date]]),"",IF(Exceptions[[#This Row],[Activity]]="Instruction",Exceptions[[#This Row],[Elapsed]],0))</f>
        <v/>
      </c>
      <c r="K189" s="42" t="str">
        <f>IF(ISBLANK(Exceptions[[#This Row],[Activity]]),"",IF(_xlfn.XLOOKUP(Exceptions[[#This Row],[Activity]],Types_of_Activity[Type of Activity],Types_of_Activity[Classification])=2,Exceptions[[#This Row],[Elapsed]],0))</f>
        <v/>
      </c>
    </row>
    <row r="190" spans="2:11" x14ac:dyDescent="0.3">
      <c r="B190" t="str">
        <f>TEXT(Exceptions[[#This Row],[Date]],"MMMM")</f>
        <v>January</v>
      </c>
      <c r="C190" s="146"/>
      <c r="D190" s="136"/>
      <c r="E190" s="136"/>
      <c r="F190" s="103"/>
      <c r="G190" s="103"/>
      <c r="H190" s="103"/>
      <c r="I190" s="42" t="str">
        <f>IF(OR(ISBLANK(Exceptions[[#This Row],[Start]]),ISBLANK(Exceptions[[#This Row],[End]])),"",(Exceptions[[#This Row],[End]]-Exceptions[[#This Row],[Start]])*1440)</f>
        <v/>
      </c>
      <c r="J190" s="42" t="str">
        <f>IF(ISBLANK(Exceptions[[#This Row],[Date]]),"",IF(Exceptions[[#This Row],[Activity]]="Instruction",Exceptions[[#This Row],[Elapsed]],0))</f>
        <v/>
      </c>
      <c r="K190" s="42" t="str">
        <f>IF(ISBLANK(Exceptions[[#This Row],[Activity]]),"",IF(_xlfn.XLOOKUP(Exceptions[[#This Row],[Activity]],Types_of_Activity[Type of Activity],Types_of_Activity[Classification])=2,Exceptions[[#This Row],[Elapsed]],0))</f>
        <v/>
      </c>
    </row>
    <row r="191" spans="2:11" x14ac:dyDescent="0.3">
      <c r="B191" t="str">
        <f>TEXT(Exceptions[[#This Row],[Date]],"MMMM")</f>
        <v>January</v>
      </c>
      <c r="C191" s="146"/>
      <c r="D191" s="136"/>
      <c r="E191" s="136"/>
      <c r="F191" s="103"/>
      <c r="G191" s="103"/>
      <c r="H191" s="103"/>
      <c r="I191" s="42" t="str">
        <f>IF(OR(ISBLANK(Exceptions[[#This Row],[Start]]),ISBLANK(Exceptions[[#This Row],[End]])),"",(Exceptions[[#This Row],[End]]-Exceptions[[#This Row],[Start]])*1440)</f>
        <v/>
      </c>
      <c r="J191" s="42" t="str">
        <f>IF(ISBLANK(Exceptions[[#This Row],[Date]]),"",IF(Exceptions[[#This Row],[Activity]]="Instruction",Exceptions[[#This Row],[Elapsed]],0))</f>
        <v/>
      </c>
      <c r="K191" s="42" t="str">
        <f>IF(ISBLANK(Exceptions[[#This Row],[Activity]]),"",IF(_xlfn.XLOOKUP(Exceptions[[#This Row],[Activity]],Types_of_Activity[Type of Activity],Types_of_Activity[Classification])=2,Exceptions[[#This Row],[Elapsed]],0))</f>
        <v/>
      </c>
    </row>
    <row r="192" spans="2:11" x14ac:dyDescent="0.3">
      <c r="B192" t="str">
        <f>TEXT(Exceptions[[#This Row],[Date]],"MMMM")</f>
        <v>January</v>
      </c>
      <c r="C192" s="146"/>
      <c r="D192" s="136"/>
      <c r="E192" s="136"/>
      <c r="F192" s="103"/>
      <c r="G192" s="103"/>
      <c r="H192" s="103"/>
      <c r="I192" s="42" t="str">
        <f>IF(OR(ISBLANK(Exceptions[[#This Row],[Start]]),ISBLANK(Exceptions[[#This Row],[End]])),"",(Exceptions[[#This Row],[End]]-Exceptions[[#This Row],[Start]])*1440)</f>
        <v/>
      </c>
      <c r="J192" s="42" t="str">
        <f>IF(ISBLANK(Exceptions[[#This Row],[Date]]),"",IF(Exceptions[[#This Row],[Activity]]="Instruction",Exceptions[[#This Row],[Elapsed]],0))</f>
        <v/>
      </c>
      <c r="K192" s="42" t="str">
        <f>IF(ISBLANK(Exceptions[[#This Row],[Activity]]),"",IF(_xlfn.XLOOKUP(Exceptions[[#This Row],[Activity]],Types_of_Activity[Type of Activity],Types_of_Activity[Classification])=2,Exceptions[[#This Row],[Elapsed]],0))</f>
        <v/>
      </c>
    </row>
    <row r="193" spans="2:11" x14ac:dyDescent="0.3">
      <c r="B193" t="str">
        <f>TEXT(Exceptions[[#This Row],[Date]],"MMMM")</f>
        <v>January</v>
      </c>
      <c r="C193" s="146"/>
      <c r="D193" s="136"/>
      <c r="E193" s="136"/>
      <c r="F193" s="103"/>
      <c r="G193" s="103"/>
      <c r="H193" s="103"/>
      <c r="I193" s="42" t="str">
        <f>IF(OR(ISBLANK(Exceptions[[#This Row],[Start]]),ISBLANK(Exceptions[[#This Row],[End]])),"",(Exceptions[[#This Row],[End]]-Exceptions[[#This Row],[Start]])*1440)</f>
        <v/>
      </c>
      <c r="J193" s="42" t="str">
        <f>IF(ISBLANK(Exceptions[[#This Row],[Date]]),"",IF(Exceptions[[#This Row],[Activity]]="Instruction",Exceptions[[#This Row],[Elapsed]],0))</f>
        <v/>
      </c>
      <c r="K193" s="42" t="str">
        <f>IF(ISBLANK(Exceptions[[#This Row],[Activity]]),"",IF(_xlfn.XLOOKUP(Exceptions[[#This Row],[Activity]],Types_of_Activity[Type of Activity],Types_of_Activity[Classification])=2,Exceptions[[#This Row],[Elapsed]],0))</f>
        <v/>
      </c>
    </row>
    <row r="194" spans="2:11" x14ac:dyDescent="0.3">
      <c r="B194" t="str">
        <f>TEXT(Exceptions[[#This Row],[Date]],"MMMM")</f>
        <v>January</v>
      </c>
      <c r="C194" s="146"/>
      <c r="D194" s="136"/>
      <c r="E194" s="136"/>
      <c r="F194" s="103"/>
      <c r="G194" s="103"/>
      <c r="H194" s="103"/>
      <c r="I194" s="42" t="str">
        <f>IF(OR(ISBLANK(Exceptions[[#This Row],[Start]]),ISBLANK(Exceptions[[#This Row],[End]])),"",(Exceptions[[#This Row],[End]]-Exceptions[[#This Row],[Start]])*1440)</f>
        <v/>
      </c>
      <c r="J194" s="42" t="str">
        <f>IF(ISBLANK(Exceptions[[#This Row],[Date]]),"",IF(Exceptions[[#This Row],[Activity]]="Instruction",Exceptions[[#This Row],[Elapsed]],0))</f>
        <v/>
      </c>
      <c r="K194" s="42" t="str">
        <f>IF(ISBLANK(Exceptions[[#This Row],[Activity]]),"",IF(_xlfn.XLOOKUP(Exceptions[[#This Row],[Activity]],Types_of_Activity[Type of Activity],Types_of_Activity[Classification])=2,Exceptions[[#This Row],[Elapsed]],0))</f>
        <v/>
      </c>
    </row>
    <row r="195" spans="2:11" x14ac:dyDescent="0.3">
      <c r="B195" t="str">
        <f>TEXT(Exceptions[[#This Row],[Date]],"MMMM")</f>
        <v>January</v>
      </c>
      <c r="C195" s="146"/>
      <c r="D195" s="136"/>
      <c r="E195" s="136"/>
      <c r="F195" s="103"/>
      <c r="G195" s="103"/>
      <c r="H195" s="103"/>
      <c r="I195" s="42" t="str">
        <f>IF(OR(ISBLANK(Exceptions[[#This Row],[Start]]),ISBLANK(Exceptions[[#This Row],[End]])),"",(Exceptions[[#This Row],[End]]-Exceptions[[#This Row],[Start]])*1440)</f>
        <v/>
      </c>
      <c r="J195" s="42" t="str">
        <f>IF(ISBLANK(Exceptions[[#This Row],[Date]]),"",IF(Exceptions[[#This Row],[Activity]]="Instruction",Exceptions[[#This Row],[Elapsed]],0))</f>
        <v/>
      </c>
      <c r="K195" s="42" t="str">
        <f>IF(ISBLANK(Exceptions[[#This Row],[Activity]]),"",IF(_xlfn.XLOOKUP(Exceptions[[#This Row],[Activity]],Types_of_Activity[Type of Activity],Types_of_Activity[Classification])=2,Exceptions[[#This Row],[Elapsed]],0))</f>
        <v/>
      </c>
    </row>
    <row r="196" spans="2:11" x14ac:dyDescent="0.3">
      <c r="B196" t="str">
        <f>TEXT(Exceptions[[#This Row],[Date]],"MMMM")</f>
        <v>January</v>
      </c>
      <c r="C196" s="146"/>
      <c r="D196" s="136"/>
      <c r="E196" s="136"/>
      <c r="F196" s="103"/>
      <c r="G196" s="103"/>
      <c r="H196" s="103"/>
      <c r="I196" s="42" t="str">
        <f>IF(OR(ISBLANK(Exceptions[[#This Row],[Start]]),ISBLANK(Exceptions[[#This Row],[End]])),"",(Exceptions[[#This Row],[End]]-Exceptions[[#This Row],[Start]])*1440)</f>
        <v/>
      </c>
      <c r="J196" s="42" t="str">
        <f>IF(ISBLANK(Exceptions[[#This Row],[Date]]),"",IF(Exceptions[[#This Row],[Activity]]="Instruction",Exceptions[[#This Row],[Elapsed]],0))</f>
        <v/>
      </c>
      <c r="K196" s="42" t="str">
        <f>IF(ISBLANK(Exceptions[[#This Row],[Activity]]),"",IF(_xlfn.XLOOKUP(Exceptions[[#This Row],[Activity]],Types_of_Activity[Type of Activity],Types_of_Activity[Classification])=2,Exceptions[[#This Row],[Elapsed]],0))</f>
        <v/>
      </c>
    </row>
    <row r="197" spans="2:11" x14ac:dyDescent="0.3">
      <c r="B197" t="str">
        <f>TEXT(Exceptions[[#This Row],[Date]],"MMMM")</f>
        <v>January</v>
      </c>
      <c r="C197" s="146"/>
      <c r="D197" s="136"/>
      <c r="E197" s="136"/>
      <c r="F197" s="103"/>
      <c r="G197" s="103"/>
      <c r="H197" s="103"/>
      <c r="I197" s="42" t="str">
        <f>IF(OR(ISBLANK(Exceptions[[#This Row],[Start]]),ISBLANK(Exceptions[[#This Row],[End]])),"",(Exceptions[[#This Row],[End]]-Exceptions[[#This Row],[Start]])*1440)</f>
        <v/>
      </c>
      <c r="J197" s="42" t="str">
        <f>IF(ISBLANK(Exceptions[[#This Row],[Date]]),"",IF(Exceptions[[#This Row],[Activity]]="Instruction",Exceptions[[#This Row],[Elapsed]],0))</f>
        <v/>
      </c>
      <c r="K197" s="42" t="str">
        <f>IF(ISBLANK(Exceptions[[#This Row],[Activity]]),"",IF(_xlfn.XLOOKUP(Exceptions[[#This Row],[Activity]],Types_of_Activity[Type of Activity],Types_of_Activity[Classification])=2,Exceptions[[#This Row],[Elapsed]],0))</f>
        <v/>
      </c>
    </row>
    <row r="198" spans="2:11" x14ac:dyDescent="0.3">
      <c r="B198" t="str">
        <f>TEXT(Exceptions[[#This Row],[Date]],"MMMM")</f>
        <v>January</v>
      </c>
      <c r="C198" s="146"/>
      <c r="D198" s="136"/>
      <c r="E198" s="136"/>
      <c r="F198" s="103"/>
      <c r="G198" s="103"/>
      <c r="H198" s="103"/>
      <c r="I198" s="42" t="str">
        <f>IF(OR(ISBLANK(Exceptions[[#This Row],[Start]]),ISBLANK(Exceptions[[#This Row],[End]])),"",(Exceptions[[#This Row],[End]]-Exceptions[[#This Row],[Start]])*1440)</f>
        <v/>
      </c>
      <c r="J198" s="42" t="str">
        <f>IF(ISBLANK(Exceptions[[#This Row],[Date]]),"",IF(Exceptions[[#This Row],[Activity]]="Instruction",Exceptions[[#This Row],[Elapsed]],0))</f>
        <v/>
      </c>
      <c r="K198" s="42" t="str">
        <f>IF(ISBLANK(Exceptions[[#This Row],[Activity]]),"",IF(_xlfn.XLOOKUP(Exceptions[[#This Row],[Activity]],Types_of_Activity[Type of Activity],Types_of_Activity[Classification])=2,Exceptions[[#This Row],[Elapsed]],0))</f>
        <v/>
      </c>
    </row>
    <row r="199" spans="2:11" x14ac:dyDescent="0.3">
      <c r="B199" t="str">
        <f>TEXT(Exceptions[[#This Row],[Date]],"MMMM")</f>
        <v>January</v>
      </c>
      <c r="C199" s="146"/>
      <c r="D199" s="136"/>
      <c r="E199" s="136"/>
      <c r="F199" s="103"/>
      <c r="G199" s="103"/>
      <c r="H199" s="103"/>
      <c r="I199" s="42" t="str">
        <f>IF(OR(ISBLANK(Exceptions[[#This Row],[Start]]),ISBLANK(Exceptions[[#This Row],[End]])),"",(Exceptions[[#This Row],[End]]-Exceptions[[#This Row],[Start]])*1440)</f>
        <v/>
      </c>
      <c r="J199" s="42" t="str">
        <f>IF(ISBLANK(Exceptions[[#This Row],[Date]]),"",IF(Exceptions[[#This Row],[Activity]]="Instruction",Exceptions[[#This Row],[Elapsed]],0))</f>
        <v/>
      </c>
      <c r="K199" s="42" t="str">
        <f>IF(ISBLANK(Exceptions[[#This Row],[Activity]]),"",IF(_xlfn.XLOOKUP(Exceptions[[#This Row],[Activity]],Types_of_Activity[Type of Activity],Types_of_Activity[Classification])=2,Exceptions[[#This Row],[Elapsed]],0))</f>
        <v/>
      </c>
    </row>
    <row r="200" spans="2:11" x14ac:dyDescent="0.3">
      <c r="B200" t="str">
        <f>TEXT(Exceptions[[#This Row],[Date]],"MMMM")</f>
        <v>January</v>
      </c>
      <c r="C200" s="146"/>
      <c r="D200" s="136"/>
      <c r="E200" s="136"/>
      <c r="F200" s="103"/>
      <c r="G200" s="103"/>
      <c r="H200" s="103"/>
      <c r="I200" s="42" t="str">
        <f>IF(OR(ISBLANK(Exceptions[[#This Row],[Start]]),ISBLANK(Exceptions[[#This Row],[End]])),"",(Exceptions[[#This Row],[End]]-Exceptions[[#This Row],[Start]])*1440)</f>
        <v/>
      </c>
      <c r="J200" s="42" t="str">
        <f>IF(ISBLANK(Exceptions[[#This Row],[Date]]),"",IF(Exceptions[[#This Row],[Activity]]="Instruction",Exceptions[[#This Row],[Elapsed]],0))</f>
        <v/>
      </c>
      <c r="K200" s="42" t="str">
        <f>IF(ISBLANK(Exceptions[[#This Row],[Activity]]),"",IF(_xlfn.XLOOKUP(Exceptions[[#This Row],[Activity]],Types_of_Activity[Type of Activity],Types_of_Activity[Classification])=2,Exceptions[[#This Row],[Elapsed]],0))</f>
        <v/>
      </c>
    </row>
    <row r="201" spans="2:11" x14ac:dyDescent="0.3">
      <c r="B201" t="str">
        <f>TEXT(Exceptions[[#This Row],[Date]],"MMMM")</f>
        <v>January</v>
      </c>
      <c r="C201" s="146"/>
      <c r="D201" s="136"/>
      <c r="E201" s="136"/>
      <c r="F201" s="103"/>
      <c r="G201" s="103"/>
      <c r="H201" s="103"/>
      <c r="I201" s="42" t="str">
        <f>IF(OR(ISBLANK(Exceptions[[#This Row],[Start]]),ISBLANK(Exceptions[[#This Row],[End]])),"",(Exceptions[[#This Row],[End]]-Exceptions[[#This Row],[Start]])*1440)</f>
        <v/>
      </c>
      <c r="J201" s="42" t="str">
        <f>IF(ISBLANK(Exceptions[[#This Row],[Date]]),"",IF(Exceptions[[#This Row],[Activity]]="Instruction",Exceptions[[#This Row],[Elapsed]],0))</f>
        <v/>
      </c>
      <c r="K201" s="42" t="str">
        <f>IF(ISBLANK(Exceptions[[#This Row],[Activity]]),"",IF(_xlfn.XLOOKUP(Exceptions[[#This Row],[Activity]],Types_of_Activity[Type of Activity],Types_of_Activity[Classification])=2,Exceptions[[#This Row],[Elapsed]],0))</f>
        <v/>
      </c>
    </row>
    <row r="202" spans="2:11" x14ac:dyDescent="0.3">
      <c r="B202" t="str">
        <f>TEXT(Exceptions[[#This Row],[Date]],"MMMM")</f>
        <v>January</v>
      </c>
      <c r="C202" s="146"/>
      <c r="D202" s="136"/>
      <c r="E202" s="136"/>
      <c r="F202" s="103"/>
      <c r="G202" s="103"/>
      <c r="H202" s="103"/>
      <c r="I202" s="42" t="str">
        <f>IF(OR(ISBLANK(Exceptions[[#This Row],[Start]]),ISBLANK(Exceptions[[#This Row],[End]])),"",(Exceptions[[#This Row],[End]]-Exceptions[[#This Row],[Start]])*1440)</f>
        <v/>
      </c>
      <c r="J202" s="42" t="str">
        <f>IF(ISBLANK(Exceptions[[#This Row],[Date]]),"",IF(Exceptions[[#This Row],[Activity]]="Instruction",Exceptions[[#This Row],[Elapsed]],0))</f>
        <v/>
      </c>
      <c r="K202" s="42" t="str">
        <f>IF(ISBLANK(Exceptions[[#This Row],[Activity]]),"",IF(_xlfn.XLOOKUP(Exceptions[[#This Row],[Activity]],Types_of_Activity[Type of Activity],Types_of_Activity[Classification])=2,Exceptions[[#This Row],[Elapsed]],0))</f>
        <v/>
      </c>
    </row>
    <row r="203" spans="2:11" x14ac:dyDescent="0.3">
      <c r="B203" t="str">
        <f>TEXT(Exceptions[[#This Row],[Date]],"MMMM")</f>
        <v>January</v>
      </c>
      <c r="C203" s="146"/>
      <c r="D203" s="136"/>
      <c r="E203" s="136"/>
      <c r="F203" s="103"/>
      <c r="G203" s="103"/>
      <c r="H203" s="103"/>
      <c r="I203" s="42" t="str">
        <f>IF(OR(ISBLANK(Exceptions[[#This Row],[Start]]),ISBLANK(Exceptions[[#This Row],[End]])),"",(Exceptions[[#This Row],[End]]-Exceptions[[#This Row],[Start]])*1440)</f>
        <v/>
      </c>
      <c r="J203" s="42" t="str">
        <f>IF(ISBLANK(Exceptions[[#This Row],[Date]]),"",IF(Exceptions[[#This Row],[Activity]]="Instruction",Exceptions[[#This Row],[Elapsed]],0))</f>
        <v/>
      </c>
      <c r="K203" s="42" t="str">
        <f>IF(ISBLANK(Exceptions[[#This Row],[Activity]]),"",IF(_xlfn.XLOOKUP(Exceptions[[#This Row],[Activity]],Types_of_Activity[Type of Activity],Types_of_Activity[Classification])=2,Exceptions[[#This Row],[Elapsed]],0))</f>
        <v/>
      </c>
    </row>
    <row r="204" spans="2:11" x14ac:dyDescent="0.3">
      <c r="B204" t="str">
        <f>TEXT(Exceptions[[#This Row],[Date]],"MMMM")</f>
        <v>January</v>
      </c>
      <c r="C204" s="146"/>
      <c r="D204" s="136"/>
      <c r="E204" s="136"/>
      <c r="F204" s="103"/>
      <c r="G204" s="103"/>
      <c r="H204" s="103"/>
      <c r="I204" s="42" t="str">
        <f>IF(OR(ISBLANK(Exceptions[[#This Row],[Start]]),ISBLANK(Exceptions[[#This Row],[End]])),"",(Exceptions[[#This Row],[End]]-Exceptions[[#This Row],[Start]])*1440)</f>
        <v/>
      </c>
      <c r="J204" s="42" t="str">
        <f>IF(ISBLANK(Exceptions[[#This Row],[Date]]),"",IF(Exceptions[[#This Row],[Activity]]="Instruction",Exceptions[[#This Row],[Elapsed]],0))</f>
        <v/>
      </c>
      <c r="K204" s="42" t="str">
        <f>IF(ISBLANK(Exceptions[[#This Row],[Activity]]),"",IF(_xlfn.XLOOKUP(Exceptions[[#This Row],[Activity]],Types_of_Activity[Type of Activity],Types_of_Activity[Classification])=2,Exceptions[[#This Row],[Elapsed]],0))</f>
        <v/>
      </c>
    </row>
    <row r="205" spans="2:11" x14ac:dyDescent="0.3">
      <c r="B205" t="str">
        <f>TEXT(Exceptions[[#This Row],[Date]],"MMMM")</f>
        <v>January</v>
      </c>
      <c r="C205" s="146"/>
      <c r="D205" s="136"/>
      <c r="E205" s="136"/>
      <c r="F205" s="103"/>
      <c r="G205" s="103"/>
      <c r="H205" s="103"/>
      <c r="I205" s="42" t="str">
        <f>IF(OR(ISBLANK(Exceptions[[#This Row],[Start]]),ISBLANK(Exceptions[[#This Row],[End]])),"",(Exceptions[[#This Row],[End]]-Exceptions[[#This Row],[Start]])*1440)</f>
        <v/>
      </c>
      <c r="J205" s="42" t="str">
        <f>IF(ISBLANK(Exceptions[[#This Row],[Date]]),"",IF(Exceptions[[#This Row],[Activity]]="Instruction",Exceptions[[#This Row],[Elapsed]],0))</f>
        <v/>
      </c>
      <c r="K205" s="42" t="str">
        <f>IF(ISBLANK(Exceptions[[#This Row],[Activity]]),"",IF(_xlfn.XLOOKUP(Exceptions[[#This Row],[Activity]],Types_of_Activity[Type of Activity],Types_of_Activity[Classification])=2,Exceptions[[#This Row],[Elapsed]],0))</f>
        <v/>
      </c>
    </row>
    <row r="206" spans="2:11" x14ac:dyDescent="0.3">
      <c r="B206" t="str">
        <f>TEXT(Exceptions[[#This Row],[Date]],"MMMM")</f>
        <v>January</v>
      </c>
      <c r="C206" s="146"/>
      <c r="D206" s="136"/>
      <c r="E206" s="136"/>
      <c r="F206" s="103"/>
      <c r="G206" s="103"/>
      <c r="H206" s="103"/>
      <c r="I206" s="42" t="str">
        <f>IF(OR(ISBLANK(Exceptions[[#This Row],[Start]]),ISBLANK(Exceptions[[#This Row],[End]])),"",(Exceptions[[#This Row],[End]]-Exceptions[[#This Row],[Start]])*1440)</f>
        <v/>
      </c>
      <c r="J206" s="42" t="str">
        <f>IF(ISBLANK(Exceptions[[#This Row],[Date]]),"",IF(Exceptions[[#This Row],[Activity]]="Instruction",Exceptions[[#This Row],[Elapsed]],0))</f>
        <v/>
      </c>
      <c r="K206" s="42" t="str">
        <f>IF(ISBLANK(Exceptions[[#This Row],[Activity]]),"",IF(_xlfn.XLOOKUP(Exceptions[[#This Row],[Activity]],Types_of_Activity[Type of Activity],Types_of_Activity[Classification])=2,Exceptions[[#This Row],[Elapsed]],0))</f>
        <v/>
      </c>
    </row>
    <row r="207" spans="2:11" x14ac:dyDescent="0.3">
      <c r="B207" t="str">
        <f>TEXT(Exceptions[[#This Row],[Date]],"MMMM")</f>
        <v>January</v>
      </c>
      <c r="C207" s="146"/>
      <c r="D207" s="136"/>
      <c r="E207" s="136"/>
      <c r="F207" s="103"/>
      <c r="G207" s="103"/>
      <c r="H207" s="103"/>
      <c r="I207" s="42" t="str">
        <f>IF(OR(ISBLANK(Exceptions[[#This Row],[Start]]),ISBLANK(Exceptions[[#This Row],[End]])),"",(Exceptions[[#This Row],[End]]-Exceptions[[#This Row],[Start]])*1440)</f>
        <v/>
      </c>
      <c r="J207" s="42" t="str">
        <f>IF(ISBLANK(Exceptions[[#This Row],[Date]]),"",IF(Exceptions[[#This Row],[Activity]]="Instruction",Exceptions[[#This Row],[Elapsed]],0))</f>
        <v/>
      </c>
      <c r="K207" s="42" t="str">
        <f>IF(ISBLANK(Exceptions[[#This Row],[Activity]]),"",IF(_xlfn.XLOOKUP(Exceptions[[#This Row],[Activity]],Types_of_Activity[Type of Activity],Types_of_Activity[Classification])=2,Exceptions[[#This Row],[Elapsed]],0))</f>
        <v/>
      </c>
    </row>
    <row r="208" spans="2:11" x14ac:dyDescent="0.3">
      <c r="B208" t="str">
        <f>TEXT(Exceptions[[#This Row],[Date]],"MMMM")</f>
        <v>January</v>
      </c>
      <c r="C208" s="146"/>
      <c r="D208" s="136"/>
      <c r="E208" s="136"/>
      <c r="F208" s="103"/>
      <c r="G208" s="103"/>
      <c r="H208" s="103"/>
      <c r="I208" s="42" t="str">
        <f>IF(OR(ISBLANK(Exceptions[[#This Row],[Start]]),ISBLANK(Exceptions[[#This Row],[End]])),"",(Exceptions[[#This Row],[End]]-Exceptions[[#This Row],[Start]])*1440)</f>
        <v/>
      </c>
      <c r="J208" s="42" t="str">
        <f>IF(ISBLANK(Exceptions[[#This Row],[Date]]),"",IF(Exceptions[[#This Row],[Activity]]="Instruction",Exceptions[[#This Row],[Elapsed]],0))</f>
        <v/>
      </c>
      <c r="K208" s="42" t="str">
        <f>IF(ISBLANK(Exceptions[[#This Row],[Activity]]),"",IF(_xlfn.XLOOKUP(Exceptions[[#This Row],[Activity]],Types_of_Activity[Type of Activity],Types_of_Activity[Classification])=2,Exceptions[[#This Row],[Elapsed]],0))</f>
        <v/>
      </c>
    </row>
    <row r="209" spans="2:11" x14ac:dyDescent="0.3">
      <c r="B209" t="str">
        <f>TEXT(Exceptions[[#This Row],[Date]],"MMMM")</f>
        <v>January</v>
      </c>
      <c r="C209" s="146"/>
      <c r="D209" s="136"/>
      <c r="E209" s="136"/>
      <c r="F209" s="103"/>
      <c r="G209" s="103"/>
      <c r="H209" s="103"/>
      <c r="I209" s="42" t="str">
        <f>IF(OR(ISBLANK(Exceptions[[#This Row],[Start]]),ISBLANK(Exceptions[[#This Row],[End]])),"",(Exceptions[[#This Row],[End]]-Exceptions[[#This Row],[Start]])*1440)</f>
        <v/>
      </c>
      <c r="J209" s="42" t="str">
        <f>IF(ISBLANK(Exceptions[[#This Row],[Date]]),"",IF(Exceptions[[#This Row],[Activity]]="Instruction",Exceptions[[#This Row],[Elapsed]],0))</f>
        <v/>
      </c>
      <c r="K209" s="42" t="str">
        <f>IF(ISBLANK(Exceptions[[#This Row],[Activity]]),"",IF(_xlfn.XLOOKUP(Exceptions[[#This Row],[Activity]],Types_of_Activity[Type of Activity],Types_of_Activity[Classification])=2,Exceptions[[#This Row],[Elapsed]],0))</f>
        <v/>
      </c>
    </row>
    <row r="210" spans="2:11" x14ac:dyDescent="0.3">
      <c r="B210" t="str">
        <f>TEXT(Exceptions[[#This Row],[Date]],"MMMM")</f>
        <v>January</v>
      </c>
      <c r="C210" s="146"/>
      <c r="D210" s="136"/>
      <c r="E210" s="136"/>
      <c r="F210" s="103"/>
      <c r="G210" s="103"/>
      <c r="H210" s="103"/>
      <c r="I210" s="42" t="str">
        <f>IF(OR(ISBLANK(Exceptions[[#This Row],[Start]]),ISBLANK(Exceptions[[#This Row],[End]])),"",(Exceptions[[#This Row],[End]]-Exceptions[[#This Row],[Start]])*1440)</f>
        <v/>
      </c>
      <c r="J210" s="42" t="str">
        <f>IF(ISBLANK(Exceptions[[#This Row],[Date]]),"",IF(Exceptions[[#This Row],[Activity]]="Instruction",Exceptions[[#This Row],[Elapsed]],0))</f>
        <v/>
      </c>
      <c r="K210" s="42" t="str">
        <f>IF(ISBLANK(Exceptions[[#This Row],[Activity]]),"",IF(_xlfn.XLOOKUP(Exceptions[[#This Row],[Activity]],Types_of_Activity[Type of Activity],Types_of_Activity[Classification])=2,Exceptions[[#This Row],[Elapsed]],0))</f>
        <v/>
      </c>
    </row>
    <row r="211" spans="2:11" x14ac:dyDescent="0.3">
      <c r="B211" t="str">
        <f>TEXT(Exceptions[[#This Row],[Date]],"MMMM")</f>
        <v>January</v>
      </c>
      <c r="C211" s="146"/>
      <c r="D211" s="136"/>
      <c r="E211" s="136"/>
      <c r="F211" s="103"/>
      <c r="G211" s="103"/>
      <c r="H211" s="103"/>
      <c r="I211" s="42" t="str">
        <f>IF(OR(ISBLANK(Exceptions[[#This Row],[Start]]),ISBLANK(Exceptions[[#This Row],[End]])),"",(Exceptions[[#This Row],[End]]-Exceptions[[#This Row],[Start]])*1440)</f>
        <v/>
      </c>
      <c r="J211" s="42" t="str">
        <f>IF(ISBLANK(Exceptions[[#This Row],[Date]]),"",IF(Exceptions[[#This Row],[Activity]]="Instruction",Exceptions[[#This Row],[Elapsed]],0))</f>
        <v/>
      </c>
      <c r="K211" s="42" t="str">
        <f>IF(ISBLANK(Exceptions[[#This Row],[Activity]]),"",IF(_xlfn.XLOOKUP(Exceptions[[#This Row],[Activity]],Types_of_Activity[Type of Activity],Types_of_Activity[Classification])=2,Exceptions[[#This Row],[Elapsed]],0))</f>
        <v/>
      </c>
    </row>
    <row r="212" spans="2:11" x14ac:dyDescent="0.3">
      <c r="B212" t="str">
        <f>TEXT(Exceptions[[#This Row],[Date]],"MMMM")</f>
        <v>January</v>
      </c>
      <c r="C212" s="146"/>
      <c r="D212" s="136"/>
      <c r="E212" s="136"/>
      <c r="F212" s="103"/>
      <c r="G212" s="103"/>
      <c r="H212" s="103"/>
      <c r="I212" s="42" t="str">
        <f>IF(OR(ISBLANK(Exceptions[[#This Row],[Start]]),ISBLANK(Exceptions[[#This Row],[End]])),"",(Exceptions[[#This Row],[End]]-Exceptions[[#This Row],[Start]])*1440)</f>
        <v/>
      </c>
      <c r="J212" s="42" t="str">
        <f>IF(ISBLANK(Exceptions[[#This Row],[Date]]),"",IF(Exceptions[[#This Row],[Activity]]="Instruction",Exceptions[[#This Row],[Elapsed]],0))</f>
        <v/>
      </c>
      <c r="K212" s="42" t="str">
        <f>IF(ISBLANK(Exceptions[[#This Row],[Activity]]),"",IF(_xlfn.XLOOKUP(Exceptions[[#This Row],[Activity]],Types_of_Activity[Type of Activity],Types_of_Activity[Classification])=2,Exceptions[[#This Row],[Elapsed]],0))</f>
        <v/>
      </c>
    </row>
    <row r="213" spans="2:11" x14ac:dyDescent="0.3">
      <c r="B213" t="str">
        <f>TEXT(Exceptions[[#This Row],[Date]],"MMMM")</f>
        <v>January</v>
      </c>
      <c r="C213" s="146"/>
      <c r="D213" s="136"/>
      <c r="E213" s="136"/>
      <c r="F213" s="103"/>
      <c r="G213" s="103"/>
      <c r="H213" s="103"/>
      <c r="I213" s="42" t="str">
        <f>IF(OR(ISBLANK(Exceptions[[#This Row],[Start]]),ISBLANK(Exceptions[[#This Row],[End]])),"",(Exceptions[[#This Row],[End]]-Exceptions[[#This Row],[Start]])*1440)</f>
        <v/>
      </c>
      <c r="J213" s="42" t="str">
        <f>IF(ISBLANK(Exceptions[[#This Row],[Date]]),"",IF(Exceptions[[#This Row],[Activity]]="Instruction",Exceptions[[#This Row],[Elapsed]],0))</f>
        <v/>
      </c>
      <c r="K213" s="42" t="str">
        <f>IF(ISBLANK(Exceptions[[#This Row],[Activity]]),"",IF(_xlfn.XLOOKUP(Exceptions[[#This Row],[Activity]],Types_of_Activity[Type of Activity],Types_of_Activity[Classification])=2,Exceptions[[#This Row],[Elapsed]],0))</f>
        <v/>
      </c>
    </row>
    <row r="214" spans="2:11" x14ac:dyDescent="0.3">
      <c r="B214" t="str">
        <f>TEXT(Exceptions[[#This Row],[Date]],"MMMM")</f>
        <v>January</v>
      </c>
      <c r="C214" s="146"/>
      <c r="D214" s="136"/>
      <c r="E214" s="136"/>
      <c r="F214" s="103"/>
      <c r="G214" s="103"/>
      <c r="H214" s="103"/>
      <c r="I214" s="42" t="str">
        <f>IF(OR(ISBLANK(Exceptions[[#This Row],[Start]]),ISBLANK(Exceptions[[#This Row],[End]])),"",(Exceptions[[#This Row],[End]]-Exceptions[[#This Row],[Start]])*1440)</f>
        <v/>
      </c>
      <c r="J214" s="42" t="str">
        <f>IF(ISBLANK(Exceptions[[#This Row],[Date]]),"",IF(Exceptions[[#This Row],[Activity]]="Instruction",Exceptions[[#This Row],[Elapsed]],0))</f>
        <v/>
      </c>
      <c r="K214" s="42" t="str">
        <f>IF(ISBLANK(Exceptions[[#This Row],[Activity]]),"",IF(_xlfn.XLOOKUP(Exceptions[[#This Row],[Activity]],Types_of_Activity[Type of Activity],Types_of_Activity[Classification])=2,Exceptions[[#This Row],[Elapsed]],0))</f>
        <v/>
      </c>
    </row>
    <row r="215" spans="2:11" x14ac:dyDescent="0.3">
      <c r="B215" t="str">
        <f>TEXT(Exceptions[[#This Row],[Date]],"MMMM")</f>
        <v>January</v>
      </c>
      <c r="C215" s="146"/>
      <c r="D215" s="136"/>
      <c r="E215" s="136"/>
      <c r="F215" s="103"/>
      <c r="G215" s="103"/>
      <c r="H215" s="103"/>
      <c r="I215" s="42" t="str">
        <f>IF(OR(ISBLANK(Exceptions[[#This Row],[Start]]),ISBLANK(Exceptions[[#This Row],[End]])),"",(Exceptions[[#This Row],[End]]-Exceptions[[#This Row],[Start]])*1440)</f>
        <v/>
      </c>
      <c r="J215" s="42" t="str">
        <f>IF(ISBLANK(Exceptions[[#This Row],[Date]]),"",IF(Exceptions[[#This Row],[Activity]]="Instruction",Exceptions[[#This Row],[Elapsed]],0))</f>
        <v/>
      </c>
      <c r="K215" s="42" t="str">
        <f>IF(ISBLANK(Exceptions[[#This Row],[Activity]]),"",IF(_xlfn.XLOOKUP(Exceptions[[#This Row],[Activity]],Types_of_Activity[Type of Activity],Types_of_Activity[Classification])=2,Exceptions[[#This Row],[Elapsed]],0))</f>
        <v/>
      </c>
    </row>
    <row r="216" spans="2:11" x14ac:dyDescent="0.3">
      <c r="B216" t="str">
        <f>TEXT(Exceptions[[#This Row],[Date]],"MMMM")</f>
        <v>January</v>
      </c>
      <c r="C216" s="146"/>
      <c r="D216" s="136"/>
      <c r="E216" s="136"/>
      <c r="F216" s="103"/>
      <c r="G216" s="103"/>
      <c r="H216" s="103"/>
      <c r="I216" s="42" t="str">
        <f>IF(OR(ISBLANK(Exceptions[[#This Row],[Start]]),ISBLANK(Exceptions[[#This Row],[End]])),"",(Exceptions[[#This Row],[End]]-Exceptions[[#This Row],[Start]])*1440)</f>
        <v/>
      </c>
      <c r="J216" s="42" t="str">
        <f>IF(ISBLANK(Exceptions[[#This Row],[Date]]),"",IF(Exceptions[[#This Row],[Activity]]="Instruction",Exceptions[[#This Row],[Elapsed]],0))</f>
        <v/>
      </c>
      <c r="K216" s="42" t="str">
        <f>IF(ISBLANK(Exceptions[[#This Row],[Activity]]),"",IF(_xlfn.XLOOKUP(Exceptions[[#This Row],[Activity]],Types_of_Activity[Type of Activity],Types_of_Activity[Classification])=2,Exceptions[[#This Row],[Elapsed]],0))</f>
        <v/>
      </c>
    </row>
    <row r="217" spans="2:11" x14ac:dyDescent="0.3">
      <c r="B217" t="str">
        <f>TEXT(Exceptions[[#This Row],[Date]],"MMMM")</f>
        <v>January</v>
      </c>
      <c r="C217" s="146"/>
      <c r="D217" s="136"/>
      <c r="E217" s="136"/>
      <c r="F217" s="103"/>
      <c r="G217" s="103"/>
      <c r="H217" s="103"/>
      <c r="I217" s="42" t="str">
        <f>IF(OR(ISBLANK(Exceptions[[#This Row],[Start]]),ISBLANK(Exceptions[[#This Row],[End]])),"",(Exceptions[[#This Row],[End]]-Exceptions[[#This Row],[Start]])*1440)</f>
        <v/>
      </c>
      <c r="J217" s="42" t="str">
        <f>IF(ISBLANK(Exceptions[[#This Row],[Date]]),"",IF(Exceptions[[#This Row],[Activity]]="Instruction",Exceptions[[#This Row],[Elapsed]],0))</f>
        <v/>
      </c>
      <c r="K217" s="42" t="str">
        <f>IF(ISBLANK(Exceptions[[#This Row],[Activity]]),"",IF(_xlfn.XLOOKUP(Exceptions[[#This Row],[Activity]],Types_of_Activity[Type of Activity],Types_of_Activity[Classification])=2,Exceptions[[#This Row],[Elapsed]],0))</f>
        <v/>
      </c>
    </row>
    <row r="218" spans="2:11" x14ac:dyDescent="0.3">
      <c r="B218" t="str">
        <f>TEXT(Exceptions[[#This Row],[Date]],"MMMM")</f>
        <v>January</v>
      </c>
      <c r="C218" s="146"/>
      <c r="D218" s="136"/>
      <c r="E218" s="136"/>
      <c r="F218" s="103"/>
      <c r="G218" s="103"/>
      <c r="H218" s="103"/>
      <c r="I218" s="42" t="str">
        <f>IF(OR(ISBLANK(Exceptions[[#This Row],[Start]]),ISBLANK(Exceptions[[#This Row],[End]])),"",(Exceptions[[#This Row],[End]]-Exceptions[[#This Row],[Start]])*1440)</f>
        <v/>
      </c>
      <c r="J218" s="42" t="str">
        <f>IF(ISBLANK(Exceptions[[#This Row],[Date]]),"",IF(Exceptions[[#This Row],[Activity]]="Instruction",Exceptions[[#This Row],[Elapsed]],0))</f>
        <v/>
      </c>
      <c r="K218" s="42" t="str">
        <f>IF(ISBLANK(Exceptions[[#This Row],[Activity]]),"",IF(_xlfn.XLOOKUP(Exceptions[[#This Row],[Activity]],Types_of_Activity[Type of Activity],Types_of_Activity[Classification])=2,Exceptions[[#This Row],[Elapsed]],0))</f>
        <v/>
      </c>
    </row>
    <row r="219" spans="2:11" x14ac:dyDescent="0.3">
      <c r="B219" t="str">
        <f>TEXT(Exceptions[[#This Row],[Date]],"MMMM")</f>
        <v>January</v>
      </c>
      <c r="C219" s="146"/>
      <c r="D219" s="136"/>
      <c r="E219" s="136"/>
      <c r="F219" s="103"/>
      <c r="G219" s="103"/>
      <c r="H219" s="103"/>
      <c r="I219" s="42" t="str">
        <f>IF(OR(ISBLANK(Exceptions[[#This Row],[Start]]),ISBLANK(Exceptions[[#This Row],[End]])),"",(Exceptions[[#This Row],[End]]-Exceptions[[#This Row],[Start]])*1440)</f>
        <v/>
      </c>
      <c r="J219" s="42" t="str">
        <f>IF(ISBLANK(Exceptions[[#This Row],[Date]]),"",IF(Exceptions[[#This Row],[Activity]]="Instruction",Exceptions[[#This Row],[Elapsed]],0))</f>
        <v/>
      </c>
      <c r="K219" s="42" t="str">
        <f>IF(ISBLANK(Exceptions[[#This Row],[Activity]]),"",IF(_xlfn.XLOOKUP(Exceptions[[#This Row],[Activity]],Types_of_Activity[Type of Activity],Types_of_Activity[Classification])=2,Exceptions[[#This Row],[Elapsed]],0))</f>
        <v/>
      </c>
    </row>
    <row r="220" spans="2:11" x14ac:dyDescent="0.3">
      <c r="B220" t="str">
        <f>TEXT(Exceptions[[#This Row],[Date]],"MMMM")</f>
        <v>January</v>
      </c>
      <c r="C220" s="146"/>
      <c r="D220" s="136"/>
      <c r="E220" s="136"/>
      <c r="F220" s="103"/>
      <c r="G220" s="103"/>
      <c r="H220" s="103"/>
      <c r="I220" s="42" t="str">
        <f>IF(OR(ISBLANK(Exceptions[[#This Row],[Start]]),ISBLANK(Exceptions[[#This Row],[End]])),"",(Exceptions[[#This Row],[End]]-Exceptions[[#This Row],[Start]])*1440)</f>
        <v/>
      </c>
      <c r="J220" s="42" t="str">
        <f>IF(ISBLANK(Exceptions[[#This Row],[Date]]),"",IF(Exceptions[[#This Row],[Activity]]="Instruction",Exceptions[[#This Row],[Elapsed]],0))</f>
        <v/>
      </c>
      <c r="K220" s="42" t="str">
        <f>IF(ISBLANK(Exceptions[[#This Row],[Activity]]),"",IF(_xlfn.XLOOKUP(Exceptions[[#This Row],[Activity]],Types_of_Activity[Type of Activity],Types_of_Activity[Classification])=2,Exceptions[[#This Row],[Elapsed]],0))</f>
        <v/>
      </c>
    </row>
    <row r="221" spans="2:11" x14ac:dyDescent="0.3">
      <c r="B221" t="str">
        <f>TEXT(Exceptions[[#This Row],[Date]],"MMMM")</f>
        <v>January</v>
      </c>
      <c r="C221" s="146"/>
      <c r="D221" s="136"/>
      <c r="E221" s="136"/>
      <c r="F221" s="103"/>
      <c r="G221" s="103"/>
      <c r="H221" s="103"/>
      <c r="I221" s="42" t="str">
        <f>IF(OR(ISBLANK(Exceptions[[#This Row],[Start]]),ISBLANK(Exceptions[[#This Row],[End]])),"",(Exceptions[[#This Row],[End]]-Exceptions[[#This Row],[Start]])*1440)</f>
        <v/>
      </c>
      <c r="J221" s="42" t="str">
        <f>IF(ISBLANK(Exceptions[[#This Row],[Date]]),"",IF(Exceptions[[#This Row],[Activity]]="Instruction",Exceptions[[#This Row],[Elapsed]],0))</f>
        <v/>
      </c>
      <c r="K221" s="42" t="str">
        <f>IF(ISBLANK(Exceptions[[#This Row],[Activity]]),"",IF(_xlfn.XLOOKUP(Exceptions[[#This Row],[Activity]],Types_of_Activity[Type of Activity],Types_of_Activity[Classification])=2,Exceptions[[#This Row],[Elapsed]],0))</f>
        <v/>
      </c>
    </row>
    <row r="222" spans="2:11" x14ac:dyDescent="0.3">
      <c r="B222" t="str">
        <f>TEXT(Exceptions[[#This Row],[Date]],"MMMM")</f>
        <v>January</v>
      </c>
      <c r="C222" s="146"/>
      <c r="D222" s="136"/>
      <c r="E222" s="136"/>
      <c r="F222" s="103"/>
      <c r="G222" s="103"/>
      <c r="H222" s="103"/>
      <c r="I222" s="42" t="str">
        <f>IF(OR(ISBLANK(Exceptions[[#This Row],[Start]]),ISBLANK(Exceptions[[#This Row],[End]])),"",(Exceptions[[#This Row],[End]]-Exceptions[[#This Row],[Start]])*1440)</f>
        <v/>
      </c>
      <c r="J222" s="42" t="str">
        <f>IF(ISBLANK(Exceptions[[#This Row],[Date]]),"",IF(Exceptions[[#This Row],[Activity]]="Instruction",Exceptions[[#This Row],[Elapsed]],0))</f>
        <v/>
      </c>
      <c r="K222" s="42" t="str">
        <f>IF(ISBLANK(Exceptions[[#This Row],[Activity]]),"",IF(_xlfn.XLOOKUP(Exceptions[[#This Row],[Activity]],Types_of_Activity[Type of Activity],Types_of_Activity[Classification])=2,Exceptions[[#This Row],[Elapsed]],0))</f>
        <v/>
      </c>
    </row>
    <row r="223" spans="2:11" x14ac:dyDescent="0.3">
      <c r="B223" t="str">
        <f>TEXT(Exceptions[[#This Row],[Date]],"MMMM")</f>
        <v>January</v>
      </c>
      <c r="C223" s="146"/>
      <c r="D223" s="136"/>
      <c r="E223" s="136"/>
      <c r="F223" s="103"/>
      <c r="G223" s="103"/>
      <c r="H223" s="103"/>
      <c r="I223" s="42" t="str">
        <f>IF(OR(ISBLANK(Exceptions[[#This Row],[Start]]),ISBLANK(Exceptions[[#This Row],[End]])),"",(Exceptions[[#This Row],[End]]-Exceptions[[#This Row],[Start]])*1440)</f>
        <v/>
      </c>
      <c r="J223" s="42" t="str">
        <f>IF(ISBLANK(Exceptions[[#This Row],[Date]]),"",IF(Exceptions[[#This Row],[Activity]]="Instruction",Exceptions[[#This Row],[Elapsed]],0))</f>
        <v/>
      </c>
      <c r="K223" s="42" t="str">
        <f>IF(ISBLANK(Exceptions[[#This Row],[Activity]]),"",IF(_xlfn.XLOOKUP(Exceptions[[#This Row],[Activity]],Types_of_Activity[Type of Activity],Types_of_Activity[Classification])=2,Exceptions[[#This Row],[Elapsed]],0))</f>
        <v/>
      </c>
    </row>
    <row r="224" spans="2:11" x14ac:dyDescent="0.3">
      <c r="B224" t="str">
        <f>TEXT(Exceptions[[#This Row],[Date]],"MMMM")</f>
        <v>January</v>
      </c>
      <c r="C224" s="146"/>
      <c r="D224" s="136"/>
      <c r="E224" s="136"/>
      <c r="F224" s="103"/>
      <c r="G224" s="103"/>
      <c r="H224" s="103"/>
      <c r="I224" s="42" t="str">
        <f>IF(OR(ISBLANK(Exceptions[[#This Row],[Start]]),ISBLANK(Exceptions[[#This Row],[End]])),"",(Exceptions[[#This Row],[End]]-Exceptions[[#This Row],[Start]])*1440)</f>
        <v/>
      </c>
      <c r="J224" s="42" t="str">
        <f>IF(ISBLANK(Exceptions[[#This Row],[Date]]),"",IF(Exceptions[[#This Row],[Activity]]="Instruction",Exceptions[[#This Row],[Elapsed]],0))</f>
        <v/>
      </c>
      <c r="K224" s="42" t="str">
        <f>IF(ISBLANK(Exceptions[[#This Row],[Activity]]),"",IF(_xlfn.XLOOKUP(Exceptions[[#This Row],[Activity]],Types_of_Activity[Type of Activity],Types_of_Activity[Classification])=2,Exceptions[[#This Row],[Elapsed]],0))</f>
        <v/>
      </c>
    </row>
    <row r="225" spans="2:11" x14ac:dyDescent="0.3">
      <c r="B225" t="str">
        <f>TEXT(Exceptions[[#This Row],[Date]],"MMMM")</f>
        <v>January</v>
      </c>
      <c r="C225" s="146"/>
      <c r="D225" s="136"/>
      <c r="E225" s="136"/>
      <c r="F225" s="103"/>
      <c r="G225" s="103"/>
      <c r="H225" s="103"/>
      <c r="I225" s="42" t="str">
        <f>IF(OR(ISBLANK(Exceptions[[#This Row],[Start]]),ISBLANK(Exceptions[[#This Row],[End]])),"",(Exceptions[[#This Row],[End]]-Exceptions[[#This Row],[Start]])*1440)</f>
        <v/>
      </c>
      <c r="J225" s="42" t="str">
        <f>IF(ISBLANK(Exceptions[[#This Row],[Date]]),"",IF(Exceptions[[#This Row],[Activity]]="Instruction",Exceptions[[#This Row],[Elapsed]],0))</f>
        <v/>
      </c>
      <c r="K225" s="42" t="str">
        <f>IF(ISBLANK(Exceptions[[#This Row],[Activity]]),"",IF(_xlfn.XLOOKUP(Exceptions[[#This Row],[Activity]],Types_of_Activity[Type of Activity],Types_of_Activity[Classification])=2,Exceptions[[#This Row],[Elapsed]],0))</f>
        <v/>
      </c>
    </row>
    <row r="226" spans="2:11" x14ac:dyDescent="0.3">
      <c r="B226" t="str">
        <f>TEXT(Exceptions[[#This Row],[Date]],"MMMM")</f>
        <v>January</v>
      </c>
      <c r="C226" s="146"/>
      <c r="D226" s="136"/>
      <c r="E226" s="136"/>
      <c r="F226" s="103"/>
      <c r="G226" s="103"/>
      <c r="H226" s="103"/>
      <c r="I226" s="42" t="str">
        <f>IF(OR(ISBLANK(Exceptions[[#This Row],[Start]]),ISBLANK(Exceptions[[#This Row],[End]])),"",(Exceptions[[#This Row],[End]]-Exceptions[[#This Row],[Start]])*1440)</f>
        <v/>
      </c>
      <c r="J226" s="42" t="str">
        <f>IF(ISBLANK(Exceptions[[#This Row],[Date]]),"",IF(Exceptions[[#This Row],[Activity]]="Instruction",Exceptions[[#This Row],[Elapsed]],0))</f>
        <v/>
      </c>
      <c r="K226" s="42" t="str">
        <f>IF(ISBLANK(Exceptions[[#This Row],[Activity]]),"",IF(_xlfn.XLOOKUP(Exceptions[[#This Row],[Activity]],Types_of_Activity[Type of Activity],Types_of_Activity[Classification])=2,Exceptions[[#This Row],[Elapsed]],0))</f>
        <v/>
      </c>
    </row>
    <row r="227" spans="2:11" x14ac:dyDescent="0.3">
      <c r="B227" t="str">
        <f>TEXT(Exceptions[[#This Row],[Date]],"MMMM")</f>
        <v>January</v>
      </c>
      <c r="C227" s="146"/>
      <c r="D227" s="136"/>
      <c r="E227" s="136"/>
      <c r="F227" s="103"/>
      <c r="G227" s="103"/>
      <c r="H227" s="103"/>
      <c r="I227" s="42" t="str">
        <f>IF(OR(ISBLANK(Exceptions[[#This Row],[Start]]),ISBLANK(Exceptions[[#This Row],[End]])),"",(Exceptions[[#This Row],[End]]-Exceptions[[#This Row],[Start]])*1440)</f>
        <v/>
      </c>
      <c r="J227" s="42" t="str">
        <f>IF(ISBLANK(Exceptions[[#This Row],[Date]]),"",IF(Exceptions[[#This Row],[Activity]]="Instruction",Exceptions[[#This Row],[Elapsed]],0))</f>
        <v/>
      </c>
      <c r="K227" s="42" t="str">
        <f>IF(ISBLANK(Exceptions[[#This Row],[Activity]]),"",IF(_xlfn.XLOOKUP(Exceptions[[#This Row],[Activity]],Types_of_Activity[Type of Activity],Types_of_Activity[Classification])=2,Exceptions[[#This Row],[Elapsed]],0))</f>
        <v/>
      </c>
    </row>
    <row r="228" spans="2:11" x14ac:dyDescent="0.3">
      <c r="B228" t="str">
        <f>TEXT(Exceptions[[#This Row],[Date]],"MMMM")</f>
        <v>January</v>
      </c>
      <c r="C228" s="146"/>
      <c r="D228" s="136"/>
      <c r="E228" s="136"/>
      <c r="F228" s="103"/>
      <c r="G228" s="103"/>
      <c r="H228" s="103"/>
      <c r="I228" s="42" t="str">
        <f>IF(OR(ISBLANK(Exceptions[[#This Row],[Start]]),ISBLANK(Exceptions[[#This Row],[End]])),"",(Exceptions[[#This Row],[End]]-Exceptions[[#This Row],[Start]])*1440)</f>
        <v/>
      </c>
      <c r="J228" s="42" t="str">
        <f>IF(ISBLANK(Exceptions[[#This Row],[Date]]),"",IF(Exceptions[[#This Row],[Activity]]="Instruction",Exceptions[[#This Row],[Elapsed]],0))</f>
        <v/>
      </c>
      <c r="K228" s="42" t="str">
        <f>IF(ISBLANK(Exceptions[[#This Row],[Activity]]),"",IF(_xlfn.XLOOKUP(Exceptions[[#This Row],[Activity]],Types_of_Activity[Type of Activity],Types_of_Activity[Classification])=2,Exceptions[[#This Row],[Elapsed]],0))</f>
        <v/>
      </c>
    </row>
    <row r="229" spans="2:11" x14ac:dyDescent="0.3">
      <c r="B229" t="str">
        <f>TEXT(Exceptions[[#This Row],[Date]],"MMMM")</f>
        <v>January</v>
      </c>
      <c r="C229" s="146"/>
      <c r="D229" s="136"/>
      <c r="E229" s="136"/>
      <c r="F229" s="103"/>
      <c r="G229" s="103"/>
      <c r="H229" s="103"/>
      <c r="I229" s="42" t="str">
        <f>IF(OR(ISBLANK(Exceptions[[#This Row],[Start]]),ISBLANK(Exceptions[[#This Row],[End]])),"",(Exceptions[[#This Row],[End]]-Exceptions[[#This Row],[Start]])*1440)</f>
        <v/>
      </c>
      <c r="J229" s="42" t="str">
        <f>IF(ISBLANK(Exceptions[[#This Row],[Date]]),"",IF(Exceptions[[#This Row],[Activity]]="Instruction",Exceptions[[#This Row],[Elapsed]],0))</f>
        <v/>
      </c>
      <c r="K229" s="42" t="str">
        <f>IF(ISBLANK(Exceptions[[#This Row],[Activity]]),"",IF(_xlfn.XLOOKUP(Exceptions[[#This Row],[Activity]],Types_of_Activity[Type of Activity],Types_of_Activity[Classification])=2,Exceptions[[#This Row],[Elapsed]],0))</f>
        <v/>
      </c>
    </row>
    <row r="230" spans="2:11" x14ac:dyDescent="0.3">
      <c r="B230" t="str">
        <f>TEXT(Exceptions[[#This Row],[Date]],"MMMM")</f>
        <v>January</v>
      </c>
      <c r="C230" s="146"/>
      <c r="D230" s="136"/>
      <c r="E230" s="136"/>
      <c r="F230" s="103"/>
      <c r="G230" s="103"/>
      <c r="H230" s="103"/>
      <c r="I230" s="42" t="str">
        <f>IF(OR(ISBLANK(Exceptions[[#This Row],[Start]]),ISBLANK(Exceptions[[#This Row],[End]])),"",(Exceptions[[#This Row],[End]]-Exceptions[[#This Row],[Start]])*1440)</f>
        <v/>
      </c>
      <c r="J230" s="42" t="str">
        <f>IF(ISBLANK(Exceptions[[#This Row],[Date]]),"",IF(Exceptions[[#This Row],[Activity]]="Instruction",Exceptions[[#This Row],[Elapsed]],0))</f>
        <v/>
      </c>
      <c r="K230" s="42" t="str">
        <f>IF(ISBLANK(Exceptions[[#This Row],[Activity]]),"",IF(_xlfn.XLOOKUP(Exceptions[[#This Row],[Activity]],Types_of_Activity[Type of Activity],Types_of_Activity[Classification])=2,Exceptions[[#This Row],[Elapsed]],0))</f>
        <v/>
      </c>
    </row>
    <row r="231" spans="2:11" x14ac:dyDescent="0.3">
      <c r="B231" t="str">
        <f>TEXT(Exceptions[[#This Row],[Date]],"MMMM")</f>
        <v>January</v>
      </c>
      <c r="C231" s="146"/>
      <c r="D231" s="136"/>
      <c r="E231" s="136"/>
      <c r="F231" s="103"/>
      <c r="G231" s="103"/>
      <c r="H231" s="103"/>
      <c r="I231" s="42" t="str">
        <f>IF(OR(ISBLANK(Exceptions[[#This Row],[Start]]),ISBLANK(Exceptions[[#This Row],[End]])),"",(Exceptions[[#This Row],[End]]-Exceptions[[#This Row],[Start]])*1440)</f>
        <v/>
      </c>
      <c r="J231" s="42" t="str">
        <f>IF(ISBLANK(Exceptions[[#This Row],[Date]]),"",IF(Exceptions[[#This Row],[Activity]]="Instruction",Exceptions[[#This Row],[Elapsed]],0))</f>
        <v/>
      </c>
      <c r="K231" s="42" t="str">
        <f>IF(ISBLANK(Exceptions[[#This Row],[Activity]]),"",IF(_xlfn.XLOOKUP(Exceptions[[#This Row],[Activity]],Types_of_Activity[Type of Activity],Types_of_Activity[Classification])=2,Exceptions[[#This Row],[Elapsed]],0))</f>
        <v/>
      </c>
    </row>
    <row r="232" spans="2:11" x14ac:dyDescent="0.3">
      <c r="B232" t="str">
        <f>TEXT(Exceptions[[#This Row],[Date]],"MMMM")</f>
        <v>January</v>
      </c>
      <c r="C232" s="146"/>
      <c r="D232" s="136"/>
      <c r="E232" s="136"/>
      <c r="F232" s="103"/>
      <c r="G232" s="103"/>
      <c r="H232" s="103"/>
      <c r="I232" s="42" t="str">
        <f>IF(OR(ISBLANK(Exceptions[[#This Row],[Start]]),ISBLANK(Exceptions[[#This Row],[End]])),"",(Exceptions[[#This Row],[End]]-Exceptions[[#This Row],[Start]])*1440)</f>
        <v/>
      </c>
      <c r="J232" s="42" t="str">
        <f>IF(ISBLANK(Exceptions[[#This Row],[Date]]),"",IF(Exceptions[[#This Row],[Activity]]="Instruction",Exceptions[[#This Row],[Elapsed]],0))</f>
        <v/>
      </c>
      <c r="K232" s="42" t="str">
        <f>IF(ISBLANK(Exceptions[[#This Row],[Activity]]),"",IF(_xlfn.XLOOKUP(Exceptions[[#This Row],[Activity]],Types_of_Activity[Type of Activity],Types_of_Activity[Classification])=2,Exceptions[[#This Row],[Elapsed]],0))</f>
        <v/>
      </c>
    </row>
    <row r="233" spans="2:11" x14ac:dyDescent="0.3">
      <c r="B233" t="str">
        <f>TEXT(Exceptions[[#This Row],[Date]],"MMMM")</f>
        <v>January</v>
      </c>
      <c r="C233" s="146"/>
      <c r="D233" s="136"/>
      <c r="E233" s="136"/>
      <c r="F233" s="103"/>
      <c r="G233" s="103"/>
      <c r="H233" s="103"/>
      <c r="I233" s="42" t="str">
        <f>IF(OR(ISBLANK(Exceptions[[#This Row],[Start]]),ISBLANK(Exceptions[[#This Row],[End]])),"",(Exceptions[[#This Row],[End]]-Exceptions[[#This Row],[Start]])*1440)</f>
        <v/>
      </c>
      <c r="J233" s="42" t="str">
        <f>IF(ISBLANK(Exceptions[[#This Row],[Date]]),"",IF(Exceptions[[#This Row],[Activity]]="Instruction",Exceptions[[#This Row],[Elapsed]],0))</f>
        <v/>
      </c>
      <c r="K233" s="42" t="str">
        <f>IF(ISBLANK(Exceptions[[#This Row],[Activity]]),"",IF(_xlfn.XLOOKUP(Exceptions[[#This Row],[Activity]],Types_of_Activity[Type of Activity],Types_of_Activity[Classification])=2,Exceptions[[#This Row],[Elapsed]],0))</f>
        <v/>
      </c>
    </row>
    <row r="234" spans="2:11" x14ac:dyDescent="0.3">
      <c r="B234" t="str">
        <f>TEXT(Exceptions[[#This Row],[Date]],"MMMM")</f>
        <v>January</v>
      </c>
      <c r="C234" s="146"/>
      <c r="D234" s="136"/>
      <c r="E234" s="136"/>
      <c r="F234" s="103"/>
      <c r="G234" s="103"/>
      <c r="H234" s="103"/>
      <c r="I234" s="42" t="str">
        <f>IF(OR(ISBLANK(Exceptions[[#This Row],[Start]]),ISBLANK(Exceptions[[#This Row],[End]])),"",(Exceptions[[#This Row],[End]]-Exceptions[[#This Row],[Start]])*1440)</f>
        <v/>
      </c>
      <c r="J234" s="42" t="str">
        <f>IF(ISBLANK(Exceptions[[#This Row],[Date]]),"",IF(Exceptions[[#This Row],[Activity]]="Instruction",Exceptions[[#This Row],[Elapsed]],0))</f>
        <v/>
      </c>
      <c r="K234" s="42" t="str">
        <f>IF(ISBLANK(Exceptions[[#This Row],[Activity]]),"",IF(_xlfn.XLOOKUP(Exceptions[[#This Row],[Activity]],Types_of_Activity[Type of Activity],Types_of_Activity[Classification])=2,Exceptions[[#This Row],[Elapsed]],0))</f>
        <v/>
      </c>
    </row>
    <row r="235" spans="2:11" x14ac:dyDescent="0.3">
      <c r="B235" t="str">
        <f>TEXT(Exceptions[[#This Row],[Date]],"MMMM")</f>
        <v>January</v>
      </c>
      <c r="C235" s="146"/>
      <c r="D235" s="136"/>
      <c r="E235" s="136"/>
      <c r="F235" s="103"/>
      <c r="G235" s="103"/>
      <c r="H235" s="103"/>
      <c r="I235" s="42" t="str">
        <f>IF(OR(ISBLANK(Exceptions[[#This Row],[Start]]),ISBLANK(Exceptions[[#This Row],[End]])),"",(Exceptions[[#This Row],[End]]-Exceptions[[#This Row],[Start]])*1440)</f>
        <v/>
      </c>
      <c r="J235" s="42" t="str">
        <f>IF(ISBLANK(Exceptions[[#This Row],[Date]]),"",IF(Exceptions[[#This Row],[Activity]]="Instruction",Exceptions[[#This Row],[Elapsed]],0))</f>
        <v/>
      </c>
      <c r="K235" s="42" t="str">
        <f>IF(ISBLANK(Exceptions[[#This Row],[Activity]]),"",IF(_xlfn.XLOOKUP(Exceptions[[#This Row],[Activity]],Types_of_Activity[Type of Activity],Types_of_Activity[Classification])=2,Exceptions[[#This Row],[Elapsed]],0))</f>
        <v/>
      </c>
    </row>
    <row r="236" spans="2:11" x14ac:dyDescent="0.3">
      <c r="B236" t="str">
        <f>TEXT(Exceptions[[#This Row],[Date]],"MMMM")</f>
        <v>January</v>
      </c>
      <c r="C236" s="146"/>
      <c r="D236" s="136"/>
      <c r="E236" s="136"/>
      <c r="F236" s="103"/>
      <c r="G236" s="103"/>
      <c r="H236" s="103"/>
      <c r="I236" s="42" t="str">
        <f>IF(OR(ISBLANK(Exceptions[[#This Row],[Start]]),ISBLANK(Exceptions[[#This Row],[End]])),"",(Exceptions[[#This Row],[End]]-Exceptions[[#This Row],[Start]])*1440)</f>
        <v/>
      </c>
      <c r="J236" s="42" t="str">
        <f>IF(ISBLANK(Exceptions[[#This Row],[Date]]),"",IF(Exceptions[[#This Row],[Activity]]="Instruction",Exceptions[[#This Row],[Elapsed]],0))</f>
        <v/>
      </c>
      <c r="K236" s="42" t="str">
        <f>IF(ISBLANK(Exceptions[[#This Row],[Activity]]),"",IF(_xlfn.XLOOKUP(Exceptions[[#This Row],[Activity]],Types_of_Activity[Type of Activity],Types_of_Activity[Classification])=2,Exceptions[[#This Row],[Elapsed]],0))</f>
        <v/>
      </c>
    </row>
    <row r="237" spans="2:11" x14ac:dyDescent="0.3">
      <c r="B237" t="str">
        <f>TEXT(Exceptions[[#This Row],[Date]],"MMMM")</f>
        <v>January</v>
      </c>
      <c r="C237" s="146"/>
      <c r="D237" s="136"/>
      <c r="E237" s="136"/>
      <c r="F237" s="103"/>
      <c r="G237" s="103"/>
      <c r="H237" s="103"/>
      <c r="I237" s="42" t="str">
        <f>IF(OR(ISBLANK(Exceptions[[#This Row],[Start]]),ISBLANK(Exceptions[[#This Row],[End]])),"",(Exceptions[[#This Row],[End]]-Exceptions[[#This Row],[Start]])*1440)</f>
        <v/>
      </c>
      <c r="J237" s="42" t="str">
        <f>IF(ISBLANK(Exceptions[[#This Row],[Date]]),"",IF(Exceptions[[#This Row],[Activity]]="Instruction",Exceptions[[#This Row],[Elapsed]],0))</f>
        <v/>
      </c>
      <c r="K237" s="42" t="str">
        <f>IF(ISBLANK(Exceptions[[#This Row],[Activity]]),"",IF(_xlfn.XLOOKUP(Exceptions[[#This Row],[Activity]],Types_of_Activity[Type of Activity],Types_of_Activity[Classification])=2,Exceptions[[#This Row],[Elapsed]],0))</f>
        <v/>
      </c>
    </row>
    <row r="238" spans="2:11" x14ac:dyDescent="0.3">
      <c r="B238" t="str">
        <f>TEXT(Exceptions[[#This Row],[Date]],"MMMM")</f>
        <v>January</v>
      </c>
      <c r="C238" s="146"/>
      <c r="D238" s="136"/>
      <c r="E238" s="136"/>
      <c r="F238" s="103"/>
      <c r="G238" s="103"/>
      <c r="H238" s="103"/>
      <c r="I238" s="42" t="str">
        <f>IF(OR(ISBLANK(Exceptions[[#This Row],[Start]]),ISBLANK(Exceptions[[#This Row],[End]])),"",(Exceptions[[#This Row],[End]]-Exceptions[[#This Row],[Start]])*1440)</f>
        <v/>
      </c>
      <c r="J238" s="42" t="str">
        <f>IF(ISBLANK(Exceptions[[#This Row],[Date]]),"",IF(Exceptions[[#This Row],[Activity]]="Instruction",Exceptions[[#This Row],[Elapsed]],0))</f>
        <v/>
      </c>
      <c r="K238" s="42" t="str">
        <f>IF(ISBLANK(Exceptions[[#This Row],[Activity]]),"",IF(_xlfn.XLOOKUP(Exceptions[[#This Row],[Activity]],Types_of_Activity[Type of Activity],Types_of_Activity[Classification])=2,Exceptions[[#This Row],[Elapsed]],0))</f>
        <v/>
      </c>
    </row>
    <row r="239" spans="2:11" x14ac:dyDescent="0.3">
      <c r="B239" t="str">
        <f>TEXT(Exceptions[[#This Row],[Date]],"MMMM")</f>
        <v>January</v>
      </c>
      <c r="C239" s="146"/>
      <c r="D239" s="136"/>
      <c r="E239" s="136"/>
      <c r="F239" s="103"/>
      <c r="G239" s="103"/>
      <c r="H239" s="103"/>
      <c r="I239" s="42" t="str">
        <f>IF(OR(ISBLANK(Exceptions[[#This Row],[Start]]),ISBLANK(Exceptions[[#This Row],[End]])),"",(Exceptions[[#This Row],[End]]-Exceptions[[#This Row],[Start]])*1440)</f>
        <v/>
      </c>
      <c r="J239" s="42" t="str">
        <f>IF(ISBLANK(Exceptions[[#This Row],[Date]]),"",IF(Exceptions[[#This Row],[Activity]]="Instruction",Exceptions[[#This Row],[Elapsed]],0))</f>
        <v/>
      </c>
      <c r="K239" s="42" t="str">
        <f>IF(ISBLANK(Exceptions[[#This Row],[Activity]]),"",IF(_xlfn.XLOOKUP(Exceptions[[#This Row],[Activity]],Types_of_Activity[Type of Activity],Types_of_Activity[Classification])=2,Exceptions[[#This Row],[Elapsed]],0))</f>
        <v/>
      </c>
    </row>
    <row r="240" spans="2:11" x14ac:dyDescent="0.3">
      <c r="B240" t="str">
        <f>TEXT(Exceptions[[#This Row],[Date]],"MMMM")</f>
        <v>January</v>
      </c>
      <c r="C240" s="146"/>
      <c r="D240" s="136"/>
      <c r="E240" s="136"/>
      <c r="F240" s="103"/>
      <c r="G240" s="103"/>
      <c r="H240" s="103"/>
      <c r="I240" s="42" t="str">
        <f>IF(OR(ISBLANK(Exceptions[[#This Row],[Start]]),ISBLANK(Exceptions[[#This Row],[End]])),"",(Exceptions[[#This Row],[End]]-Exceptions[[#This Row],[Start]])*1440)</f>
        <v/>
      </c>
      <c r="J240" s="42" t="str">
        <f>IF(ISBLANK(Exceptions[[#This Row],[Date]]),"",IF(Exceptions[[#This Row],[Activity]]="Instruction",Exceptions[[#This Row],[Elapsed]],0))</f>
        <v/>
      </c>
      <c r="K240" s="42" t="str">
        <f>IF(ISBLANK(Exceptions[[#This Row],[Activity]]),"",IF(_xlfn.XLOOKUP(Exceptions[[#This Row],[Activity]],Types_of_Activity[Type of Activity],Types_of_Activity[Classification])=2,Exceptions[[#This Row],[Elapsed]],0))</f>
        <v/>
      </c>
    </row>
    <row r="241" spans="2:11" x14ac:dyDescent="0.3">
      <c r="B241" t="str">
        <f>TEXT(Exceptions[[#This Row],[Date]],"MMMM")</f>
        <v>January</v>
      </c>
      <c r="C241" s="146"/>
      <c r="D241" s="136"/>
      <c r="E241" s="136"/>
      <c r="F241" s="103"/>
      <c r="G241" s="103"/>
      <c r="H241" s="103"/>
      <c r="I241" s="42" t="str">
        <f>IF(OR(ISBLANK(Exceptions[[#This Row],[Start]]),ISBLANK(Exceptions[[#This Row],[End]])),"",(Exceptions[[#This Row],[End]]-Exceptions[[#This Row],[Start]])*1440)</f>
        <v/>
      </c>
      <c r="J241" s="42" t="str">
        <f>IF(ISBLANK(Exceptions[[#This Row],[Date]]),"",IF(Exceptions[[#This Row],[Activity]]="Instruction",Exceptions[[#This Row],[Elapsed]],0))</f>
        <v/>
      </c>
      <c r="K241" s="42" t="str">
        <f>IF(ISBLANK(Exceptions[[#This Row],[Activity]]),"",IF(_xlfn.XLOOKUP(Exceptions[[#This Row],[Activity]],Types_of_Activity[Type of Activity],Types_of_Activity[Classification])=2,Exceptions[[#This Row],[Elapsed]],0))</f>
        <v/>
      </c>
    </row>
    <row r="242" spans="2:11" x14ac:dyDescent="0.3">
      <c r="B242" t="str">
        <f>TEXT(Exceptions[[#This Row],[Date]],"MMMM")</f>
        <v>January</v>
      </c>
      <c r="C242" s="146"/>
      <c r="D242" s="136"/>
      <c r="E242" s="136"/>
      <c r="F242" s="103"/>
      <c r="G242" s="103"/>
      <c r="H242" s="103"/>
      <c r="I242" s="42" t="str">
        <f>IF(OR(ISBLANK(Exceptions[[#This Row],[Start]]),ISBLANK(Exceptions[[#This Row],[End]])),"",(Exceptions[[#This Row],[End]]-Exceptions[[#This Row],[Start]])*1440)</f>
        <v/>
      </c>
      <c r="J242" s="42" t="str">
        <f>IF(ISBLANK(Exceptions[[#This Row],[Date]]),"",IF(Exceptions[[#This Row],[Activity]]="Instruction",Exceptions[[#This Row],[Elapsed]],0))</f>
        <v/>
      </c>
      <c r="K242" s="42" t="str">
        <f>IF(ISBLANK(Exceptions[[#This Row],[Activity]]),"",IF(_xlfn.XLOOKUP(Exceptions[[#This Row],[Activity]],Types_of_Activity[Type of Activity],Types_of_Activity[Classification])=2,Exceptions[[#This Row],[Elapsed]],0))</f>
        <v/>
      </c>
    </row>
    <row r="243" spans="2:11" x14ac:dyDescent="0.3">
      <c r="B243" t="str">
        <f>TEXT(Exceptions[[#This Row],[Date]],"MMMM")</f>
        <v>January</v>
      </c>
      <c r="C243" s="146"/>
      <c r="D243" s="136"/>
      <c r="E243" s="136"/>
      <c r="F243" s="103"/>
      <c r="G243" s="103"/>
      <c r="H243" s="103"/>
      <c r="I243" s="42" t="str">
        <f>IF(OR(ISBLANK(Exceptions[[#This Row],[Start]]),ISBLANK(Exceptions[[#This Row],[End]])),"",(Exceptions[[#This Row],[End]]-Exceptions[[#This Row],[Start]])*1440)</f>
        <v/>
      </c>
      <c r="J243" s="42" t="str">
        <f>IF(ISBLANK(Exceptions[[#This Row],[Date]]),"",IF(Exceptions[[#This Row],[Activity]]="Instruction",Exceptions[[#This Row],[Elapsed]],0))</f>
        <v/>
      </c>
      <c r="K243" s="42" t="str">
        <f>IF(ISBLANK(Exceptions[[#This Row],[Activity]]),"",IF(_xlfn.XLOOKUP(Exceptions[[#This Row],[Activity]],Types_of_Activity[Type of Activity],Types_of_Activity[Classification])=2,Exceptions[[#This Row],[Elapsed]],0))</f>
        <v/>
      </c>
    </row>
    <row r="244" spans="2:11" x14ac:dyDescent="0.3">
      <c r="B244" t="str">
        <f>TEXT(Exceptions[[#This Row],[Date]],"MMMM")</f>
        <v>January</v>
      </c>
      <c r="C244" s="146"/>
      <c r="D244" s="136"/>
      <c r="E244" s="136"/>
      <c r="F244" s="103"/>
      <c r="G244" s="103"/>
      <c r="H244" s="103"/>
      <c r="I244" s="42" t="str">
        <f>IF(OR(ISBLANK(Exceptions[[#This Row],[Start]]),ISBLANK(Exceptions[[#This Row],[End]])),"",(Exceptions[[#This Row],[End]]-Exceptions[[#This Row],[Start]])*1440)</f>
        <v/>
      </c>
      <c r="J244" s="42" t="str">
        <f>IF(ISBLANK(Exceptions[[#This Row],[Date]]),"",IF(Exceptions[[#This Row],[Activity]]="Instruction",Exceptions[[#This Row],[Elapsed]],0))</f>
        <v/>
      </c>
      <c r="K244" s="42" t="str">
        <f>IF(ISBLANK(Exceptions[[#This Row],[Activity]]),"",IF(_xlfn.XLOOKUP(Exceptions[[#This Row],[Activity]],Types_of_Activity[Type of Activity],Types_of_Activity[Classification])=2,Exceptions[[#This Row],[Elapsed]],0))</f>
        <v/>
      </c>
    </row>
    <row r="245" spans="2:11" x14ac:dyDescent="0.3">
      <c r="B245" t="str">
        <f>TEXT(Exceptions[[#This Row],[Date]],"MMMM")</f>
        <v>January</v>
      </c>
      <c r="C245" s="146"/>
      <c r="D245" s="136"/>
      <c r="E245" s="136"/>
      <c r="F245" s="103"/>
      <c r="G245" s="103"/>
      <c r="H245" s="103"/>
      <c r="I245" s="42" t="str">
        <f>IF(OR(ISBLANK(Exceptions[[#This Row],[Start]]),ISBLANK(Exceptions[[#This Row],[End]])),"",(Exceptions[[#This Row],[End]]-Exceptions[[#This Row],[Start]])*1440)</f>
        <v/>
      </c>
      <c r="J245" s="42" t="str">
        <f>IF(ISBLANK(Exceptions[[#This Row],[Date]]),"",IF(Exceptions[[#This Row],[Activity]]="Instruction",Exceptions[[#This Row],[Elapsed]],0))</f>
        <v/>
      </c>
      <c r="K245" s="42" t="str">
        <f>IF(ISBLANK(Exceptions[[#This Row],[Activity]]),"",IF(_xlfn.XLOOKUP(Exceptions[[#This Row],[Activity]],Types_of_Activity[Type of Activity],Types_of_Activity[Classification])=2,Exceptions[[#This Row],[Elapsed]],0))</f>
        <v/>
      </c>
    </row>
    <row r="246" spans="2:11" x14ac:dyDescent="0.3">
      <c r="B246" t="str">
        <f>TEXT(Exceptions[[#This Row],[Date]],"MMMM")</f>
        <v>January</v>
      </c>
      <c r="C246" s="146"/>
      <c r="D246" s="136"/>
      <c r="E246" s="136"/>
      <c r="F246" s="103"/>
      <c r="G246" s="103"/>
      <c r="H246" s="103"/>
      <c r="I246" s="42" t="str">
        <f>IF(OR(ISBLANK(Exceptions[[#This Row],[Start]]),ISBLANK(Exceptions[[#This Row],[End]])),"",(Exceptions[[#This Row],[End]]-Exceptions[[#This Row],[Start]])*1440)</f>
        <v/>
      </c>
      <c r="J246" s="42" t="str">
        <f>IF(ISBLANK(Exceptions[[#This Row],[Date]]),"",IF(Exceptions[[#This Row],[Activity]]="Instruction",Exceptions[[#This Row],[Elapsed]],0))</f>
        <v/>
      </c>
      <c r="K246" s="42" t="str">
        <f>IF(ISBLANK(Exceptions[[#This Row],[Activity]]),"",IF(_xlfn.XLOOKUP(Exceptions[[#This Row],[Activity]],Types_of_Activity[Type of Activity],Types_of_Activity[Classification])=2,Exceptions[[#This Row],[Elapsed]],0))</f>
        <v/>
      </c>
    </row>
    <row r="247" spans="2:11" x14ac:dyDescent="0.3">
      <c r="B247" t="str">
        <f>TEXT(Exceptions[[#This Row],[Date]],"MMMM")</f>
        <v>January</v>
      </c>
      <c r="C247" s="146"/>
      <c r="D247" s="136"/>
      <c r="E247" s="136"/>
      <c r="F247" s="103"/>
      <c r="G247" s="103"/>
      <c r="H247" s="103"/>
      <c r="I247" s="42" t="str">
        <f>IF(OR(ISBLANK(Exceptions[[#This Row],[Start]]),ISBLANK(Exceptions[[#This Row],[End]])),"",(Exceptions[[#This Row],[End]]-Exceptions[[#This Row],[Start]])*1440)</f>
        <v/>
      </c>
      <c r="J247" s="42" t="str">
        <f>IF(ISBLANK(Exceptions[[#This Row],[Date]]),"",IF(Exceptions[[#This Row],[Activity]]="Instruction",Exceptions[[#This Row],[Elapsed]],0))</f>
        <v/>
      </c>
      <c r="K247" s="42" t="str">
        <f>IF(ISBLANK(Exceptions[[#This Row],[Activity]]),"",IF(_xlfn.XLOOKUP(Exceptions[[#This Row],[Activity]],Types_of_Activity[Type of Activity],Types_of_Activity[Classification])=2,Exceptions[[#This Row],[Elapsed]],0))</f>
        <v/>
      </c>
    </row>
    <row r="248" spans="2:11" x14ac:dyDescent="0.3">
      <c r="B248" t="str">
        <f>TEXT(Exceptions[[#This Row],[Date]],"MMMM")</f>
        <v>January</v>
      </c>
      <c r="C248" s="146"/>
      <c r="D248" s="136"/>
      <c r="E248" s="136"/>
      <c r="F248" s="103"/>
      <c r="G248" s="103"/>
      <c r="H248" s="103"/>
      <c r="I248" s="42" t="str">
        <f>IF(OR(ISBLANK(Exceptions[[#This Row],[Start]]),ISBLANK(Exceptions[[#This Row],[End]])),"",(Exceptions[[#This Row],[End]]-Exceptions[[#This Row],[Start]])*1440)</f>
        <v/>
      </c>
      <c r="J248" s="42" t="str">
        <f>IF(ISBLANK(Exceptions[[#This Row],[Date]]),"",IF(Exceptions[[#This Row],[Activity]]="Instruction",Exceptions[[#This Row],[Elapsed]],0))</f>
        <v/>
      </c>
      <c r="K248" s="42" t="str">
        <f>IF(ISBLANK(Exceptions[[#This Row],[Activity]]),"",IF(_xlfn.XLOOKUP(Exceptions[[#This Row],[Activity]],Types_of_Activity[Type of Activity],Types_of_Activity[Classification])=2,Exceptions[[#This Row],[Elapsed]],0))</f>
        <v/>
      </c>
    </row>
    <row r="249" spans="2:11" x14ac:dyDescent="0.3">
      <c r="B249" t="str">
        <f>TEXT(Exceptions[[#This Row],[Date]],"MMMM")</f>
        <v>January</v>
      </c>
      <c r="C249" s="146"/>
      <c r="D249" s="136"/>
      <c r="E249" s="136"/>
      <c r="F249" s="103"/>
      <c r="G249" s="103"/>
      <c r="H249" s="103"/>
      <c r="I249" s="42" t="str">
        <f>IF(OR(ISBLANK(Exceptions[[#This Row],[Start]]),ISBLANK(Exceptions[[#This Row],[End]])),"",(Exceptions[[#This Row],[End]]-Exceptions[[#This Row],[Start]])*1440)</f>
        <v/>
      </c>
      <c r="J249" s="42" t="str">
        <f>IF(ISBLANK(Exceptions[[#This Row],[Date]]),"",IF(Exceptions[[#This Row],[Activity]]="Instruction",Exceptions[[#This Row],[Elapsed]],0))</f>
        <v/>
      </c>
      <c r="K249" s="42" t="str">
        <f>IF(ISBLANK(Exceptions[[#This Row],[Activity]]),"",IF(_xlfn.XLOOKUP(Exceptions[[#This Row],[Activity]],Types_of_Activity[Type of Activity],Types_of_Activity[Classification])=2,Exceptions[[#This Row],[Elapsed]],0))</f>
        <v/>
      </c>
    </row>
    <row r="250" spans="2:11" x14ac:dyDescent="0.3">
      <c r="B250" t="str">
        <f>TEXT(Exceptions[[#This Row],[Date]],"MMMM")</f>
        <v>January</v>
      </c>
      <c r="C250" s="146"/>
      <c r="D250" s="136"/>
      <c r="E250" s="136"/>
      <c r="F250" s="103"/>
      <c r="G250" s="103"/>
      <c r="H250" s="103"/>
      <c r="I250" s="42" t="str">
        <f>IF(OR(ISBLANK(Exceptions[[#This Row],[Start]]),ISBLANK(Exceptions[[#This Row],[End]])),"",(Exceptions[[#This Row],[End]]-Exceptions[[#This Row],[Start]])*1440)</f>
        <v/>
      </c>
      <c r="J250" s="42" t="str">
        <f>IF(ISBLANK(Exceptions[[#This Row],[Date]]),"",IF(Exceptions[[#This Row],[Activity]]="Instruction",Exceptions[[#This Row],[Elapsed]],0))</f>
        <v/>
      </c>
      <c r="K250" s="42" t="str">
        <f>IF(ISBLANK(Exceptions[[#This Row],[Activity]]),"",IF(_xlfn.XLOOKUP(Exceptions[[#This Row],[Activity]],Types_of_Activity[Type of Activity],Types_of_Activity[Classification])=2,Exceptions[[#This Row],[Elapsed]],0))</f>
        <v/>
      </c>
    </row>
    <row r="251" spans="2:11" x14ac:dyDescent="0.3">
      <c r="B251" t="str">
        <f>TEXT(Exceptions[[#This Row],[Date]],"MMMM")</f>
        <v>January</v>
      </c>
      <c r="C251" s="146"/>
      <c r="D251" s="136"/>
      <c r="E251" s="136"/>
      <c r="F251" s="103"/>
      <c r="G251" s="103"/>
      <c r="H251" s="103"/>
      <c r="I251" s="42" t="str">
        <f>IF(OR(ISBLANK(Exceptions[[#This Row],[Start]]),ISBLANK(Exceptions[[#This Row],[End]])),"",(Exceptions[[#This Row],[End]]-Exceptions[[#This Row],[Start]])*1440)</f>
        <v/>
      </c>
      <c r="J251" s="42" t="str">
        <f>IF(ISBLANK(Exceptions[[#This Row],[Date]]),"",IF(Exceptions[[#This Row],[Activity]]="Instruction",Exceptions[[#This Row],[Elapsed]],0))</f>
        <v/>
      </c>
      <c r="K251" s="42" t="str">
        <f>IF(ISBLANK(Exceptions[[#This Row],[Activity]]),"",IF(_xlfn.XLOOKUP(Exceptions[[#This Row],[Activity]],Types_of_Activity[Type of Activity],Types_of_Activity[Classification])=2,Exceptions[[#This Row],[Elapsed]],0))</f>
        <v/>
      </c>
    </row>
    <row r="252" spans="2:11" x14ac:dyDescent="0.3">
      <c r="B252" t="str">
        <f>TEXT(Exceptions[[#This Row],[Date]],"MMMM")</f>
        <v>January</v>
      </c>
      <c r="C252" s="146"/>
      <c r="D252" s="136"/>
      <c r="E252" s="136"/>
      <c r="F252" s="103"/>
      <c r="G252" s="103"/>
      <c r="H252" s="103"/>
      <c r="I252" s="42" t="str">
        <f>IF(OR(ISBLANK(Exceptions[[#This Row],[Start]]),ISBLANK(Exceptions[[#This Row],[End]])),"",(Exceptions[[#This Row],[End]]-Exceptions[[#This Row],[Start]])*1440)</f>
        <v/>
      </c>
      <c r="J252" s="42" t="str">
        <f>IF(ISBLANK(Exceptions[[#This Row],[Date]]),"",IF(Exceptions[[#This Row],[Activity]]="Instruction",Exceptions[[#This Row],[Elapsed]],0))</f>
        <v/>
      </c>
      <c r="K252" s="42" t="str">
        <f>IF(ISBLANK(Exceptions[[#This Row],[Activity]]),"",IF(_xlfn.XLOOKUP(Exceptions[[#This Row],[Activity]],Types_of_Activity[Type of Activity],Types_of_Activity[Classification])=2,Exceptions[[#This Row],[Elapsed]],0))</f>
        <v/>
      </c>
    </row>
    <row r="253" spans="2:11" x14ac:dyDescent="0.3">
      <c r="B253" t="str">
        <f>TEXT(Exceptions[[#This Row],[Date]],"MMMM")</f>
        <v>January</v>
      </c>
      <c r="C253" s="146"/>
      <c r="D253" s="136"/>
      <c r="E253" s="136"/>
      <c r="F253" s="103"/>
      <c r="G253" s="103"/>
      <c r="H253" s="103"/>
      <c r="I253" s="42" t="str">
        <f>IF(OR(ISBLANK(Exceptions[[#This Row],[Start]]),ISBLANK(Exceptions[[#This Row],[End]])),"",(Exceptions[[#This Row],[End]]-Exceptions[[#This Row],[Start]])*1440)</f>
        <v/>
      </c>
      <c r="J253" s="42" t="str">
        <f>IF(ISBLANK(Exceptions[[#This Row],[Date]]),"",IF(Exceptions[[#This Row],[Activity]]="Instruction",Exceptions[[#This Row],[Elapsed]],0))</f>
        <v/>
      </c>
      <c r="K253" s="42" t="str">
        <f>IF(ISBLANK(Exceptions[[#This Row],[Activity]]),"",IF(_xlfn.XLOOKUP(Exceptions[[#This Row],[Activity]],Types_of_Activity[Type of Activity],Types_of_Activity[Classification])=2,Exceptions[[#This Row],[Elapsed]],0))</f>
        <v/>
      </c>
    </row>
    <row r="254" spans="2:11" x14ac:dyDescent="0.3">
      <c r="B254" t="str">
        <f>TEXT(Exceptions[[#This Row],[Date]],"MMMM")</f>
        <v>January</v>
      </c>
      <c r="C254" s="146"/>
      <c r="D254" s="136"/>
      <c r="E254" s="136"/>
      <c r="F254" s="103"/>
      <c r="G254" s="103"/>
      <c r="H254" s="103"/>
      <c r="I254" s="42" t="str">
        <f>IF(OR(ISBLANK(Exceptions[[#This Row],[Start]]),ISBLANK(Exceptions[[#This Row],[End]])),"",(Exceptions[[#This Row],[End]]-Exceptions[[#This Row],[Start]])*1440)</f>
        <v/>
      </c>
      <c r="J254" s="42" t="str">
        <f>IF(ISBLANK(Exceptions[[#This Row],[Date]]),"",IF(Exceptions[[#This Row],[Activity]]="Instruction",Exceptions[[#This Row],[Elapsed]],0))</f>
        <v/>
      </c>
      <c r="K254" s="42" t="str">
        <f>IF(ISBLANK(Exceptions[[#This Row],[Activity]]),"",IF(_xlfn.XLOOKUP(Exceptions[[#This Row],[Activity]],Types_of_Activity[Type of Activity],Types_of_Activity[Classification])=2,Exceptions[[#This Row],[Elapsed]],0))</f>
        <v/>
      </c>
    </row>
    <row r="255" spans="2:11" x14ac:dyDescent="0.3">
      <c r="B255" t="str">
        <f>TEXT(Exceptions[[#This Row],[Date]],"MMMM")</f>
        <v>January</v>
      </c>
      <c r="C255" s="146"/>
      <c r="D255" s="136"/>
      <c r="E255" s="136"/>
      <c r="F255" s="103"/>
      <c r="G255" s="103"/>
      <c r="H255" s="103"/>
      <c r="I255" s="42" t="str">
        <f>IF(OR(ISBLANK(Exceptions[[#This Row],[Start]]),ISBLANK(Exceptions[[#This Row],[End]])),"",(Exceptions[[#This Row],[End]]-Exceptions[[#This Row],[Start]])*1440)</f>
        <v/>
      </c>
      <c r="J255" s="42" t="str">
        <f>IF(ISBLANK(Exceptions[[#This Row],[Date]]),"",IF(Exceptions[[#This Row],[Activity]]="Instruction",Exceptions[[#This Row],[Elapsed]],0))</f>
        <v/>
      </c>
      <c r="K255" s="42" t="str">
        <f>IF(ISBLANK(Exceptions[[#This Row],[Activity]]),"",IF(_xlfn.XLOOKUP(Exceptions[[#This Row],[Activity]],Types_of_Activity[Type of Activity],Types_of_Activity[Classification])=2,Exceptions[[#This Row],[Elapsed]],0))</f>
        <v/>
      </c>
    </row>
    <row r="256" spans="2:11" x14ac:dyDescent="0.3">
      <c r="B256" t="str">
        <f>TEXT(Exceptions[[#This Row],[Date]],"MMMM")</f>
        <v>January</v>
      </c>
      <c r="C256" s="146"/>
      <c r="D256" s="136"/>
      <c r="E256" s="136"/>
      <c r="F256" s="103"/>
      <c r="G256" s="103"/>
      <c r="H256" s="103"/>
      <c r="I256" s="42" t="str">
        <f>IF(OR(ISBLANK(Exceptions[[#This Row],[Start]]),ISBLANK(Exceptions[[#This Row],[End]])),"",(Exceptions[[#This Row],[End]]-Exceptions[[#This Row],[Start]])*1440)</f>
        <v/>
      </c>
      <c r="J256" s="42" t="str">
        <f>IF(ISBLANK(Exceptions[[#This Row],[Date]]),"",IF(Exceptions[[#This Row],[Activity]]="Instruction",Exceptions[[#This Row],[Elapsed]],0))</f>
        <v/>
      </c>
      <c r="K256" s="42" t="str">
        <f>IF(ISBLANK(Exceptions[[#This Row],[Activity]]),"",IF(_xlfn.XLOOKUP(Exceptions[[#This Row],[Activity]],Types_of_Activity[Type of Activity],Types_of_Activity[Classification])=2,Exceptions[[#This Row],[Elapsed]],0))</f>
        <v/>
      </c>
    </row>
    <row r="257" spans="2:11" x14ac:dyDescent="0.3">
      <c r="B257" t="str">
        <f>TEXT(Exceptions[[#This Row],[Date]],"MMMM")</f>
        <v>January</v>
      </c>
      <c r="C257" s="146"/>
      <c r="D257" s="136"/>
      <c r="E257" s="136"/>
      <c r="F257" s="103"/>
      <c r="G257" s="103"/>
      <c r="H257" s="103"/>
      <c r="I257" s="42" t="str">
        <f>IF(OR(ISBLANK(Exceptions[[#This Row],[Start]]),ISBLANK(Exceptions[[#This Row],[End]])),"",(Exceptions[[#This Row],[End]]-Exceptions[[#This Row],[Start]])*1440)</f>
        <v/>
      </c>
      <c r="J257" s="42" t="str">
        <f>IF(ISBLANK(Exceptions[[#This Row],[Date]]),"",IF(Exceptions[[#This Row],[Activity]]="Instruction",Exceptions[[#This Row],[Elapsed]],0))</f>
        <v/>
      </c>
      <c r="K257" s="42" t="str">
        <f>IF(ISBLANK(Exceptions[[#This Row],[Activity]]),"",IF(_xlfn.XLOOKUP(Exceptions[[#This Row],[Activity]],Types_of_Activity[Type of Activity],Types_of_Activity[Classification])=2,Exceptions[[#This Row],[Elapsed]],0))</f>
        <v/>
      </c>
    </row>
    <row r="258" spans="2:11" x14ac:dyDescent="0.3">
      <c r="B258" t="str">
        <f>TEXT(Exceptions[[#This Row],[Date]],"MMMM")</f>
        <v>January</v>
      </c>
      <c r="C258" s="146"/>
      <c r="D258" s="136"/>
      <c r="E258" s="136"/>
      <c r="F258" s="103"/>
      <c r="G258" s="103"/>
      <c r="H258" s="103"/>
      <c r="I258" s="42" t="str">
        <f>IF(OR(ISBLANK(Exceptions[[#This Row],[Start]]),ISBLANK(Exceptions[[#This Row],[End]])),"",(Exceptions[[#This Row],[End]]-Exceptions[[#This Row],[Start]])*1440)</f>
        <v/>
      </c>
      <c r="J258" s="42" t="str">
        <f>IF(ISBLANK(Exceptions[[#This Row],[Date]]),"",IF(Exceptions[[#This Row],[Activity]]="Instruction",Exceptions[[#This Row],[Elapsed]],0))</f>
        <v/>
      </c>
      <c r="K258" s="42" t="str">
        <f>IF(ISBLANK(Exceptions[[#This Row],[Activity]]),"",IF(_xlfn.XLOOKUP(Exceptions[[#This Row],[Activity]],Types_of_Activity[Type of Activity],Types_of_Activity[Classification])=2,Exceptions[[#This Row],[Elapsed]],0))</f>
        <v/>
      </c>
    </row>
    <row r="259" spans="2:11" x14ac:dyDescent="0.3">
      <c r="B259" t="str">
        <f>TEXT(Exceptions[[#This Row],[Date]],"MMMM")</f>
        <v>January</v>
      </c>
      <c r="C259" s="146"/>
      <c r="D259" s="136"/>
      <c r="E259" s="136"/>
      <c r="F259" s="103"/>
      <c r="G259" s="103"/>
      <c r="H259" s="103"/>
      <c r="I259" s="42" t="str">
        <f>IF(OR(ISBLANK(Exceptions[[#This Row],[Start]]),ISBLANK(Exceptions[[#This Row],[End]])),"",(Exceptions[[#This Row],[End]]-Exceptions[[#This Row],[Start]])*1440)</f>
        <v/>
      </c>
      <c r="J259" s="42" t="str">
        <f>IF(ISBLANK(Exceptions[[#This Row],[Date]]),"",IF(Exceptions[[#This Row],[Activity]]="Instruction",Exceptions[[#This Row],[Elapsed]],0))</f>
        <v/>
      </c>
      <c r="K259" s="42" t="str">
        <f>IF(ISBLANK(Exceptions[[#This Row],[Activity]]),"",IF(_xlfn.XLOOKUP(Exceptions[[#This Row],[Activity]],Types_of_Activity[Type of Activity],Types_of_Activity[Classification])=2,Exceptions[[#This Row],[Elapsed]],0))</f>
        <v/>
      </c>
    </row>
    <row r="260" spans="2:11" x14ac:dyDescent="0.3">
      <c r="B260" t="str">
        <f>TEXT(Exceptions[[#This Row],[Date]],"MMMM")</f>
        <v>January</v>
      </c>
      <c r="C260" s="146"/>
      <c r="D260" s="136"/>
      <c r="E260" s="136"/>
      <c r="F260" s="103"/>
      <c r="G260" s="103"/>
      <c r="H260" s="103"/>
      <c r="I260" s="42" t="str">
        <f>IF(OR(ISBLANK(Exceptions[[#This Row],[Start]]),ISBLANK(Exceptions[[#This Row],[End]])),"",(Exceptions[[#This Row],[End]]-Exceptions[[#This Row],[Start]])*1440)</f>
        <v/>
      </c>
      <c r="J260" s="42" t="str">
        <f>IF(ISBLANK(Exceptions[[#This Row],[Date]]),"",IF(Exceptions[[#This Row],[Activity]]="Instruction",Exceptions[[#This Row],[Elapsed]],0))</f>
        <v/>
      </c>
      <c r="K260" s="42" t="str">
        <f>IF(ISBLANK(Exceptions[[#This Row],[Activity]]),"",IF(_xlfn.XLOOKUP(Exceptions[[#This Row],[Activity]],Types_of_Activity[Type of Activity],Types_of_Activity[Classification])=2,Exceptions[[#This Row],[Elapsed]],0))</f>
        <v/>
      </c>
    </row>
    <row r="261" spans="2:11" x14ac:dyDescent="0.3">
      <c r="B261" t="str">
        <f>TEXT(Exceptions[[#This Row],[Date]],"MMMM")</f>
        <v>January</v>
      </c>
      <c r="C261" s="146"/>
      <c r="D261" s="136"/>
      <c r="E261" s="136"/>
      <c r="F261" s="103"/>
      <c r="G261" s="103"/>
      <c r="H261" s="103"/>
      <c r="I261" s="42" t="str">
        <f>IF(OR(ISBLANK(Exceptions[[#This Row],[Start]]),ISBLANK(Exceptions[[#This Row],[End]])),"",(Exceptions[[#This Row],[End]]-Exceptions[[#This Row],[Start]])*1440)</f>
        <v/>
      </c>
      <c r="J261" s="42" t="str">
        <f>IF(ISBLANK(Exceptions[[#This Row],[Date]]),"",IF(Exceptions[[#This Row],[Activity]]="Instruction",Exceptions[[#This Row],[Elapsed]],0))</f>
        <v/>
      </c>
      <c r="K261" s="42" t="str">
        <f>IF(ISBLANK(Exceptions[[#This Row],[Activity]]),"",IF(_xlfn.XLOOKUP(Exceptions[[#This Row],[Activity]],Types_of_Activity[Type of Activity],Types_of_Activity[Classification])=2,Exceptions[[#This Row],[Elapsed]],0))</f>
        <v/>
      </c>
    </row>
    <row r="262" spans="2:11" x14ac:dyDescent="0.3">
      <c r="B262" t="str">
        <f>TEXT(Exceptions[[#This Row],[Date]],"MMMM")</f>
        <v>January</v>
      </c>
      <c r="C262" s="146"/>
      <c r="D262" s="136"/>
      <c r="E262" s="136"/>
      <c r="F262" s="103"/>
      <c r="G262" s="103"/>
      <c r="H262" s="103"/>
      <c r="I262" s="42" t="str">
        <f>IF(OR(ISBLANK(Exceptions[[#This Row],[Start]]),ISBLANK(Exceptions[[#This Row],[End]])),"",(Exceptions[[#This Row],[End]]-Exceptions[[#This Row],[Start]])*1440)</f>
        <v/>
      </c>
      <c r="J262" s="42" t="str">
        <f>IF(ISBLANK(Exceptions[[#This Row],[Date]]),"",IF(Exceptions[[#This Row],[Activity]]="Instruction",Exceptions[[#This Row],[Elapsed]],0))</f>
        <v/>
      </c>
      <c r="K262" s="42" t="str">
        <f>IF(ISBLANK(Exceptions[[#This Row],[Activity]]),"",IF(_xlfn.XLOOKUP(Exceptions[[#This Row],[Activity]],Types_of_Activity[Type of Activity],Types_of_Activity[Classification])=2,Exceptions[[#This Row],[Elapsed]],0))</f>
        <v/>
      </c>
    </row>
    <row r="263" spans="2:11" x14ac:dyDescent="0.3">
      <c r="B263" t="str">
        <f>TEXT(Exceptions[[#This Row],[Date]],"MMMM")</f>
        <v>January</v>
      </c>
      <c r="C263" s="146"/>
      <c r="D263" s="136"/>
      <c r="E263" s="136"/>
      <c r="F263" s="103"/>
      <c r="G263" s="103"/>
      <c r="H263" s="103"/>
      <c r="I263" s="42" t="str">
        <f>IF(OR(ISBLANK(Exceptions[[#This Row],[Start]]),ISBLANK(Exceptions[[#This Row],[End]])),"",(Exceptions[[#This Row],[End]]-Exceptions[[#This Row],[Start]])*1440)</f>
        <v/>
      </c>
      <c r="J263" s="42" t="str">
        <f>IF(ISBLANK(Exceptions[[#This Row],[Date]]),"",IF(Exceptions[[#This Row],[Activity]]="Instruction",Exceptions[[#This Row],[Elapsed]],0))</f>
        <v/>
      </c>
      <c r="K263" s="42" t="str">
        <f>IF(ISBLANK(Exceptions[[#This Row],[Activity]]),"",IF(_xlfn.XLOOKUP(Exceptions[[#This Row],[Activity]],Types_of_Activity[Type of Activity],Types_of_Activity[Classification])=2,Exceptions[[#This Row],[Elapsed]],0))</f>
        <v/>
      </c>
    </row>
    <row r="264" spans="2:11" x14ac:dyDescent="0.3">
      <c r="B264" t="str">
        <f>TEXT(Exceptions[[#This Row],[Date]],"MMMM")</f>
        <v>January</v>
      </c>
      <c r="C264" s="146"/>
      <c r="D264" s="136"/>
      <c r="E264" s="136"/>
      <c r="F264" s="103"/>
      <c r="G264" s="103"/>
      <c r="H264" s="103"/>
      <c r="I264" s="42" t="str">
        <f>IF(OR(ISBLANK(Exceptions[[#This Row],[Start]]),ISBLANK(Exceptions[[#This Row],[End]])),"",(Exceptions[[#This Row],[End]]-Exceptions[[#This Row],[Start]])*1440)</f>
        <v/>
      </c>
      <c r="J264" s="42" t="str">
        <f>IF(ISBLANK(Exceptions[[#This Row],[Date]]),"",IF(Exceptions[[#This Row],[Activity]]="Instruction",Exceptions[[#This Row],[Elapsed]],0))</f>
        <v/>
      </c>
      <c r="K264" s="42" t="str">
        <f>IF(ISBLANK(Exceptions[[#This Row],[Activity]]),"",IF(_xlfn.XLOOKUP(Exceptions[[#This Row],[Activity]],Types_of_Activity[Type of Activity],Types_of_Activity[Classification])=2,Exceptions[[#This Row],[Elapsed]],0))</f>
        <v/>
      </c>
    </row>
    <row r="265" spans="2:11" x14ac:dyDescent="0.3">
      <c r="B265" t="str">
        <f>TEXT(Exceptions[[#This Row],[Date]],"MMMM")</f>
        <v>January</v>
      </c>
      <c r="C265" s="146"/>
      <c r="D265" s="136"/>
      <c r="E265" s="136"/>
      <c r="F265" s="103"/>
      <c r="G265" s="103"/>
      <c r="H265" s="103"/>
      <c r="I265" s="42" t="str">
        <f>IF(OR(ISBLANK(Exceptions[[#This Row],[Start]]),ISBLANK(Exceptions[[#This Row],[End]])),"",(Exceptions[[#This Row],[End]]-Exceptions[[#This Row],[Start]])*1440)</f>
        <v/>
      </c>
      <c r="J265" s="42" t="str">
        <f>IF(ISBLANK(Exceptions[[#This Row],[Date]]),"",IF(Exceptions[[#This Row],[Activity]]="Instruction",Exceptions[[#This Row],[Elapsed]],0))</f>
        <v/>
      </c>
      <c r="K265" s="42" t="str">
        <f>IF(ISBLANK(Exceptions[[#This Row],[Activity]]),"",IF(_xlfn.XLOOKUP(Exceptions[[#This Row],[Activity]],Types_of_Activity[Type of Activity],Types_of_Activity[Classification])=2,Exceptions[[#This Row],[Elapsed]],0))</f>
        <v/>
      </c>
    </row>
    <row r="266" spans="2:11" x14ac:dyDescent="0.3">
      <c r="B266" t="str">
        <f>TEXT(Exceptions[[#This Row],[Date]],"MMMM")</f>
        <v>January</v>
      </c>
      <c r="C266" s="146"/>
      <c r="D266" s="136"/>
      <c r="E266" s="136"/>
      <c r="F266" s="103"/>
      <c r="G266" s="103"/>
      <c r="H266" s="103"/>
      <c r="I266" s="42" t="str">
        <f>IF(OR(ISBLANK(Exceptions[[#This Row],[Start]]),ISBLANK(Exceptions[[#This Row],[End]])),"",(Exceptions[[#This Row],[End]]-Exceptions[[#This Row],[Start]])*1440)</f>
        <v/>
      </c>
      <c r="J266" s="42" t="str">
        <f>IF(ISBLANK(Exceptions[[#This Row],[Date]]),"",IF(Exceptions[[#This Row],[Activity]]="Instruction",Exceptions[[#This Row],[Elapsed]],0))</f>
        <v/>
      </c>
      <c r="K266" s="42" t="str">
        <f>IF(ISBLANK(Exceptions[[#This Row],[Activity]]),"",IF(_xlfn.XLOOKUP(Exceptions[[#This Row],[Activity]],Types_of_Activity[Type of Activity],Types_of_Activity[Classification])=2,Exceptions[[#This Row],[Elapsed]],0))</f>
        <v/>
      </c>
    </row>
    <row r="267" spans="2:11" x14ac:dyDescent="0.3">
      <c r="B267" t="str">
        <f>TEXT(Exceptions[[#This Row],[Date]],"MMMM")</f>
        <v>January</v>
      </c>
      <c r="C267" s="146"/>
      <c r="D267" s="136"/>
      <c r="E267" s="136"/>
      <c r="F267" s="103"/>
      <c r="G267" s="103"/>
      <c r="H267" s="103"/>
      <c r="I267" s="42" t="str">
        <f>IF(OR(ISBLANK(Exceptions[[#This Row],[Start]]),ISBLANK(Exceptions[[#This Row],[End]])),"",(Exceptions[[#This Row],[End]]-Exceptions[[#This Row],[Start]])*1440)</f>
        <v/>
      </c>
      <c r="J267" s="42" t="str">
        <f>IF(ISBLANK(Exceptions[[#This Row],[Date]]),"",IF(Exceptions[[#This Row],[Activity]]="Instruction",Exceptions[[#This Row],[Elapsed]],0))</f>
        <v/>
      </c>
      <c r="K267" s="42" t="str">
        <f>IF(ISBLANK(Exceptions[[#This Row],[Activity]]),"",IF(_xlfn.XLOOKUP(Exceptions[[#This Row],[Activity]],Types_of_Activity[Type of Activity],Types_of_Activity[Classification])=2,Exceptions[[#This Row],[Elapsed]],0))</f>
        <v/>
      </c>
    </row>
    <row r="268" spans="2:11" x14ac:dyDescent="0.3">
      <c r="B268" t="str">
        <f>TEXT(Exceptions[[#This Row],[Date]],"MMMM")</f>
        <v>January</v>
      </c>
      <c r="C268" s="146"/>
      <c r="D268" s="136"/>
      <c r="E268" s="136"/>
      <c r="F268" s="103"/>
      <c r="G268" s="103"/>
      <c r="H268" s="103"/>
      <c r="I268" s="42" t="str">
        <f>IF(OR(ISBLANK(Exceptions[[#This Row],[Start]]),ISBLANK(Exceptions[[#This Row],[End]])),"",(Exceptions[[#This Row],[End]]-Exceptions[[#This Row],[Start]])*1440)</f>
        <v/>
      </c>
      <c r="J268" s="42" t="str">
        <f>IF(ISBLANK(Exceptions[[#This Row],[Date]]),"",IF(Exceptions[[#This Row],[Activity]]="Instruction",Exceptions[[#This Row],[Elapsed]],0))</f>
        <v/>
      </c>
      <c r="K268" s="42" t="str">
        <f>IF(ISBLANK(Exceptions[[#This Row],[Activity]]),"",IF(_xlfn.XLOOKUP(Exceptions[[#This Row],[Activity]],Types_of_Activity[Type of Activity],Types_of_Activity[Classification])=2,Exceptions[[#This Row],[Elapsed]],0))</f>
        <v/>
      </c>
    </row>
    <row r="269" spans="2:11" x14ac:dyDescent="0.3">
      <c r="B269" t="str">
        <f>TEXT(Exceptions[[#This Row],[Date]],"MMMM")</f>
        <v>January</v>
      </c>
      <c r="C269" s="146"/>
      <c r="D269" s="136"/>
      <c r="E269" s="136"/>
      <c r="F269" s="103"/>
      <c r="G269" s="103"/>
      <c r="H269" s="103"/>
      <c r="I269" s="42" t="str">
        <f>IF(OR(ISBLANK(Exceptions[[#This Row],[Start]]),ISBLANK(Exceptions[[#This Row],[End]])),"",(Exceptions[[#This Row],[End]]-Exceptions[[#This Row],[Start]])*1440)</f>
        <v/>
      </c>
      <c r="J269" s="42" t="str">
        <f>IF(ISBLANK(Exceptions[[#This Row],[Date]]),"",IF(Exceptions[[#This Row],[Activity]]="Instruction",Exceptions[[#This Row],[Elapsed]],0))</f>
        <v/>
      </c>
      <c r="K269" s="42" t="str">
        <f>IF(ISBLANK(Exceptions[[#This Row],[Activity]]),"",IF(_xlfn.XLOOKUP(Exceptions[[#This Row],[Activity]],Types_of_Activity[Type of Activity],Types_of_Activity[Classification])=2,Exceptions[[#This Row],[Elapsed]],0))</f>
        <v/>
      </c>
    </row>
    <row r="270" spans="2:11" x14ac:dyDescent="0.3">
      <c r="B270" t="str">
        <f>TEXT(Exceptions[[#This Row],[Date]],"MMMM")</f>
        <v>January</v>
      </c>
      <c r="C270" s="146"/>
      <c r="D270" s="136"/>
      <c r="E270" s="136"/>
      <c r="F270" s="103"/>
      <c r="G270" s="103"/>
      <c r="H270" s="103"/>
      <c r="I270" s="42" t="str">
        <f>IF(OR(ISBLANK(Exceptions[[#This Row],[Start]]),ISBLANK(Exceptions[[#This Row],[End]])),"",(Exceptions[[#This Row],[End]]-Exceptions[[#This Row],[Start]])*1440)</f>
        <v/>
      </c>
      <c r="J270" s="42" t="str">
        <f>IF(ISBLANK(Exceptions[[#This Row],[Date]]),"",IF(Exceptions[[#This Row],[Activity]]="Instruction",Exceptions[[#This Row],[Elapsed]],0))</f>
        <v/>
      </c>
      <c r="K270" s="42" t="str">
        <f>IF(ISBLANK(Exceptions[[#This Row],[Activity]]),"",IF(_xlfn.XLOOKUP(Exceptions[[#This Row],[Activity]],Types_of_Activity[Type of Activity],Types_of_Activity[Classification])=2,Exceptions[[#This Row],[Elapsed]],0))</f>
        <v/>
      </c>
    </row>
    <row r="271" spans="2:11" x14ac:dyDescent="0.3">
      <c r="B271" t="str">
        <f>TEXT(Exceptions[[#This Row],[Date]],"MMMM")</f>
        <v>January</v>
      </c>
      <c r="C271" s="146"/>
      <c r="D271" s="136"/>
      <c r="E271" s="136"/>
      <c r="F271" s="103"/>
      <c r="G271" s="103"/>
      <c r="H271" s="103"/>
      <c r="I271" s="42" t="str">
        <f>IF(OR(ISBLANK(Exceptions[[#This Row],[Start]]),ISBLANK(Exceptions[[#This Row],[End]])),"",(Exceptions[[#This Row],[End]]-Exceptions[[#This Row],[Start]])*1440)</f>
        <v/>
      </c>
      <c r="J271" s="42" t="str">
        <f>IF(ISBLANK(Exceptions[[#This Row],[Date]]),"",IF(Exceptions[[#This Row],[Activity]]="Instruction",Exceptions[[#This Row],[Elapsed]],0))</f>
        <v/>
      </c>
      <c r="K271" s="42" t="str">
        <f>IF(ISBLANK(Exceptions[[#This Row],[Activity]]),"",IF(_xlfn.XLOOKUP(Exceptions[[#This Row],[Activity]],Types_of_Activity[Type of Activity],Types_of_Activity[Classification])=2,Exceptions[[#This Row],[Elapsed]],0))</f>
        <v/>
      </c>
    </row>
    <row r="272" spans="2:11" x14ac:dyDescent="0.3">
      <c r="B272" t="str">
        <f>TEXT(Exceptions[[#This Row],[Date]],"MMMM")</f>
        <v>January</v>
      </c>
      <c r="C272" s="146"/>
      <c r="D272" s="136"/>
      <c r="E272" s="136"/>
      <c r="F272" s="103"/>
      <c r="G272" s="103"/>
      <c r="H272" s="103"/>
      <c r="I272" s="42" t="str">
        <f>IF(OR(ISBLANK(Exceptions[[#This Row],[Start]]),ISBLANK(Exceptions[[#This Row],[End]])),"",(Exceptions[[#This Row],[End]]-Exceptions[[#This Row],[Start]])*1440)</f>
        <v/>
      </c>
      <c r="J272" s="42" t="str">
        <f>IF(ISBLANK(Exceptions[[#This Row],[Date]]),"",IF(Exceptions[[#This Row],[Activity]]="Instruction",Exceptions[[#This Row],[Elapsed]],0))</f>
        <v/>
      </c>
      <c r="K272" s="42" t="str">
        <f>IF(ISBLANK(Exceptions[[#This Row],[Activity]]),"",IF(_xlfn.XLOOKUP(Exceptions[[#This Row],[Activity]],Types_of_Activity[Type of Activity],Types_of_Activity[Classification])=2,Exceptions[[#This Row],[Elapsed]],0))</f>
        <v/>
      </c>
    </row>
    <row r="273" spans="2:11" x14ac:dyDescent="0.3">
      <c r="B273" t="str">
        <f>TEXT(Exceptions[[#This Row],[Date]],"MMMM")</f>
        <v>January</v>
      </c>
      <c r="C273" s="146"/>
      <c r="D273" s="136"/>
      <c r="E273" s="136"/>
      <c r="F273" s="103"/>
      <c r="G273" s="103"/>
      <c r="H273" s="103"/>
      <c r="I273" s="42" t="str">
        <f>IF(OR(ISBLANK(Exceptions[[#This Row],[Start]]),ISBLANK(Exceptions[[#This Row],[End]])),"",(Exceptions[[#This Row],[End]]-Exceptions[[#This Row],[Start]])*1440)</f>
        <v/>
      </c>
      <c r="J273" s="42" t="str">
        <f>IF(ISBLANK(Exceptions[[#This Row],[Date]]),"",IF(Exceptions[[#This Row],[Activity]]="Instruction",Exceptions[[#This Row],[Elapsed]],0))</f>
        <v/>
      </c>
      <c r="K273" s="42" t="str">
        <f>IF(ISBLANK(Exceptions[[#This Row],[Activity]]),"",IF(_xlfn.XLOOKUP(Exceptions[[#This Row],[Activity]],Types_of_Activity[Type of Activity],Types_of_Activity[Classification])=2,Exceptions[[#This Row],[Elapsed]],0))</f>
        <v/>
      </c>
    </row>
    <row r="274" spans="2:11" x14ac:dyDescent="0.3">
      <c r="B274" t="str">
        <f>TEXT(Exceptions[[#This Row],[Date]],"MMMM")</f>
        <v>January</v>
      </c>
      <c r="C274" s="146"/>
      <c r="D274" s="136"/>
      <c r="E274" s="136"/>
      <c r="F274" s="103"/>
      <c r="G274" s="103"/>
      <c r="H274" s="103"/>
      <c r="I274" s="42" t="str">
        <f>IF(OR(ISBLANK(Exceptions[[#This Row],[Start]]),ISBLANK(Exceptions[[#This Row],[End]])),"",(Exceptions[[#This Row],[End]]-Exceptions[[#This Row],[Start]])*1440)</f>
        <v/>
      </c>
      <c r="J274" s="42" t="str">
        <f>IF(ISBLANK(Exceptions[[#This Row],[Date]]),"",IF(Exceptions[[#This Row],[Activity]]="Instruction",Exceptions[[#This Row],[Elapsed]],0))</f>
        <v/>
      </c>
      <c r="K274" s="42" t="str">
        <f>IF(ISBLANK(Exceptions[[#This Row],[Activity]]),"",IF(_xlfn.XLOOKUP(Exceptions[[#This Row],[Activity]],Types_of_Activity[Type of Activity],Types_of_Activity[Classification])=2,Exceptions[[#This Row],[Elapsed]],0))</f>
        <v/>
      </c>
    </row>
    <row r="275" spans="2:11" x14ac:dyDescent="0.3">
      <c r="B275" t="str">
        <f>TEXT(Exceptions[[#This Row],[Date]],"MMMM")</f>
        <v>January</v>
      </c>
      <c r="C275" s="146"/>
      <c r="D275" s="136"/>
      <c r="E275" s="136"/>
      <c r="F275" s="103"/>
      <c r="G275" s="103"/>
      <c r="H275" s="103"/>
      <c r="I275" s="42" t="str">
        <f>IF(OR(ISBLANK(Exceptions[[#This Row],[Start]]),ISBLANK(Exceptions[[#This Row],[End]])),"",(Exceptions[[#This Row],[End]]-Exceptions[[#This Row],[Start]])*1440)</f>
        <v/>
      </c>
      <c r="J275" s="42" t="str">
        <f>IF(ISBLANK(Exceptions[[#This Row],[Date]]),"",IF(Exceptions[[#This Row],[Activity]]="Instruction",Exceptions[[#This Row],[Elapsed]],0))</f>
        <v/>
      </c>
      <c r="K275" s="42" t="str">
        <f>IF(ISBLANK(Exceptions[[#This Row],[Activity]]),"",IF(_xlfn.XLOOKUP(Exceptions[[#This Row],[Activity]],Types_of_Activity[Type of Activity],Types_of_Activity[Classification])=2,Exceptions[[#This Row],[Elapsed]],0))</f>
        <v/>
      </c>
    </row>
    <row r="276" spans="2:11" x14ac:dyDescent="0.3">
      <c r="B276" t="str">
        <f>TEXT(Exceptions[[#This Row],[Date]],"MMMM")</f>
        <v>January</v>
      </c>
      <c r="C276" s="146"/>
      <c r="D276" s="136"/>
      <c r="E276" s="136"/>
      <c r="F276" s="103"/>
      <c r="G276" s="103"/>
      <c r="H276" s="103"/>
      <c r="I276" s="42" t="str">
        <f>IF(OR(ISBLANK(Exceptions[[#This Row],[Start]]),ISBLANK(Exceptions[[#This Row],[End]])),"",(Exceptions[[#This Row],[End]]-Exceptions[[#This Row],[Start]])*1440)</f>
        <v/>
      </c>
      <c r="J276" s="42" t="str">
        <f>IF(ISBLANK(Exceptions[[#This Row],[Date]]),"",IF(Exceptions[[#This Row],[Activity]]="Instruction",Exceptions[[#This Row],[Elapsed]],0))</f>
        <v/>
      </c>
      <c r="K276" s="42" t="str">
        <f>IF(ISBLANK(Exceptions[[#This Row],[Activity]]),"",IF(_xlfn.XLOOKUP(Exceptions[[#This Row],[Activity]],Types_of_Activity[Type of Activity],Types_of_Activity[Classification])=2,Exceptions[[#This Row],[Elapsed]],0))</f>
        <v/>
      </c>
    </row>
    <row r="277" spans="2:11" x14ac:dyDescent="0.3">
      <c r="B277" t="str">
        <f>TEXT(Exceptions[[#This Row],[Date]],"MMMM")</f>
        <v>January</v>
      </c>
      <c r="C277" s="146"/>
      <c r="D277" s="136"/>
      <c r="E277" s="136"/>
      <c r="F277" s="103"/>
      <c r="G277" s="103"/>
      <c r="H277" s="103"/>
      <c r="I277" s="42" t="str">
        <f>IF(OR(ISBLANK(Exceptions[[#This Row],[Start]]),ISBLANK(Exceptions[[#This Row],[End]])),"",(Exceptions[[#This Row],[End]]-Exceptions[[#This Row],[Start]])*1440)</f>
        <v/>
      </c>
      <c r="J277" s="42" t="str">
        <f>IF(ISBLANK(Exceptions[[#This Row],[Date]]),"",IF(Exceptions[[#This Row],[Activity]]="Instruction",Exceptions[[#This Row],[Elapsed]],0))</f>
        <v/>
      </c>
      <c r="K277" s="42" t="str">
        <f>IF(ISBLANK(Exceptions[[#This Row],[Activity]]),"",IF(_xlfn.XLOOKUP(Exceptions[[#This Row],[Activity]],Types_of_Activity[Type of Activity],Types_of_Activity[Classification])=2,Exceptions[[#This Row],[Elapsed]],0))</f>
        <v/>
      </c>
    </row>
    <row r="278" spans="2:11" x14ac:dyDescent="0.3">
      <c r="B278" t="str">
        <f>TEXT(Exceptions[[#This Row],[Date]],"MMMM")</f>
        <v>January</v>
      </c>
      <c r="C278" s="146"/>
      <c r="D278" s="136"/>
      <c r="E278" s="136"/>
      <c r="F278" s="103"/>
      <c r="G278" s="103"/>
      <c r="H278" s="103"/>
      <c r="I278" s="42" t="str">
        <f>IF(OR(ISBLANK(Exceptions[[#This Row],[Start]]),ISBLANK(Exceptions[[#This Row],[End]])),"",(Exceptions[[#This Row],[End]]-Exceptions[[#This Row],[Start]])*1440)</f>
        <v/>
      </c>
      <c r="J278" s="42" t="str">
        <f>IF(ISBLANK(Exceptions[[#This Row],[Date]]),"",IF(Exceptions[[#This Row],[Activity]]="Instruction",Exceptions[[#This Row],[Elapsed]],0))</f>
        <v/>
      </c>
      <c r="K278" s="42" t="str">
        <f>IF(ISBLANK(Exceptions[[#This Row],[Activity]]),"",IF(_xlfn.XLOOKUP(Exceptions[[#This Row],[Activity]],Types_of_Activity[Type of Activity],Types_of_Activity[Classification])=2,Exceptions[[#This Row],[Elapsed]],0))</f>
        <v/>
      </c>
    </row>
    <row r="279" spans="2:11" x14ac:dyDescent="0.3">
      <c r="B279" t="str">
        <f>TEXT(Exceptions[[#This Row],[Date]],"MMMM")</f>
        <v>January</v>
      </c>
      <c r="C279" s="146"/>
      <c r="D279" s="136"/>
      <c r="E279" s="136"/>
      <c r="F279" s="103"/>
      <c r="G279" s="103"/>
      <c r="H279" s="103"/>
      <c r="I279" s="42" t="str">
        <f>IF(OR(ISBLANK(Exceptions[[#This Row],[Start]]),ISBLANK(Exceptions[[#This Row],[End]])),"",(Exceptions[[#This Row],[End]]-Exceptions[[#This Row],[Start]])*1440)</f>
        <v/>
      </c>
      <c r="J279" s="42" t="str">
        <f>IF(ISBLANK(Exceptions[[#This Row],[Date]]),"",IF(Exceptions[[#This Row],[Activity]]="Instruction",Exceptions[[#This Row],[Elapsed]],0))</f>
        <v/>
      </c>
      <c r="K279" s="42" t="str">
        <f>IF(ISBLANK(Exceptions[[#This Row],[Activity]]),"",IF(_xlfn.XLOOKUP(Exceptions[[#This Row],[Activity]],Types_of_Activity[Type of Activity],Types_of_Activity[Classification])=2,Exceptions[[#This Row],[Elapsed]],0))</f>
        <v/>
      </c>
    </row>
    <row r="280" spans="2:11" x14ac:dyDescent="0.3">
      <c r="B280" t="str">
        <f>TEXT(Exceptions[[#This Row],[Date]],"MMMM")</f>
        <v>January</v>
      </c>
      <c r="C280" s="146"/>
      <c r="D280" s="136"/>
      <c r="E280" s="136"/>
      <c r="F280" s="103"/>
      <c r="G280" s="103"/>
      <c r="H280" s="103"/>
      <c r="I280" s="42" t="str">
        <f>IF(OR(ISBLANK(Exceptions[[#This Row],[Start]]),ISBLANK(Exceptions[[#This Row],[End]])),"",(Exceptions[[#This Row],[End]]-Exceptions[[#This Row],[Start]])*1440)</f>
        <v/>
      </c>
      <c r="J280" s="42" t="str">
        <f>IF(ISBLANK(Exceptions[[#This Row],[Date]]),"",IF(Exceptions[[#This Row],[Activity]]="Instruction",Exceptions[[#This Row],[Elapsed]],0))</f>
        <v/>
      </c>
      <c r="K280" s="42" t="str">
        <f>IF(ISBLANK(Exceptions[[#This Row],[Activity]]),"",IF(_xlfn.XLOOKUP(Exceptions[[#This Row],[Activity]],Types_of_Activity[Type of Activity],Types_of_Activity[Classification])=2,Exceptions[[#This Row],[Elapsed]],0))</f>
        <v/>
      </c>
    </row>
    <row r="281" spans="2:11" x14ac:dyDescent="0.3">
      <c r="B281" t="str">
        <f>TEXT(Exceptions[[#This Row],[Date]],"MMMM")</f>
        <v>January</v>
      </c>
      <c r="C281" s="146"/>
      <c r="D281" s="136"/>
      <c r="E281" s="136"/>
      <c r="F281" s="103"/>
      <c r="G281" s="103"/>
      <c r="H281" s="103"/>
      <c r="I281" s="42" t="str">
        <f>IF(OR(ISBLANK(Exceptions[[#This Row],[Start]]),ISBLANK(Exceptions[[#This Row],[End]])),"",(Exceptions[[#This Row],[End]]-Exceptions[[#This Row],[Start]])*1440)</f>
        <v/>
      </c>
      <c r="J281" s="42" t="str">
        <f>IF(ISBLANK(Exceptions[[#This Row],[Date]]),"",IF(Exceptions[[#This Row],[Activity]]="Instruction",Exceptions[[#This Row],[Elapsed]],0))</f>
        <v/>
      </c>
      <c r="K281" s="42" t="str">
        <f>IF(ISBLANK(Exceptions[[#This Row],[Activity]]),"",IF(_xlfn.XLOOKUP(Exceptions[[#This Row],[Activity]],Types_of_Activity[Type of Activity],Types_of_Activity[Classification])=2,Exceptions[[#This Row],[Elapsed]],0))</f>
        <v/>
      </c>
    </row>
    <row r="282" spans="2:11" x14ac:dyDescent="0.3">
      <c r="B282" t="str">
        <f>TEXT(Exceptions[[#This Row],[Date]],"MMMM")</f>
        <v>January</v>
      </c>
      <c r="C282" s="146"/>
      <c r="D282" s="136"/>
      <c r="E282" s="136"/>
      <c r="F282" s="103"/>
      <c r="G282" s="103"/>
      <c r="H282" s="103"/>
      <c r="I282" s="42" t="str">
        <f>IF(OR(ISBLANK(Exceptions[[#This Row],[Start]]),ISBLANK(Exceptions[[#This Row],[End]])),"",(Exceptions[[#This Row],[End]]-Exceptions[[#This Row],[Start]])*1440)</f>
        <v/>
      </c>
      <c r="J282" s="42" t="str">
        <f>IF(ISBLANK(Exceptions[[#This Row],[Date]]),"",IF(Exceptions[[#This Row],[Activity]]="Instruction",Exceptions[[#This Row],[Elapsed]],0))</f>
        <v/>
      </c>
      <c r="K282" s="42" t="str">
        <f>IF(ISBLANK(Exceptions[[#This Row],[Activity]]),"",IF(_xlfn.XLOOKUP(Exceptions[[#This Row],[Activity]],Types_of_Activity[Type of Activity],Types_of_Activity[Classification])=2,Exceptions[[#This Row],[Elapsed]],0))</f>
        <v/>
      </c>
    </row>
    <row r="283" spans="2:11" x14ac:dyDescent="0.3">
      <c r="B283" t="str">
        <f>TEXT(Exceptions[[#This Row],[Date]],"MMMM")</f>
        <v>January</v>
      </c>
      <c r="C283" s="146"/>
      <c r="D283" s="136"/>
      <c r="E283" s="136"/>
      <c r="F283" s="103"/>
      <c r="G283" s="103"/>
      <c r="H283" s="103"/>
      <c r="I283" s="42" t="str">
        <f>IF(OR(ISBLANK(Exceptions[[#This Row],[Start]]),ISBLANK(Exceptions[[#This Row],[End]])),"",(Exceptions[[#This Row],[End]]-Exceptions[[#This Row],[Start]])*1440)</f>
        <v/>
      </c>
      <c r="J283" s="42" t="str">
        <f>IF(ISBLANK(Exceptions[[#This Row],[Date]]),"",IF(Exceptions[[#This Row],[Activity]]="Instruction",Exceptions[[#This Row],[Elapsed]],0))</f>
        <v/>
      </c>
      <c r="K283" s="42" t="str">
        <f>IF(ISBLANK(Exceptions[[#This Row],[Activity]]),"",IF(_xlfn.XLOOKUP(Exceptions[[#This Row],[Activity]],Types_of_Activity[Type of Activity],Types_of_Activity[Classification])=2,Exceptions[[#This Row],[Elapsed]],0))</f>
        <v/>
      </c>
    </row>
    <row r="284" spans="2:11" x14ac:dyDescent="0.3">
      <c r="B284" t="str">
        <f>TEXT(Exceptions[[#This Row],[Date]],"MMMM")</f>
        <v>January</v>
      </c>
      <c r="C284" s="146"/>
      <c r="D284" s="136"/>
      <c r="E284" s="136"/>
      <c r="F284" s="103"/>
      <c r="G284" s="103"/>
      <c r="H284" s="103"/>
      <c r="I284" s="42" t="str">
        <f>IF(OR(ISBLANK(Exceptions[[#This Row],[Start]]),ISBLANK(Exceptions[[#This Row],[End]])),"",(Exceptions[[#This Row],[End]]-Exceptions[[#This Row],[Start]])*1440)</f>
        <v/>
      </c>
      <c r="J284" s="42" t="str">
        <f>IF(ISBLANK(Exceptions[[#This Row],[Date]]),"",IF(Exceptions[[#This Row],[Activity]]="Instruction",Exceptions[[#This Row],[Elapsed]],0))</f>
        <v/>
      </c>
      <c r="K284" s="42" t="str">
        <f>IF(ISBLANK(Exceptions[[#This Row],[Activity]]),"",IF(_xlfn.XLOOKUP(Exceptions[[#This Row],[Activity]],Types_of_Activity[Type of Activity],Types_of_Activity[Classification])=2,Exceptions[[#This Row],[Elapsed]],0))</f>
        <v/>
      </c>
    </row>
    <row r="285" spans="2:11" x14ac:dyDescent="0.3">
      <c r="B285" t="str">
        <f>TEXT(Exceptions[[#This Row],[Date]],"MMMM")</f>
        <v>January</v>
      </c>
      <c r="C285" s="146"/>
      <c r="D285" s="136"/>
      <c r="E285" s="136"/>
      <c r="F285" s="103"/>
      <c r="G285" s="103"/>
      <c r="H285" s="103"/>
      <c r="I285" s="42" t="str">
        <f>IF(OR(ISBLANK(Exceptions[[#This Row],[Start]]),ISBLANK(Exceptions[[#This Row],[End]])),"",(Exceptions[[#This Row],[End]]-Exceptions[[#This Row],[Start]])*1440)</f>
        <v/>
      </c>
      <c r="J285" s="42" t="str">
        <f>IF(ISBLANK(Exceptions[[#This Row],[Date]]),"",IF(Exceptions[[#This Row],[Activity]]="Instruction",Exceptions[[#This Row],[Elapsed]],0))</f>
        <v/>
      </c>
      <c r="K285" s="42" t="str">
        <f>IF(ISBLANK(Exceptions[[#This Row],[Activity]]),"",IF(_xlfn.XLOOKUP(Exceptions[[#This Row],[Activity]],Types_of_Activity[Type of Activity],Types_of_Activity[Classification])=2,Exceptions[[#This Row],[Elapsed]],0))</f>
        <v/>
      </c>
    </row>
    <row r="286" spans="2:11" x14ac:dyDescent="0.3">
      <c r="B286" t="str">
        <f>TEXT(Exceptions[[#This Row],[Date]],"MMMM")</f>
        <v>January</v>
      </c>
      <c r="C286" s="146"/>
      <c r="D286" s="136"/>
      <c r="E286" s="136"/>
      <c r="F286" s="103"/>
      <c r="G286" s="103"/>
      <c r="H286" s="103"/>
      <c r="I286" s="42" t="str">
        <f>IF(OR(ISBLANK(Exceptions[[#This Row],[Start]]),ISBLANK(Exceptions[[#This Row],[End]])),"",(Exceptions[[#This Row],[End]]-Exceptions[[#This Row],[Start]])*1440)</f>
        <v/>
      </c>
      <c r="J286" s="42" t="str">
        <f>IF(ISBLANK(Exceptions[[#This Row],[Date]]),"",IF(Exceptions[[#This Row],[Activity]]="Instruction",Exceptions[[#This Row],[Elapsed]],0))</f>
        <v/>
      </c>
      <c r="K286" s="42" t="str">
        <f>IF(ISBLANK(Exceptions[[#This Row],[Activity]]),"",IF(_xlfn.XLOOKUP(Exceptions[[#This Row],[Activity]],Types_of_Activity[Type of Activity],Types_of_Activity[Classification])=2,Exceptions[[#This Row],[Elapsed]],0))</f>
        <v/>
      </c>
    </row>
    <row r="287" spans="2:11" x14ac:dyDescent="0.3">
      <c r="B287" t="str">
        <f>TEXT(Exceptions[[#This Row],[Date]],"MMMM")</f>
        <v>January</v>
      </c>
      <c r="C287" s="146"/>
      <c r="D287" s="136"/>
      <c r="E287" s="136"/>
      <c r="F287" s="103"/>
      <c r="G287" s="103"/>
      <c r="H287" s="103"/>
      <c r="I287" s="42" t="str">
        <f>IF(OR(ISBLANK(Exceptions[[#This Row],[Start]]),ISBLANK(Exceptions[[#This Row],[End]])),"",(Exceptions[[#This Row],[End]]-Exceptions[[#This Row],[Start]])*1440)</f>
        <v/>
      </c>
      <c r="J287" s="42" t="str">
        <f>IF(ISBLANK(Exceptions[[#This Row],[Date]]),"",IF(Exceptions[[#This Row],[Activity]]="Instruction",Exceptions[[#This Row],[Elapsed]],0))</f>
        <v/>
      </c>
      <c r="K287" s="42" t="str">
        <f>IF(ISBLANK(Exceptions[[#This Row],[Activity]]),"",IF(_xlfn.XLOOKUP(Exceptions[[#This Row],[Activity]],Types_of_Activity[Type of Activity],Types_of_Activity[Classification])=2,Exceptions[[#This Row],[Elapsed]],0))</f>
        <v/>
      </c>
    </row>
    <row r="288" spans="2:11" x14ac:dyDescent="0.3">
      <c r="B288" t="str">
        <f>TEXT(Exceptions[[#This Row],[Date]],"MMMM")</f>
        <v>January</v>
      </c>
      <c r="C288" s="146"/>
      <c r="D288" s="136"/>
      <c r="E288" s="136"/>
      <c r="F288" s="103"/>
      <c r="G288" s="103"/>
      <c r="H288" s="103"/>
      <c r="I288" s="42" t="str">
        <f>IF(OR(ISBLANK(Exceptions[[#This Row],[Start]]),ISBLANK(Exceptions[[#This Row],[End]])),"",(Exceptions[[#This Row],[End]]-Exceptions[[#This Row],[Start]])*1440)</f>
        <v/>
      </c>
      <c r="J288" s="42" t="str">
        <f>IF(ISBLANK(Exceptions[[#This Row],[Date]]),"",IF(Exceptions[[#This Row],[Activity]]="Instruction",Exceptions[[#This Row],[Elapsed]],0))</f>
        <v/>
      </c>
      <c r="K288" s="42" t="str">
        <f>IF(ISBLANK(Exceptions[[#This Row],[Activity]]),"",IF(_xlfn.XLOOKUP(Exceptions[[#This Row],[Activity]],Types_of_Activity[Type of Activity],Types_of_Activity[Classification])=2,Exceptions[[#This Row],[Elapsed]],0))</f>
        <v/>
      </c>
    </row>
    <row r="289" spans="2:11" x14ac:dyDescent="0.3">
      <c r="B289" t="str">
        <f>TEXT(Exceptions[[#This Row],[Date]],"MMMM")</f>
        <v>January</v>
      </c>
      <c r="C289" s="146"/>
      <c r="D289" s="136"/>
      <c r="E289" s="136"/>
      <c r="F289" s="103"/>
      <c r="G289" s="103"/>
      <c r="H289" s="103"/>
      <c r="I289" s="42" t="str">
        <f>IF(OR(ISBLANK(Exceptions[[#This Row],[Start]]),ISBLANK(Exceptions[[#This Row],[End]])),"",(Exceptions[[#This Row],[End]]-Exceptions[[#This Row],[Start]])*1440)</f>
        <v/>
      </c>
      <c r="J289" s="42" t="str">
        <f>IF(ISBLANK(Exceptions[[#This Row],[Date]]),"",IF(Exceptions[[#This Row],[Activity]]="Instruction",Exceptions[[#This Row],[Elapsed]],0))</f>
        <v/>
      </c>
      <c r="K289" s="42" t="str">
        <f>IF(ISBLANK(Exceptions[[#This Row],[Activity]]),"",IF(_xlfn.XLOOKUP(Exceptions[[#This Row],[Activity]],Types_of_Activity[Type of Activity],Types_of_Activity[Classification])=2,Exceptions[[#This Row],[Elapsed]],0))</f>
        <v/>
      </c>
    </row>
    <row r="290" spans="2:11" x14ac:dyDescent="0.3">
      <c r="B290" t="str">
        <f>TEXT(Exceptions[[#This Row],[Date]],"MMMM")</f>
        <v>January</v>
      </c>
      <c r="C290" s="146"/>
      <c r="D290" s="136"/>
      <c r="E290" s="136"/>
      <c r="F290" s="103"/>
      <c r="G290" s="103"/>
      <c r="H290" s="103"/>
      <c r="I290" s="42" t="str">
        <f>IF(OR(ISBLANK(Exceptions[[#This Row],[Start]]),ISBLANK(Exceptions[[#This Row],[End]])),"",(Exceptions[[#This Row],[End]]-Exceptions[[#This Row],[Start]])*1440)</f>
        <v/>
      </c>
      <c r="J290" s="42" t="str">
        <f>IF(ISBLANK(Exceptions[[#This Row],[Date]]),"",IF(Exceptions[[#This Row],[Activity]]="Instruction",Exceptions[[#This Row],[Elapsed]],0))</f>
        <v/>
      </c>
      <c r="K290" s="42" t="str">
        <f>IF(ISBLANK(Exceptions[[#This Row],[Activity]]),"",IF(_xlfn.XLOOKUP(Exceptions[[#This Row],[Activity]],Types_of_Activity[Type of Activity],Types_of_Activity[Classification])=2,Exceptions[[#This Row],[Elapsed]],0))</f>
        <v/>
      </c>
    </row>
    <row r="291" spans="2:11" x14ac:dyDescent="0.3">
      <c r="B291" t="str">
        <f>TEXT(Exceptions[[#This Row],[Date]],"MMMM")</f>
        <v>January</v>
      </c>
      <c r="C291" s="146"/>
      <c r="D291" s="136"/>
      <c r="E291" s="136"/>
      <c r="F291" s="103"/>
      <c r="G291" s="103"/>
      <c r="H291" s="103"/>
      <c r="I291" s="42" t="str">
        <f>IF(OR(ISBLANK(Exceptions[[#This Row],[Start]]),ISBLANK(Exceptions[[#This Row],[End]])),"",(Exceptions[[#This Row],[End]]-Exceptions[[#This Row],[Start]])*1440)</f>
        <v/>
      </c>
      <c r="J291" s="42" t="str">
        <f>IF(ISBLANK(Exceptions[[#This Row],[Date]]),"",IF(Exceptions[[#This Row],[Activity]]="Instruction",Exceptions[[#This Row],[Elapsed]],0))</f>
        <v/>
      </c>
      <c r="K291" s="42" t="str">
        <f>IF(ISBLANK(Exceptions[[#This Row],[Activity]]),"",IF(_xlfn.XLOOKUP(Exceptions[[#This Row],[Activity]],Types_of_Activity[Type of Activity],Types_of_Activity[Classification])=2,Exceptions[[#This Row],[Elapsed]],0))</f>
        <v/>
      </c>
    </row>
    <row r="292" spans="2:11" x14ac:dyDescent="0.3">
      <c r="B292" t="str">
        <f>TEXT(Exceptions[[#This Row],[Date]],"MMMM")</f>
        <v>January</v>
      </c>
      <c r="C292" s="146"/>
      <c r="D292" s="136"/>
      <c r="E292" s="136"/>
      <c r="F292" s="103"/>
      <c r="G292" s="103"/>
      <c r="H292" s="103"/>
      <c r="I292" s="42" t="str">
        <f>IF(OR(ISBLANK(Exceptions[[#This Row],[Start]]),ISBLANK(Exceptions[[#This Row],[End]])),"",(Exceptions[[#This Row],[End]]-Exceptions[[#This Row],[Start]])*1440)</f>
        <v/>
      </c>
      <c r="J292" s="42" t="str">
        <f>IF(ISBLANK(Exceptions[[#This Row],[Date]]),"",IF(Exceptions[[#This Row],[Activity]]="Instruction",Exceptions[[#This Row],[Elapsed]],0))</f>
        <v/>
      </c>
      <c r="K292" s="42" t="str">
        <f>IF(ISBLANK(Exceptions[[#This Row],[Activity]]),"",IF(_xlfn.XLOOKUP(Exceptions[[#This Row],[Activity]],Types_of_Activity[Type of Activity],Types_of_Activity[Classification])=2,Exceptions[[#This Row],[Elapsed]],0))</f>
        <v/>
      </c>
    </row>
    <row r="293" spans="2:11" x14ac:dyDescent="0.3">
      <c r="B293" t="str">
        <f>TEXT(Exceptions[[#This Row],[Date]],"MMMM")</f>
        <v>January</v>
      </c>
      <c r="C293" s="146"/>
      <c r="D293" s="136"/>
      <c r="E293" s="136"/>
      <c r="F293" s="103"/>
      <c r="G293" s="103"/>
      <c r="H293" s="103"/>
      <c r="I293" s="42" t="str">
        <f>IF(OR(ISBLANK(Exceptions[[#This Row],[Start]]),ISBLANK(Exceptions[[#This Row],[End]])),"",(Exceptions[[#This Row],[End]]-Exceptions[[#This Row],[Start]])*1440)</f>
        <v/>
      </c>
      <c r="J293" s="42" t="str">
        <f>IF(ISBLANK(Exceptions[[#This Row],[Date]]),"",IF(Exceptions[[#This Row],[Activity]]="Instruction",Exceptions[[#This Row],[Elapsed]],0))</f>
        <v/>
      </c>
      <c r="K293" s="42" t="str">
        <f>IF(ISBLANK(Exceptions[[#This Row],[Activity]]),"",IF(_xlfn.XLOOKUP(Exceptions[[#This Row],[Activity]],Types_of_Activity[Type of Activity],Types_of_Activity[Classification])=2,Exceptions[[#This Row],[Elapsed]],0))</f>
        <v/>
      </c>
    </row>
    <row r="294" spans="2:11" x14ac:dyDescent="0.3">
      <c r="B294" t="str">
        <f>TEXT(Exceptions[[#This Row],[Date]],"MMMM")</f>
        <v>January</v>
      </c>
      <c r="C294" s="146"/>
      <c r="D294" s="136"/>
      <c r="E294" s="136"/>
      <c r="F294" s="103"/>
      <c r="G294" s="103"/>
      <c r="H294" s="103"/>
      <c r="I294" s="42" t="str">
        <f>IF(OR(ISBLANK(Exceptions[[#This Row],[Start]]),ISBLANK(Exceptions[[#This Row],[End]])),"",(Exceptions[[#This Row],[End]]-Exceptions[[#This Row],[Start]])*1440)</f>
        <v/>
      </c>
      <c r="J294" s="42" t="str">
        <f>IF(ISBLANK(Exceptions[[#This Row],[Date]]),"",IF(Exceptions[[#This Row],[Activity]]="Instruction",Exceptions[[#This Row],[Elapsed]],0))</f>
        <v/>
      </c>
      <c r="K294" s="42" t="str">
        <f>IF(ISBLANK(Exceptions[[#This Row],[Activity]]),"",IF(_xlfn.XLOOKUP(Exceptions[[#This Row],[Activity]],Types_of_Activity[Type of Activity],Types_of_Activity[Classification])=2,Exceptions[[#This Row],[Elapsed]],0))</f>
        <v/>
      </c>
    </row>
    <row r="295" spans="2:11" x14ac:dyDescent="0.3">
      <c r="B295" t="str">
        <f>TEXT(Exceptions[[#This Row],[Date]],"MMMM")</f>
        <v>January</v>
      </c>
      <c r="C295" s="146"/>
      <c r="D295" s="136"/>
      <c r="E295" s="136"/>
      <c r="F295" s="103"/>
      <c r="G295" s="103"/>
      <c r="H295" s="103"/>
      <c r="I295" s="42" t="str">
        <f>IF(OR(ISBLANK(Exceptions[[#This Row],[Start]]),ISBLANK(Exceptions[[#This Row],[End]])),"",(Exceptions[[#This Row],[End]]-Exceptions[[#This Row],[Start]])*1440)</f>
        <v/>
      </c>
      <c r="J295" s="42" t="str">
        <f>IF(ISBLANK(Exceptions[[#This Row],[Date]]),"",IF(Exceptions[[#This Row],[Activity]]="Instruction",Exceptions[[#This Row],[Elapsed]],0))</f>
        <v/>
      </c>
      <c r="K295" s="42" t="str">
        <f>IF(ISBLANK(Exceptions[[#This Row],[Activity]]),"",IF(_xlfn.XLOOKUP(Exceptions[[#This Row],[Activity]],Types_of_Activity[Type of Activity],Types_of_Activity[Classification])=2,Exceptions[[#This Row],[Elapsed]],0))</f>
        <v/>
      </c>
    </row>
    <row r="296" spans="2:11" x14ac:dyDescent="0.3">
      <c r="B296" t="str">
        <f>TEXT(Exceptions[[#This Row],[Date]],"MMMM")</f>
        <v>January</v>
      </c>
      <c r="C296" s="146"/>
      <c r="D296" s="136"/>
      <c r="E296" s="136"/>
      <c r="F296" s="103"/>
      <c r="G296" s="103"/>
      <c r="H296" s="103"/>
      <c r="I296" s="42" t="str">
        <f>IF(OR(ISBLANK(Exceptions[[#This Row],[Start]]),ISBLANK(Exceptions[[#This Row],[End]])),"",(Exceptions[[#This Row],[End]]-Exceptions[[#This Row],[Start]])*1440)</f>
        <v/>
      </c>
      <c r="J296" s="42" t="str">
        <f>IF(ISBLANK(Exceptions[[#This Row],[Date]]),"",IF(Exceptions[[#This Row],[Activity]]="Instruction",Exceptions[[#This Row],[Elapsed]],0))</f>
        <v/>
      </c>
      <c r="K296" s="42" t="str">
        <f>IF(ISBLANK(Exceptions[[#This Row],[Activity]]),"",IF(_xlfn.XLOOKUP(Exceptions[[#This Row],[Activity]],Types_of_Activity[Type of Activity],Types_of_Activity[Classification])=2,Exceptions[[#This Row],[Elapsed]],0))</f>
        <v/>
      </c>
    </row>
    <row r="297" spans="2:11" x14ac:dyDescent="0.3">
      <c r="B297" t="str">
        <f>TEXT(Exceptions[[#This Row],[Date]],"MMMM")</f>
        <v>January</v>
      </c>
      <c r="C297" s="146"/>
      <c r="D297" s="136"/>
      <c r="E297" s="136"/>
      <c r="F297" s="103"/>
      <c r="G297" s="103"/>
      <c r="H297" s="103"/>
      <c r="I297" s="42" t="str">
        <f>IF(OR(ISBLANK(Exceptions[[#This Row],[Start]]),ISBLANK(Exceptions[[#This Row],[End]])),"",(Exceptions[[#This Row],[End]]-Exceptions[[#This Row],[Start]])*1440)</f>
        <v/>
      </c>
      <c r="J297" s="42" t="str">
        <f>IF(ISBLANK(Exceptions[[#This Row],[Date]]),"",IF(Exceptions[[#This Row],[Activity]]="Instruction",Exceptions[[#This Row],[Elapsed]],0))</f>
        <v/>
      </c>
      <c r="K297" s="42" t="str">
        <f>IF(ISBLANK(Exceptions[[#This Row],[Activity]]),"",IF(_xlfn.XLOOKUP(Exceptions[[#This Row],[Activity]],Types_of_Activity[Type of Activity],Types_of_Activity[Classification])=2,Exceptions[[#This Row],[Elapsed]],0))</f>
        <v/>
      </c>
    </row>
    <row r="298" spans="2:11" x14ac:dyDescent="0.3">
      <c r="B298" t="str">
        <f>TEXT(Exceptions[[#This Row],[Date]],"MMMM")</f>
        <v>January</v>
      </c>
      <c r="C298" s="146"/>
      <c r="D298" s="136"/>
      <c r="E298" s="136"/>
      <c r="F298" s="103"/>
      <c r="G298" s="103"/>
      <c r="H298" s="103"/>
      <c r="I298" s="42" t="str">
        <f>IF(OR(ISBLANK(Exceptions[[#This Row],[Start]]),ISBLANK(Exceptions[[#This Row],[End]])),"",(Exceptions[[#This Row],[End]]-Exceptions[[#This Row],[Start]])*1440)</f>
        <v/>
      </c>
      <c r="J298" s="42" t="str">
        <f>IF(ISBLANK(Exceptions[[#This Row],[Date]]),"",IF(Exceptions[[#This Row],[Activity]]="Instruction",Exceptions[[#This Row],[Elapsed]],0))</f>
        <v/>
      </c>
      <c r="K298" s="42" t="str">
        <f>IF(ISBLANK(Exceptions[[#This Row],[Activity]]),"",IF(_xlfn.XLOOKUP(Exceptions[[#This Row],[Activity]],Types_of_Activity[Type of Activity],Types_of_Activity[Classification])=2,Exceptions[[#This Row],[Elapsed]],0))</f>
        <v/>
      </c>
    </row>
    <row r="299" spans="2:11" x14ac:dyDescent="0.3">
      <c r="B299" t="str">
        <f>TEXT(Exceptions[[#This Row],[Date]],"MMMM")</f>
        <v>January</v>
      </c>
      <c r="C299" s="146"/>
      <c r="D299" s="136"/>
      <c r="E299" s="136"/>
      <c r="F299" s="103"/>
      <c r="G299" s="103"/>
      <c r="H299" s="103"/>
      <c r="I299" s="42" t="str">
        <f>IF(OR(ISBLANK(Exceptions[[#This Row],[Start]]),ISBLANK(Exceptions[[#This Row],[End]])),"",(Exceptions[[#This Row],[End]]-Exceptions[[#This Row],[Start]])*1440)</f>
        <v/>
      </c>
      <c r="J299" s="42" t="str">
        <f>IF(ISBLANK(Exceptions[[#This Row],[Date]]),"",IF(Exceptions[[#This Row],[Activity]]="Instruction",Exceptions[[#This Row],[Elapsed]],0))</f>
        <v/>
      </c>
      <c r="K299" s="42" t="str">
        <f>IF(ISBLANK(Exceptions[[#This Row],[Activity]]),"",IF(_xlfn.XLOOKUP(Exceptions[[#This Row],[Activity]],Types_of_Activity[Type of Activity],Types_of_Activity[Classification])=2,Exceptions[[#This Row],[Elapsed]],0))</f>
        <v/>
      </c>
    </row>
    <row r="300" spans="2:11" x14ac:dyDescent="0.3">
      <c r="B300" t="str">
        <f>TEXT(Exceptions[[#This Row],[Date]],"MMMM")</f>
        <v>January</v>
      </c>
      <c r="C300" s="146"/>
      <c r="D300" s="136"/>
      <c r="E300" s="136"/>
      <c r="F300" s="103"/>
      <c r="G300" s="103"/>
      <c r="H300" s="103"/>
      <c r="I300" s="42" t="str">
        <f>IF(OR(ISBLANK(Exceptions[[#This Row],[Start]]),ISBLANK(Exceptions[[#This Row],[End]])),"",(Exceptions[[#This Row],[End]]-Exceptions[[#This Row],[Start]])*1440)</f>
        <v/>
      </c>
      <c r="J300" s="42" t="str">
        <f>IF(ISBLANK(Exceptions[[#This Row],[Date]]),"",IF(Exceptions[[#This Row],[Activity]]="Instruction",Exceptions[[#This Row],[Elapsed]],0))</f>
        <v/>
      </c>
      <c r="K300" s="42" t="str">
        <f>IF(ISBLANK(Exceptions[[#This Row],[Activity]]),"",IF(_xlfn.XLOOKUP(Exceptions[[#This Row],[Activity]],Types_of_Activity[Type of Activity],Types_of_Activity[Classification])=2,Exceptions[[#This Row],[Elapsed]],0))</f>
        <v/>
      </c>
    </row>
    <row r="301" spans="2:11" x14ac:dyDescent="0.3">
      <c r="B301" t="str">
        <f>TEXT(Exceptions[[#This Row],[Date]],"MMMM")</f>
        <v>January</v>
      </c>
      <c r="C301" s="146"/>
      <c r="D301" s="136"/>
      <c r="E301" s="136"/>
      <c r="F301" s="103"/>
      <c r="G301" s="103"/>
      <c r="H301" s="103"/>
      <c r="I301" s="42" t="str">
        <f>IF(OR(ISBLANK(Exceptions[[#This Row],[Start]]),ISBLANK(Exceptions[[#This Row],[End]])),"",(Exceptions[[#This Row],[End]]-Exceptions[[#This Row],[Start]])*1440)</f>
        <v/>
      </c>
      <c r="J301" s="42" t="str">
        <f>IF(ISBLANK(Exceptions[[#This Row],[Date]]),"",IF(Exceptions[[#This Row],[Activity]]="Instruction",Exceptions[[#This Row],[Elapsed]],0))</f>
        <v/>
      </c>
      <c r="K301" s="42" t="str">
        <f>IF(ISBLANK(Exceptions[[#This Row],[Activity]]),"",IF(_xlfn.XLOOKUP(Exceptions[[#This Row],[Activity]],Types_of_Activity[Type of Activity],Types_of_Activity[Classification])=2,Exceptions[[#This Row],[Elapsed]],0))</f>
        <v/>
      </c>
    </row>
    <row r="302" spans="2:11" x14ac:dyDescent="0.3">
      <c r="B302" t="str">
        <f>TEXT(Exceptions[[#This Row],[Date]],"MMMM")</f>
        <v>January</v>
      </c>
      <c r="C302" s="146"/>
      <c r="D302" s="136"/>
      <c r="E302" s="136"/>
      <c r="F302" s="103"/>
      <c r="G302" s="103"/>
      <c r="H302" s="103"/>
      <c r="I302" s="42" t="str">
        <f>IF(OR(ISBLANK(Exceptions[[#This Row],[Start]]),ISBLANK(Exceptions[[#This Row],[End]])),"",(Exceptions[[#This Row],[End]]-Exceptions[[#This Row],[Start]])*1440)</f>
        <v/>
      </c>
      <c r="J302" s="42" t="str">
        <f>IF(ISBLANK(Exceptions[[#This Row],[Date]]),"",IF(Exceptions[[#This Row],[Activity]]="Instruction",Exceptions[[#This Row],[Elapsed]],0))</f>
        <v/>
      </c>
      <c r="K302" s="42" t="str">
        <f>IF(ISBLANK(Exceptions[[#This Row],[Activity]]),"",IF(_xlfn.XLOOKUP(Exceptions[[#This Row],[Activity]],Types_of_Activity[Type of Activity],Types_of_Activity[Classification])=2,Exceptions[[#This Row],[Elapsed]],0))</f>
        <v/>
      </c>
    </row>
    <row r="303" spans="2:11" x14ac:dyDescent="0.3">
      <c r="B303" t="str">
        <f>TEXT(Exceptions[[#This Row],[Date]],"MMMM")</f>
        <v>January</v>
      </c>
      <c r="C303" s="146"/>
      <c r="D303" s="136"/>
      <c r="E303" s="136"/>
      <c r="F303" s="103"/>
      <c r="G303" s="103"/>
      <c r="H303" s="103"/>
      <c r="I303" s="42" t="str">
        <f>IF(OR(ISBLANK(Exceptions[[#This Row],[Start]]),ISBLANK(Exceptions[[#This Row],[End]])),"",(Exceptions[[#This Row],[End]]-Exceptions[[#This Row],[Start]])*1440)</f>
        <v/>
      </c>
      <c r="J303" s="42" t="str">
        <f>IF(ISBLANK(Exceptions[[#This Row],[Date]]),"",IF(Exceptions[[#This Row],[Activity]]="Instruction",Exceptions[[#This Row],[Elapsed]],0))</f>
        <v/>
      </c>
      <c r="K303" s="42" t="str">
        <f>IF(ISBLANK(Exceptions[[#This Row],[Activity]]),"",IF(_xlfn.XLOOKUP(Exceptions[[#This Row],[Activity]],Types_of_Activity[Type of Activity],Types_of_Activity[Classification])=2,Exceptions[[#This Row],[Elapsed]],0))</f>
        <v/>
      </c>
    </row>
    <row r="304" spans="2:11" x14ac:dyDescent="0.3">
      <c r="B304" t="str">
        <f>TEXT(Exceptions[[#This Row],[Date]],"MMMM")</f>
        <v>January</v>
      </c>
      <c r="C304" s="146"/>
      <c r="D304" s="136"/>
      <c r="E304" s="136"/>
      <c r="F304" s="103"/>
      <c r="G304" s="103"/>
      <c r="H304" s="103"/>
      <c r="I304" s="42" t="str">
        <f>IF(OR(ISBLANK(Exceptions[[#This Row],[Start]]),ISBLANK(Exceptions[[#This Row],[End]])),"",(Exceptions[[#This Row],[End]]-Exceptions[[#This Row],[Start]])*1440)</f>
        <v/>
      </c>
      <c r="J304" s="42" t="str">
        <f>IF(ISBLANK(Exceptions[[#This Row],[Date]]),"",IF(Exceptions[[#This Row],[Activity]]="Instruction",Exceptions[[#This Row],[Elapsed]],0))</f>
        <v/>
      </c>
      <c r="K304" s="42" t="str">
        <f>IF(ISBLANK(Exceptions[[#This Row],[Activity]]),"",IF(_xlfn.XLOOKUP(Exceptions[[#This Row],[Activity]],Types_of_Activity[Type of Activity],Types_of_Activity[Classification])=2,Exceptions[[#This Row],[Elapsed]],0))</f>
        <v/>
      </c>
    </row>
    <row r="305" spans="2:11" x14ac:dyDescent="0.3">
      <c r="B305" t="str">
        <f>TEXT(Exceptions[[#This Row],[Date]],"MMMM")</f>
        <v>January</v>
      </c>
      <c r="C305" s="146"/>
      <c r="D305" s="136"/>
      <c r="E305" s="136"/>
      <c r="F305" s="103"/>
      <c r="G305" s="103"/>
      <c r="H305" s="103"/>
      <c r="I305" s="42" t="str">
        <f>IF(OR(ISBLANK(Exceptions[[#This Row],[Start]]),ISBLANK(Exceptions[[#This Row],[End]])),"",(Exceptions[[#This Row],[End]]-Exceptions[[#This Row],[Start]])*1440)</f>
        <v/>
      </c>
      <c r="J305" s="42" t="str">
        <f>IF(ISBLANK(Exceptions[[#This Row],[Date]]),"",IF(Exceptions[[#This Row],[Activity]]="Instruction",Exceptions[[#This Row],[Elapsed]],0))</f>
        <v/>
      </c>
      <c r="K305" s="42" t="str">
        <f>IF(ISBLANK(Exceptions[[#This Row],[Activity]]),"",IF(_xlfn.XLOOKUP(Exceptions[[#This Row],[Activity]],Types_of_Activity[Type of Activity],Types_of_Activity[Classification])=2,Exceptions[[#This Row],[Elapsed]],0))</f>
        <v/>
      </c>
    </row>
    <row r="306" spans="2:11" x14ac:dyDescent="0.3">
      <c r="B306" t="str">
        <f>TEXT(Exceptions[[#This Row],[Date]],"MMMM")</f>
        <v>January</v>
      </c>
      <c r="C306" s="146"/>
      <c r="D306" s="136"/>
      <c r="E306" s="136"/>
      <c r="F306" s="103"/>
      <c r="G306" s="103"/>
      <c r="H306" s="103"/>
      <c r="I306" s="42" t="str">
        <f>IF(OR(ISBLANK(Exceptions[[#This Row],[Start]]),ISBLANK(Exceptions[[#This Row],[End]])),"",(Exceptions[[#This Row],[End]]-Exceptions[[#This Row],[Start]])*1440)</f>
        <v/>
      </c>
      <c r="J306" s="42" t="str">
        <f>IF(ISBLANK(Exceptions[[#This Row],[Date]]),"",IF(Exceptions[[#This Row],[Activity]]="Instruction",Exceptions[[#This Row],[Elapsed]],0))</f>
        <v/>
      </c>
      <c r="K306" s="42" t="str">
        <f>IF(ISBLANK(Exceptions[[#This Row],[Activity]]),"",IF(_xlfn.XLOOKUP(Exceptions[[#This Row],[Activity]],Types_of_Activity[Type of Activity],Types_of_Activity[Classification])=2,Exceptions[[#This Row],[Elapsed]],0))</f>
        <v/>
      </c>
    </row>
    <row r="307" spans="2:11" x14ac:dyDescent="0.3">
      <c r="B307" t="str">
        <f>TEXT(Exceptions[[#This Row],[Date]],"MMMM")</f>
        <v>January</v>
      </c>
      <c r="C307" s="146"/>
      <c r="D307" s="136"/>
      <c r="E307" s="136"/>
      <c r="F307" s="103"/>
      <c r="G307" s="103"/>
      <c r="H307" s="103"/>
      <c r="I307" s="42" t="str">
        <f>IF(OR(ISBLANK(Exceptions[[#This Row],[Start]]),ISBLANK(Exceptions[[#This Row],[End]])),"",(Exceptions[[#This Row],[End]]-Exceptions[[#This Row],[Start]])*1440)</f>
        <v/>
      </c>
      <c r="J307" s="42" t="str">
        <f>IF(ISBLANK(Exceptions[[#This Row],[Date]]),"",IF(Exceptions[[#This Row],[Activity]]="Instruction",Exceptions[[#This Row],[Elapsed]],0))</f>
        <v/>
      </c>
      <c r="K307" s="42" t="str">
        <f>IF(ISBLANK(Exceptions[[#This Row],[Activity]]),"",IF(_xlfn.XLOOKUP(Exceptions[[#This Row],[Activity]],Types_of_Activity[Type of Activity],Types_of_Activity[Classification])=2,Exceptions[[#This Row],[Elapsed]],0))</f>
        <v/>
      </c>
    </row>
    <row r="308" spans="2:11" x14ac:dyDescent="0.3">
      <c r="B308" t="str">
        <f>TEXT(Exceptions[[#This Row],[Date]],"MMMM")</f>
        <v>January</v>
      </c>
      <c r="C308" s="146"/>
      <c r="D308" s="136"/>
      <c r="E308" s="136"/>
      <c r="F308" s="103"/>
      <c r="G308" s="103"/>
      <c r="H308" s="103"/>
      <c r="I308" s="42" t="str">
        <f>IF(OR(ISBLANK(Exceptions[[#This Row],[Start]]),ISBLANK(Exceptions[[#This Row],[End]])),"",(Exceptions[[#This Row],[End]]-Exceptions[[#This Row],[Start]])*1440)</f>
        <v/>
      </c>
      <c r="J308" s="42" t="str">
        <f>IF(ISBLANK(Exceptions[[#This Row],[Date]]),"",IF(Exceptions[[#This Row],[Activity]]="Instruction",Exceptions[[#This Row],[Elapsed]],0))</f>
        <v/>
      </c>
      <c r="K308" s="42" t="str">
        <f>IF(ISBLANK(Exceptions[[#This Row],[Activity]]),"",IF(_xlfn.XLOOKUP(Exceptions[[#This Row],[Activity]],Types_of_Activity[Type of Activity],Types_of_Activity[Classification])=2,Exceptions[[#This Row],[Elapsed]],0))</f>
        <v/>
      </c>
    </row>
    <row r="309" spans="2:11" x14ac:dyDescent="0.3">
      <c r="B309" t="str">
        <f>TEXT(Exceptions[[#This Row],[Date]],"MMMM")</f>
        <v>January</v>
      </c>
      <c r="C309" s="146"/>
      <c r="D309" s="136"/>
      <c r="E309" s="136"/>
      <c r="F309" s="103"/>
      <c r="G309" s="103"/>
      <c r="H309" s="103"/>
      <c r="I309" s="42" t="str">
        <f>IF(OR(ISBLANK(Exceptions[[#This Row],[Start]]),ISBLANK(Exceptions[[#This Row],[End]])),"",(Exceptions[[#This Row],[End]]-Exceptions[[#This Row],[Start]])*1440)</f>
        <v/>
      </c>
      <c r="J309" s="42" t="str">
        <f>IF(ISBLANK(Exceptions[[#This Row],[Date]]),"",IF(Exceptions[[#This Row],[Activity]]="Instruction",Exceptions[[#This Row],[Elapsed]],0))</f>
        <v/>
      </c>
      <c r="K309" s="42" t="str">
        <f>IF(ISBLANK(Exceptions[[#This Row],[Activity]]),"",IF(_xlfn.XLOOKUP(Exceptions[[#This Row],[Activity]],Types_of_Activity[Type of Activity],Types_of_Activity[Classification])=2,Exceptions[[#This Row],[Elapsed]],0))</f>
        <v/>
      </c>
    </row>
    <row r="310" spans="2:11" x14ac:dyDescent="0.3">
      <c r="B310" t="str">
        <f>TEXT(Exceptions[[#This Row],[Date]],"MMMM")</f>
        <v>January</v>
      </c>
      <c r="C310" s="146"/>
      <c r="D310" s="136"/>
      <c r="E310" s="136"/>
      <c r="F310" s="103"/>
      <c r="G310" s="103"/>
      <c r="H310" s="103"/>
      <c r="I310" s="42" t="str">
        <f>IF(OR(ISBLANK(Exceptions[[#This Row],[Start]]),ISBLANK(Exceptions[[#This Row],[End]])),"",(Exceptions[[#This Row],[End]]-Exceptions[[#This Row],[Start]])*1440)</f>
        <v/>
      </c>
      <c r="J310" s="42" t="str">
        <f>IF(ISBLANK(Exceptions[[#This Row],[Date]]),"",IF(Exceptions[[#This Row],[Activity]]="Instruction",Exceptions[[#This Row],[Elapsed]],0))</f>
        <v/>
      </c>
      <c r="K310" s="42" t="str">
        <f>IF(ISBLANK(Exceptions[[#This Row],[Activity]]),"",IF(_xlfn.XLOOKUP(Exceptions[[#This Row],[Activity]],Types_of_Activity[Type of Activity],Types_of_Activity[Classification])=2,Exceptions[[#This Row],[Elapsed]],0))</f>
        <v/>
      </c>
    </row>
    <row r="311" spans="2:11" x14ac:dyDescent="0.3">
      <c r="B311" t="str">
        <f>TEXT(Exceptions[[#This Row],[Date]],"MMMM")</f>
        <v>January</v>
      </c>
      <c r="C311" s="146"/>
      <c r="D311" s="136"/>
      <c r="E311" s="136"/>
      <c r="F311" s="103"/>
      <c r="G311" s="103"/>
      <c r="H311" s="103"/>
      <c r="I311" s="42" t="str">
        <f>IF(OR(ISBLANK(Exceptions[[#This Row],[Start]]),ISBLANK(Exceptions[[#This Row],[End]])),"",(Exceptions[[#This Row],[End]]-Exceptions[[#This Row],[Start]])*1440)</f>
        <v/>
      </c>
      <c r="J311" s="42" t="str">
        <f>IF(ISBLANK(Exceptions[[#This Row],[Date]]),"",IF(Exceptions[[#This Row],[Activity]]="Instruction",Exceptions[[#This Row],[Elapsed]],0))</f>
        <v/>
      </c>
      <c r="K311" s="42" t="str">
        <f>IF(ISBLANK(Exceptions[[#This Row],[Activity]]),"",IF(_xlfn.XLOOKUP(Exceptions[[#This Row],[Activity]],Types_of_Activity[Type of Activity],Types_of_Activity[Classification])=2,Exceptions[[#This Row],[Elapsed]],0))</f>
        <v/>
      </c>
    </row>
    <row r="312" spans="2:11" x14ac:dyDescent="0.3">
      <c r="B312" t="str">
        <f>TEXT(Exceptions[[#This Row],[Date]],"MMMM")</f>
        <v>January</v>
      </c>
      <c r="C312" s="146"/>
      <c r="D312" s="136"/>
      <c r="E312" s="136"/>
      <c r="F312" s="103"/>
      <c r="G312" s="103"/>
      <c r="H312" s="103"/>
      <c r="I312" s="42" t="str">
        <f>IF(OR(ISBLANK(Exceptions[[#This Row],[Start]]),ISBLANK(Exceptions[[#This Row],[End]])),"",(Exceptions[[#This Row],[End]]-Exceptions[[#This Row],[Start]])*1440)</f>
        <v/>
      </c>
      <c r="J312" s="42" t="str">
        <f>IF(ISBLANK(Exceptions[[#This Row],[Date]]),"",IF(Exceptions[[#This Row],[Activity]]="Instruction",Exceptions[[#This Row],[Elapsed]],0))</f>
        <v/>
      </c>
      <c r="K312" s="42" t="str">
        <f>IF(ISBLANK(Exceptions[[#This Row],[Activity]]),"",IF(_xlfn.XLOOKUP(Exceptions[[#This Row],[Activity]],Types_of_Activity[Type of Activity],Types_of_Activity[Classification])=2,Exceptions[[#This Row],[Elapsed]],0))</f>
        <v/>
      </c>
    </row>
    <row r="313" spans="2:11" x14ac:dyDescent="0.3">
      <c r="B313" t="str">
        <f>TEXT(Exceptions[[#This Row],[Date]],"MMMM")</f>
        <v>January</v>
      </c>
      <c r="C313" s="146"/>
      <c r="D313" s="136"/>
      <c r="E313" s="136"/>
      <c r="F313" s="103"/>
      <c r="G313" s="103"/>
      <c r="H313" s="103"/>
      <c r="I313" s="42" t="str">
        <f>IF(OR(ISBLANK(Exceptions[[#This Row],[Start]]),ISBLANK(Exceptions[[#This Row],[End]])),"",(Exceptions[[#This Row],[End]]-Exceptions[[#This Row],[Start]])*1440)</f>
        <v/>
      </c>
      <c r="J313" s="42" t="str">
        <f>IF(ISBLANK(Exceptions[[#This Row],[Date]]),"",IF(Exceptions[[#This Row],[Activity]]="Instruction",Exceptions[[#This Row],[Elapsed]],0))</f>
        <v/>
      </c>
      <c r="K313" s="42" t="str">
        <f>IF(ISBLANK(Exceptions[[#This Row],[Activity]]),"",IF(_xlfn.XLOOKUP(Exceptions[[#This Row],[Activity]],Types_of_Activity[Type of Activity],Types_of_Activity[Classification])=2,Exceptions[[#This Row],[Elapsed]],0))</f>
        <v/>
      </c>
    </row>
    <row r="314" spans="2:11" x14ac:dyDescent="0.3">
      <c r="B314" t="str">
        <f>TEXT(Exceptions[[#This Row],[Date]],"MMMM")</f>
        <v>January</v>
      </c>
      <c r="C314" s="146"/>
      <c r="D314" s="136"/>
      <c r="E314" s="136"/>
      <c r="F314" s="103"/>
      <c r="G314" s="103"/>
      <c r="H314" s="103"/>
      <c r="I314" s="42" t="str">
        <f>IF(OR(ISBLANK(Exceptions[[#This Row],[Start]]),ISBLANK(Exceptions[[#This Row],[End]])),"",(Exceptions[[#This Row],[End]]-Exceptions[[#This Row],[Start]])*1440)</f>
        <v/>
      </c>
      <c r="J314" s="42" t="str">
        <f>IF(ISBLANK(Exceptions[[#This Row],[Date]]),"",IF(Exceptions[[#This Row],[Activity]]="Instruction",Exceptions[[#This Row],[Elapsed]],0))</f>
        <v/>
      </c>
      <c r="K314" s="42" t="str">
        <f>IF(ISBLANK(Exceptions[[#This Row],[Activity]]),"",IF(_xlfn.XLOOKUP(Exceptions[[#This Row],[Activity]],Types_of_Activity[Type of Activity],Types_of_Activity[Classification])=2,Exceptions[[#This Row],[Elapsed]],0))</f>
        <v/>
      </c>
    </row>
    <row r="315" spans="2:11" x14ac:dyDescent="0.3">
      <c r="B315" t="str">
        <f>TEXT(Exceptions[[#This Row],[Date]],"MMMM")</f>
        <v>January</v>
      </c>
      <c r="C315" s="146"/>
      <c r="D315" s="136"/>
      <c r="E315" s="136"/>
      <c r="F315" s="103"/>
      <c r="G315" s="103"/>
      <c r="H315" s="103"/>
      <c r="I315" s="42" t="str">
        <f>IF(OR(ISBLANK(Exceptions[[#This Row],[Start]]),ISBLANK(Exceptions[[#This Row],[End]])),"",(Exceptions[[#This Row],[End]]-Exceptions[[#This Row],[Start]])*1440)</f>
        <v/>
      </c>
      <c r="J315" s="42" t="str">
        <f>IF(ISBLANK(Exceptions[[#This Row],[Date]]),"",IF(Exceptions[[#This Row],[Activity]]="Instruction",Exceptions[[#This Row],[Elapsed]],0))</f>
        <v/>
      </c>
      <c r="K315" s="42" t="str">
        <f>IF(ISBLANK(Exceptions[[#This Row],[Activity]]),"",IF(_xlfn.XLOOKUP(Exceptions[[#This Row],[Activity]],Types_of_Activity[Type of Activity],Types_of_Activity[Classification])=2,Exceptions[[#This Row],[Elapsed]],0))</f>
        <v/>
      </c>
    </row>
    <row r="316" spans="2:11" x14ac:dyDescent="0.3">
      <c r="B316" t="str">
        <f>TEXT(Exceptions[[#This Row],[Date]],"MMMM")</f>
        <v>January</v>
      </c>
      <c r="C316" s="146"/>
      <c r="D316" s="136"/>
      <c r="E316" s="136"/>
      <c r="F316" s="103"/>
      <c r="G316" s="103"/>
      <c r="H316" s="103"/>
      <c r="I316" s="42" t="str">
        <f>IF(OR(ISBLANK(Exceptions[[#This Row],[Start]]),ISBLANK(Exceptions[[#This Row],[End]])),"",(Exceptions[[#This Row],[End]]-Exceptions[[#This Row],[Start]])*1440)</f>
        <v/>
      </c>
      <c r="J316" s="42" t="str">
        <f>IF(ISBLANK(Exceptions[[#This Row],[Date]]),"",IF(Exceptions[[#This Row],[Activity]]="Instruction",Exceptions[[#This Row],[Elapsed]],0))</f>
        <v/>
      </c>
      <c r="K316" s="42" t="str">
        <f>IF(ISBLANK(Exceptions[[#This Row],[Activity]]),"",IF(_xlfn.XLOOKUP(Exceptions[[#This Row],[Activity]],Types_of_Activity[Type of Activity],Types_of_Activity[Classification])=2,Exceptions[[#This Row],[Elapsed]],0))</f>
        <v/>
      </c>
    </row>
    <row r="317" spans="2:11" x14ac:dyDescent="0.3">
      <c r="B317" t="str">
        <f>TEXT(Exceptions[[#This Row],[Date]],"MMMM")</f>
        <v>January</v>
      </c>
      <c r="C317" s="146"/>
      <c r="D317" s="136"/>
      <c r="E317" s="136"/>
      <c r="F317" s="103"/>
      <c r="G317" s="103"/>
      <c r="H317" s="103"/>
      <c r="I317" s="42" t="str">
        <f>IF(OR(ISBLANK(Exceptions[[#This Row],[Start]]),ISBLANK(Exceptions[[#This Row],[End]])),"",(Exceptions[[#This Row],[End]]-Exceptions[[#This Row],[Start]])*1440)</f>
        <v/>
      </c>
      <c r="J317" s="42" t="str">
        <f>IF(ISBLANK(Exceptions[[#This Row],[Date]]),"",IF(Exceptions[[#This Row],[Activity]]="Instruction",Exceptions[[#This Row],[Elapsed]],0))</f>
        <v/>
      </c>
      <c r="K317" s="42" t="str">
        <f>IF(ISBLANK(Exceptions[[#This Row],[Activity]]),"",IF(_xlfn.XLOOKUP(Exceptions[[#This Row],[Activity]],Types_of_Activity[Type of Activity],Types_of_Activity[Classification])=2,Exceptions[[#This Row],[Elapsed]],0))</f>
        <v/>
      </c>
    </row>
    <row r="318" spans="2:11" x14ac:dyDescent="0.3">
      <c r="B318" t="str">
        <f>TEXT(Exceptions[[#This Row],[Date]],"MMMM")</f>
        <v>January</v>
      </c>
      <c r="C318" s="146"/>
      <c r="D318" s="136"/>
      <c r="E318" s="136"/>
      <c r="F318" s="103"/>
      <c r="G318" s="103"/>
      <c r="H318" s="103"/>
      <c r="I318" s="42" t="str">
        <f>IF(OR(ISBLANK(Exceptions[[#This Row],[Start]]),ISBLANK(Exceptions[[#This Row],[End]])),"",(Exceptions[[#This Row],[End]]-Exceptions[[#This Row],[Start]])*1440)</f>
        <v/>
      </c>
      <c r="J318" s="42" t="str">
        <f>IF(ISBLANK(Exceptions[[#This Row],[Date]]),"",IF(Exceptions[[#This Row],[Activity]]="Instruction",Exceptions[[#This Row],[Elapsed]],0))</f>
        <v/>
      </c>
      <c r="K318" s="42" t="str">
        <f>IF(ISBLANK(Exceptions[[#This Row],[Activity]]),"",IF(_xlfn.XLOOKUP(Exceptions[[#This Row],[Activity]],Types_of_Activity[Type of Activity],Types_of_Activity[Classification])=2,Exceptions[[#This Row],[Elapsed]],0))</f>
        <v/>
      </c>
    </row>
    <row r="319" spans="2:11" x14ac:dyDescent="0.3">
      <c r="B319" t="str">
        <f>TEXT(Exceptions[[#This Row],[Date]],"MMMM")</f>
        <v>January</v>
      </c>
      <c r="C319" s="146"/>
      <c r="D319" s="136"/>
      <c r="E319" s="136"/>
      <c r="F319" s="103"/>
      <c r="G319" s="103"/>
      <c r="H319" s="103"/>
      <c r="I319" s="42" t="str">
        <f>IF(OR(ISBLANK(Exceptions[[#This Row],[Start]]),ISBLANK(Exceptions[[#This Row],[End]])),"",(Exceptions[[#This Row],[End]]-Exceptions[[#This Row],[Start]])*1440)</f>
        <v/>
      </c>
      <c r="J319" s="42" t="str">
        <f>IF(ISBLANK(Exceptions[[#This Row],[Date]]),"",IF(Exceptions[[#This Row],[Activity]]="Instruction",Exceptions[[#This Row],[Elapsed]],0))</f>
        <v/>
      </c>
      <c r="K319" s="42" t="str">
        <f>IF(ISBLANK(Exceptions[[#This Row],[Activity]]),"",IF(_xlfn.XLOOKUP(Exceptions[[#This Row],[Activity]],Types_of_Activity[Type of Activity],Types_of_Activity[Classification])=2,Exceptions[[#This Row],[Elapsed]],0))</f>
        <v/>
      </c>
    </row>
    <row r="320" spans="2:11" x14ac:dyDescent="0.3">
      <c r="B320" t="str">
        <f>TEXT(Exceptions[[#This Row],[Date]],"MMMM")</f>
        <v>January</v>
      </c>
      <c r="C320" s="146"/>
      <c r="D320" s="136"/>
      <c r="E320" s="136"/>
      <c r="F320" s="103"/>
      <c r="G320" s="103"/>
      <c r="H320" s="103"/>
      <c r="I320" s="42" t="str">
        <f>IF(OR(ISBLANK(Exceptions[[#This Row],[Start]]),ISBLANK(Exceptions[[#This Row],[End]])),"",(Exceptions[[#This Row],[End]]-Exceptions[[#This Row],[Start]])*1440)</f>
        <v/>
      </c>
      <c r="J320" s="42" t="str">
        <f>IF(ISBLANK(Exceptions[[#This Row],[Date]]),"",IF(Exceptions[[#This Row],[Activity]]="Instruction",Exceptions[[#This Row],[Elapsed]],0))</f>
        <v/>
      </c>
      <c r="K320" s="42" t="str">
        <f>IF(ISBLANK(Exceptions[[#This Row],[Activity]]),"",IF(_xlfn.XLOOKUP(Exceptions[[#This Row],[Activity]],Types_of_Activity[Type of Activity],Types_of_Activity[Classification])=2,Exceptions[[#This Row],[Elapsed]],0))</f>
        <v/>
      </c>
    </row>
    <row r="321" spans="2:11" x14ac:dyDescent="0.3">
      <c r="B321" t="str">
        <f>TEXT(Exceptions[[#This Row],[Date]],"MMMM")</f>
        <v>January</v>
      </c>
      <c r="C321" s="146"/>
      <c r="D321" s="136"/>
      <c r="E321" s="136"/>
      <c r="F321" s="103"/>
      <c r="G321" s="103"/>
      <c r="H321" s="103"/>
      <c r="I321" s="42" t="str">
        <f>IF(OR(ISBLANK(Exceptions[[#This Row],[Start]]),ISBLANK(Exceptions[[#This Row],[End]])),"",(Exceptions[[#This Row],[End]]-Exceptions[[#This Row],[Start]])*1440)</f>
        <v/>
      </c>
      <c r="J321" s="42" t="str">
        <f>IF(ISBLANK(Exceptions[[#This Row],[Date]]),"",IF(Exceptions[[#This Row],[Activity]]="Instruction",Exceptions[[#This Row],[Elapsed]],0))</f>
        <v/>
      </c>
      <c r="K321" s="42" t="str">
        <f>IF(ISBLANK(Exceptions[[#This Row],[Activity]]),"",IF(_xlfn.XLOOKUP(Exceptions[[#This Row],[Activity]],Types_of_Activity[Type of Activity],Types_of_Activity[Classification])=2,Exceptions[[#This Row],[Elapsed]],0))</f>
        <v/>
      </c>
    </row>
    <row r="322" spans="2:11" x14ac:dyDescent="0.3">
      <c r="B322" t="str">
        <f>TEXT(Exceptions[[#This Row],[Date]],"MMMM")</f>
        <v>January</v>
      </c>
      <c r="C322" s="146"/>
      <c r="D322" s="136"/>
      <c r="E322" s="136"/>
      <c r="F322" s="103"/>
      <c r="G322" s="103"/>
      <c r="H322" s="103"/>
      <c r="I322" s="42" t="str">
        <f>IF(OR(ISBLANK(Exceptions[[#This Row],[Start]]),ISBLANK(Exceptions[[#This Row],[End]])),"",(Exceptions[[#This Row],[End]]-Exceptions[[#This Row],[Start]])*1440)</f>
        <v/>
      </c>
      <c r="J322" s="42" t="str">
        <f>IF(ISBLANK(Exceptions[[#This Row],[Date]]),"",IF(Exceptions[[#This Row],[Activity]]="Instruction",Exceptions[[#This Row],[Elapsed]],0))</f>
        <v/>
      </c>
      <c r="K322" s="42" t="str">
        <f>IF(ISBLANK(Exceptions[[#This Row],[Activity]]),"",IF(_xlfn.XLOOKUP(Exceptions[[#This Row],[Activity]],Types_of_Activity[Type of Activity],Types_of_Activity[Classification])=2,Exceptions[[#This Row],[Elapsed]],0))</f>
        <v/>
      </c>
    </row>
    <row r="323" spans="2:11" x14ac:dyDescent="0.3">
      <c r="B323" t="str">
        <f>TEXT(Exceptions[[#This Row],[Date]],"MMMM")</f>
        <v>January</v>
      </c>
      <c r="C323" s="146"/>
      <c r="D323" s="136"/>
      <c r="E323" s="136"/>
      <c r="F323" s="103"/>
      <c r="G323" s="103"/>
      <c r="H323" s="103"/>
      <c r="I323" s="42" t="str">
        <f>IF(OR(ISBLANK(Exceptions[[#This Row],[Start]]),ISBLANK(Exceptions[[#This Row],[End]])),"",(Exceptions[[#This Row],[End]]-Exceptions[[#This Row],[Start]])*1440)</f>
        <v/>
      </c>
      <c r="J323" s="42" t="str">
        <f>IF(ISBLANK(Exceptions[[#This Row],[Date]]),"",IF(Exceptions[[#This Row],[Activity]]="Instruction",Exceptions[[#This Row],[Elapsed]],0))</f>
        <v/>
      </c>
      <c r="K323" s="42" t="str">
        <f>IF(ISBLANK(Exceptions[[#This Row],[Activity]]),"",IF(_xlfn.XLOOKUP(Exceptions[[#This Row],[Activity]],Types_of_Activity[Type of Activity],Types_of_Activity[Classification])=2,Exceptions[[#This Row],[Elapsed]],0))</f>
        <v/>
      </c>
    </row>
    <row r="324" spans="2:11" x14ac:dyDescent="0.3">
      <c r="B324" t="str">
        <f>TEXT(Exceptions[[#This Row],[Date]],"MMMM")</f>
        <v>January</v>
      </c>
      <c r="C324" s="146"/>
      <c r="D324" s="136"/>
      <c r="E324" s="136"/>
      <c r="F324" s="103"/>
      <c r="G324" s="103"/>
      <c r="H324" s="103"/>
      <c r="I324" s="42" t="str">
        <f>IF(OR(ISBLANK(Exceptions[[#This Row],[Start]]),ISBLANK(Exceptions[[#This Row],[End]])),"",(Exceptions[[#This Row],[End]]-Exceptions[[#This Row],[Start]])*1440)</f>
        <v/>
      </c>
      <c r="J324" s="42" t="str">
        <f>IF(ISBLANK(Exceptions[[#This Row],[Date]]),"",IF(Exceptions[[#This Row],[Activity]]="Instruction",Exceptions[[#This Row],[Elapsed]],0))</f>
        <v/>
      </c>
      <c r="K324" s="42" t="str">
        <f>IF(ISBLANK(Exceptions[[#This Row],[Activity]]),"",IF(_xlfn.XLOOKUP(Exceptions[[#This Row],[Activity]],Types_of_Activity[Type of Activity],Types_of_Activity[Classification])=2,Exceptions[[#This Row],[Elapsed]],0))</f>
        <v/>
      </c>
    </row>
    <row r="325" spans="2:11" x14ac:dyDescent="0.3">
      <c r="B325" t="str">
        <f>TEXT(Exceptions[[#This Row],[Date]],"MMMM")</f>
        <v>January</v>
      </c>
      <c r="C325" s="146"/>
      <c r="D325" s="136"/>
      <c r="E325" s="136"/>
      <c r="F325" s="103"/>
      <c r="G325" s="103"/>
      <c r="H325" s="103"/>
      <c r="I325" s="42" t="str">
        <f>IF(OR(ISBLANK(Exceptions[[#This Row],[Start]]),ISBLANK(Exceptions[[#This Row],[End]])),"",(Exceptions[[#This Row],[End]]-Exceptions[[#This Row],[Start]])*1440)</f>
        <v/>
      </c>
      <c r="J325" s="42" t="str">
        <f>IF(ISBLANK(Exceptions[[#This Row],[Date]]),"",IF(Exceptions[[#This Row],[Activity]]="Instruction",Exceptions[[#This Row],[Elapsed]],0))</f>
        <v/>
      </c>
      <c r="K325" s="42" t="str">
        <f>IF(ISBLANK(Exceptions[[#This Row],[Activity]]),"",IF(_xlfn.XLOOKUP(Exceptions[[#This Row],[Activity]],Types_of_Activity[Type of Activity],Types_of_Activity[Classification])=2,Exceptions[[#This Row],[Elapsed]],0))</f>
        <v/>
      </c>
    </row>
    <row r="326" spans="2:11" x14ac:dyDescent="0.3">
      <c r="B326" t="str">
        <f>TEXT(Exceptions[[#This Row],[Date]],"MMMM")</f>
        <v>January</v>
      </c>
      <c r="C326" s="146"/>
      <c r="D326" s="136"/>
      <c r="E326" s="136"/>
      <c r="F326" s="103"/>
      <c r="G326" s="103"/>
      <c r="H326" s="103"/>
      <c r="I326" s="42" t="str">
        <f>IF(OR(ISBLANK(Exceptions[[#This Row],[Start]]),ISBLANK(Exceptions[[#This Row],[End]])),"",(Exceptions[[#This Row],[End]]-Exceptions[[#This Row],[Start]])*1440)</f>
        <v/>
      </c>
      <c r="J326" s="42" t="str">
        <f>IF(ISBLANK(Exceptions[[#This Row],[Date]]),"",IF(Exceptions[[#This Row],[Activity]]="Instruction",Exceptions[[#This Row],[Elapsed]],0))</f>
        <v/>
      </c>
      <c r="K326" s="42" t="str">
        <f>IF(ISBLANK(Exceptions[[#This Row],[Activity]]),"",IF(_xlfn.XLOOKUP(Exceptions[[#This Row],[Activity]],Types_of_Activity[Type of Activity],Types_of_Activity[Classification])=2,Exceptions[[#This Row],[Elapsed]],0))</f>
        <v/>
      </c>
    </row>
    <row r="327" spans="2:11" x14ac:dyDescent="0.3">
      <c r="B327" t="str">
        <f>TEXT(Exceptions[[#This Row],[Date]],"MMMM")</f>
        <v>January</v>
      </c>
      <c r="C327" s="146"/>
      <c r="D327" s="136"/>
      <c r="E327" s="136"/>
      <c r="F327" s="103"/>
      <c r="G327" s="103"/>
      <c r="H327" s="103"/>
      <c r="I327" s="42" t="str">
        <f>IF(OR(ISBLANK(Exceptions[[#This Row],[Start]]),ISBLANK(Exceptions[[#This Row],[End]])),"",(Exceptions[[#This Row],[End]]-Exceptions[[#This Row],[Start]])*1440)</f>
        <v/>
      </c>
      <c r="J327" s="42" t="str">
        <f>IF(ISBLANK(Exceptions[[#This Row],[Date]]),"",IF(Exceptions[[#This Row],[Activity]]="Instruction",Exceptions[[#This Row],[Elapsed]],0))</f>
        <v/>
      </c>
      <c r="K327" s="42" t="str">
        <f>IF(ISBLANK(Exceptions[[#This Row],[Activity]]),"",IF(_xlfn.XLOOKUP(Exceptions[[#This Row],[Activity]],Types_of_Activity[Type of Activity],Types_of_Activity[Classification])=2,Exceptions[[#This Row],[Elapsed]],0))</f>
        <v/>
      </c>
    </row>
    <row r="328" spans="2:11" x14ac:dyDescent="0.3">
      <c r="B328" t="str">
        <f>TEXT(Exceptions[[#This Row],[Date]],"MMMM")</f>
        <v>January</v>
      </c>
      <c r="C328" s="146"/>
      <c r="D328" s="136"/>
      <c r="E328" s="136"/>
      <c r="F328" s="103"/>
      <c r="G328" s="103"/>
      <c r="H328" s="103"/>
      <c r="I328" s="42" t="str">
        <f>IF(OR(ISBLANK(Exceptions[[#This Row],[Start]]),ISBLANK(Exceptions[[#This Row],[End]])),"",(Exceptions[[#This Row],[End]]-Exceptions[[#This Row],[Start]])*1440)</f>
        <v/>
      </c>
      <c r="J328" s="42" t="str">
        <f>IF(ISBLANK(Exceptions[[#This Row],[Date]]),"",IF(Exceptions[[#This Row],[Activity]]="Instruction",Exceptions[[#This Row],[Elapsed]],0))</f>
        <v/>
      </c>
      <c r="K328" s="42" t="str">
        <f>IF(ISBLANK(Exceptions[[#This Row],[Activity]]),"",IF(_xlfn.XLOOKUP(Exceptions[[#This Row],[Activity]],Types_of_Activity[Type of Activity],Types_of_Activity[Classification])=2,Exceptions[[#This Row],[Elapsed]],0))</f>
        <v/>
      </c>
    </row>
    <row r="329" spans="2:11" x14ac:dyDescent="0.3">
      <c r="B329" t="str">
        <f>TEXT(Exceptions[[#This Row],[Date]],"MMMM")</f>
        <v>January</v>
      </c>
      <c r="C329" s="146"/>
      <c r="D329" s="136"/>
      <c r="E329" s="136"/>
      <c r="F329" s="103"/>
      <c r="G329" s="103"/>
      <c r="H329" s="103"/>
      <c r="I329" s="42" t="str">
        <f>IF(OR(ISBLANK(Exceptions[[#This Row],[Start]]),ISBLANK(Exceptions[[#This Row],[End]])),"",(Exceptions[[#This Row],[End]]-Exceptions[[#This Row],[Start]])*1440)</f>
        <v/>
      </c>
      <c r="J329" s="42" t="str">
        <f>IF(ISBLANK(Exceptions[[#This Row],[Date]]),"",IF(Exceptions[[#This Row],[Activity]]="Instruction",Exceptions[[#This Row],[Elapsed]],0))</f>
        <v/>
      </c>
      <c r="K329" s="42" t="str">
        <f>IF(ISBLANK(Exceptions[[#This Row],[Activity]]),"",IF(_xlfn.XLOOKUP(Exceptions[[#This Row],[Activity]],Types_of_Activity[Type of Activity],Types_of_Activity[Classification])=2,Exceptions[[#This Row],[Elapsed]],0))</f>
        <v/>
      </c>
    </row>
    <row r="330" spans="2:11" x14ac:dyDescent="0.3">
      <c r="B330" t="str">
        <f>TEXT(Exceptions[[#This Row],[Date]],"MMMM")</f>
        <v>January</v>
      </c>
      <c r="C330" s="146"/>
      <c r="D330" s="136"/>
      <c r="E330" s="136"/>
      <c r="F330" s="103"/>
      <c r="G330" s="103"/>
      <c r="H330" s="103"/>
      <c r="I330" s="42" t="str">
        <f>IF(OR(ISBLANK(Exceptions[[#This Row],[Start]]),ISBLANK(Exceptions[[#This Row],[End]])),"",(Exceptions[[#This Row],[End]]-Exceptions[[#This Row],[Start]])*1440)</f>
        <v/>
      </c>
      <c r="J330" s="42" t="str">
        <f>IF(ISBLANK(Exceptions[[#This Row],[Date]]),"",IF(Exceptions[[#This Row],[Activity]]="Instruction",Exceptions[[#This Row],[Elapsed]],0))</f>
        <v/>
      </c>
      <c r="K330" s="42" t="str">
        <f>IF(ISBLANK(Exceptions[[#This Row],[Activity]]),"",IF(_xlfn.XLOOKUP(Exceptions[[#This Row],[Activity]],Types_of_Activity[Type of Activity],Types_of_Activity[Classification])=2,Exceptions[[#This Row],[Elapsed]],0))</f>
        <v/>
      </c>
    </row>
    <row r="331" spans="2:11" x14ac:dyDescent="0.3">
      <c r="B331" t="str">
        <f>TEXT(Exceptions[[#This Row],[Date]],"MMMM")</f>
        <v>January</v>
      </c>
      <c r="C331" s="146"/>
      <c r="D331" s="136"/>
      <c r="E331" s="136"/>
      <c r="F331" s="103"/>
      <c r="G331" s="103"/>
      <c r="H331" s="103"/>
      <c r="I331" s="42" t="str">
        <f>IF(OR(ISBLANK(Exceptions[[#This Row],[Start]]),ISBLANK(Exceptions[[#This Row],[End]])),"",(Exceptions[[#This Row],[End]]-Exceptions[[#This Row],[Start]])*1440)</f>
        <v/>
      </c>
      <c r="J331" s="42" t="str">
        <f>IF(ISBLANK(Exceptions[[#This Row],[Date]]),"",IF(Exceptions[[#This Row],[Activity]]="Instruction",Exceptions[[#This Row],[Elapsed]],0))</f>
        <v/>
      </c>
      <c r="K331" s="42" t="str">
        <f>IF(ISBLANK(Exceptions[[#This Row],[Activity]]),"",IF(_xlfn.XLOOKUP(Exceptions[[#This Row],[Activity]],Types_of_Activity[Type of Activity],Types_of_Activity[Classification])=2,Exceptions[[#This Row],[Elapsed]],0))</f>
        <v/>
      </c>
    </row>
    <row r="332" spans="2:11" x14ac:dyDescent="0.3">
      <c r="B332" t="str">
        <f>TEXT(Exceptions[[#This Row],[Date]],"MMMM")</f>
        <v>January</v>
      </c>
      <c r="C332" s="146"/>
      <c r="D332" s="136"/>
      <c r="E332" s="136"/>
      <c r="F332" s="103"/>
      <c r="G332" s="103"/>
      <c r="H332" s="103"/>
      <c r="I332" s="42" t="str">
        <f>IF(OR(ISBLANK(Exceptions[[#This Row],[Start]]),ISBLANK(Exceptions[[#This Row],[End]])),"",(Exceptions[[#This Row],[End]]-Exceptions[[#This Row],[Start]])*1440)</f>
        <v/>
      </c>
      <c r="J332" s="42" t="str">
        <f>IF(ISBLANK(Exceptions[[#This Row],[Date]]),"",IF(Exceptions[[#This Row],[Activity]]="Instruction",Exceptions[[#This Row],[Elapsed]],0))</f>
        <v/>
      </c>
      <c r="K332" s="42" t="str">
        <f>IF(ISBLANK(Exceptions[[#This Row],[Activity]]),"",IF(_xlfn.XLOOKUP(Exceptions[[#This Row],[Activity]],Types_of_Activity[Type of Activity],Types_of_Activity[Classification])=2,Exceptions[[#This Row],[Elapsed]],0))</f>
        <v/>
      </c>
    </row>
    <row r="333" spans="2:11" x14ac:dyDescent="0.3">
      <c r="B333" t="str">
        <f>TEXT(Exceptions[[#This Row],[Date]],"MMMM")</f>
        <v>January</v>
      </c>
      <c r="C333" s="146"/>
      <c r="D333" s="136"/>
      <c r="E333" s="136"/>
      <c r="F333" s="103"/>
      <c r="G333" s="103"/>
      <c r="H333" s="103"/>
      <c r="I333" s="42" t="str">
        <f>IF(OR(ISBLANK(Exceptions[[#This Row],[Start]]),ISBLANK(Exceptions[[#This Row],[End]])),"",(Exceptions[[#This Row],[End]]-Exceptions[[#This Row],[Start]])*1440)</f>
        <v/>
      </c>
      <c r="J333" s="42" t="str">
        <f>IF(ISBLANK(Exceptions[[#This Row],[Date]]),"",IF(Exceptions[[#This Row],[Activity]]="Instruction",Exceptions[[#This Row],[Elapsed]],0))</f>
        <v/>
      </c>
      <c r="K333" s="42" t="str">
        <f>IF(ISBLANK(Exceptions[[#This Row],[Activity]]),"",IF(_xlfn.XLOOKUP(Exceptions[[#This Row],[Activity]],Types_of_Activity[Type of Activity],Types_of_Activity[Classification])=2,Exceptions[[#This Row],[Elapsed]],0))</f>
        <v/>
      </c>
    </row>
    <row r="334" spans="2:11" x14ac:dyDescent="0.3">
      <c r="B334" t="str">
        <f>TEXT(Exceptions[[#This Row],[Date]],"MMMM")</f>
        <v>January</v>
      </c>
      <c r="C334" s="146"/>
      <c r="D334" s="136"/>
      <c r="E334" s="136"/>
      <c r="F334" s="103"/>
      <c r="G334" s="103"/>
      <c r="H334" s="103"/>
      <c r="I334" s="42" t="str">
        <f>IF(OR(ISBLANK(Exceptions[[#This Row],[Start]]),ISBLANK(Exceptions[[#This Row],[End]])),"",(Exceptions[[#This Row],[End]]-Exceptions[[#This Row],[Start]])*1440)</f>
        <v/>
      </c>
      <c r="J334" s="42" t="str">
        <f>IF(ISBLANK(Exceptions[[#This Row],[Date]]),"",IF(Exceptions[[#This Row],[Activity]]="Instruction",Exceptions[[#This Row],[Elapsed]],0))</f>
        <v/>
      </c>
      <c r="K334" s="42" t="str">
        <f>IF(ISBLANK(Exceptions[[#This Row],[Activity]]),"",IF(_xlfn.XLOOKUP(Exceptions[[#This Row],[Activity]],Types_of_Activity[Type of Activity],Types_of_Activity[Classification])=2,Exceptions[[#This Row],[Elapsed]],0))</f>
        <v/>
      </c>
    </row>
    <row r="335" spans="2:11" x14ac:dyDescent="0.3">
      <c r="B335" t="str">
        <f>TEXT(Exceptions[[#This Row],[Date]],"MMMM")</f>
        <v>January</v>
      </c>
      <c r="C335" s="146"/>
      <c r="D335" s="136"/>
      <c r="E335" s="136"/>
      <c r="F335" s="103"/>
      <c r="G335" s="103"/>
      <c r="H335" s="103"/>
      <c r="I335" s="42" t="str">
        <f>IF(OR(ISBLANK(Exceptions[[#This Row],[Start]]),ISBLANK(Exceptions[[#This Row],[End]])),"",(Exceptions[[#This Row],[End]]-Exceptions[[#This Row],[Start]])*1440)</f>
        <v/>
      </c>
      <c r="J335" s="42" t="str">
        <f>IF(ISBLANK(Exceptions[[#This Row],[Date]]),"",IF(Exceptions[[#This Row],[Activity]]="Instruction",Exceptions[[#This Row],[Elapsed]],0))</f>
        <v/>
      </c>
      <c r="K335" s="42" t="str">
        <f>IF(ISBLANK(Exceptions[[#This Row],[Activity]]),"",IF(_xlfn.XLOOKUP(Exceptions[[#This Row],[Activity]],Types_of_Activity[Type of Activity],Types_of_Activity[Classification])=2,Exceptions[[#This Row],[Elapsed]],0))</f>
        <v/>
      </c>
    </row>
    <row r="336" spans="2:11" x14ac:dyDescent="0.3">
      <c r="B336" t="str">
        <f>TEXT(Exceptions[[#This Row],[Date]],"MMMM")</f>
        <v>January</v>
      </c>
      <c r="C336" s="146"/>
      <c r="D336" s="136"/>
      <c r="E336" s="136"/>
      <c r="F336" s="103"/>
      <c r="G336" s="103"/>
      <c r="H336" s="103"/>
      <c r="I336" s="42" t="str">
        <f>IF(OR(ISBLANK(Exceptions[[#This Row],[Start]]),ISBLANK(Exceptions[[#This Row],[End]])),"",(Exceptions[[#This Row],[End]]-Exceptions[[#This Row],[Start]])*1440)</f>
        <v/>
      </c>
      <c r="J336" s="42" t="str">
        <f>IF(ISBLANK(Exceptions[[#This Row],[Date]]),"",IF(Exceptions[[#This Row],[Activity]]="Instruction",Exceptions[[#This Row],[Elapsed]],0))</f>
        <v/>
      </c>
      <c r="K336" s="42" t="str">
        <f>IF(ISBLANK(Exceptions[[#This Row],[Activity]]),"",IF(_xlfn.XLOOKUP(Exceptions[[#This Row],[Activity]],Types_of_Activity[Type of Activity],Types_of_Activity[Classification])=2,Exceptions[[#This Row],[Elapsed]],0))</f>
        <v/>
      </c>
    </row>
    <row r="337" spans="2:11" x14ac:dyDescent="0.3">
      <c r="B337" t="str">
        <f>TEXT(Exceptions[[#This Row],[Date]],"MMMM")</f>
        <v>January</v>
      </c>
      <c r="C337" s="146"/>
      <c r="D337" s="136"/>
      <c r="E337" s="136"/>
      <c r="F337" s="103"/>
      <c r="G337" s="103"/>
      <c r="H337" s="103"/>
      <c r="I337" s="42" t="str">
        <f>IF(OR(ISBLANK(Exceptions[[#This Row],[Start]]),ISBLANK(Exceptions[[#This Row],[End]])),"",(Exceptions[[#This Row],[End]]-Exceptions[[#This Row],[Start]])*1440)</f>
        <v/>
      </c>
      <c r="J337" s="42" t="str">
        <f>IF(ISBLANK(Exceptions[[#This Row],[Date]]),"",IF(Exceptions[[#This Row],[Activity]]="Instruction",Exceptions[[#This Row],[Elapsed]],0))</f>
        <v/>
      </c>
      <c r="K337" s="42" t="str">
        <f>IF(ISBLANK(Exceptions[[#This Row],[Activity]]),"",IF(_xlfn.XLOOKUP(Exceptions[[#This Row],[Activity]],Types_of_Activity[Type of Activity],Types_of_Activity[Classification])=2,Exceptions[[#This Row],[Elapsed]],0))</f>
        <v/>
      </c>
    </row>
    <row r="338" spans="2:11" x14ac:dyDescent="0.3">
      <c r="B338" t="str">
        <f>TEXT(Exceptions[[#This Row],[Date]],"MMMM")</f>
        <v>January</v>
      </c>
      <c r="C338" s="146"/>
      <c r="D338" s="136"/>
      <c r="E338" s="136"/>
      <c r="F338" s="103"/>
      <c r="G338" s="103"/>
      <c r="H338" s="103"/>
      <c r="I338" s="42" t="str">
        <f>IF(OR(ISBLANK(Exceptions[[#This Row],[Start]]),ISBLANK(Exceptions[[#This Row],[End]])),"",(Exceptions[[#This Row],[End]]-Exceptions[[#This Row],[Start]])*1440)</f>
        <v/>
      </c>
      <c r="J338" s="42" t="str">
        <f>IF(ISBLANK(Exceptions[[#This Row],[Date]]),"",IF(Exceptions[[#This Row],[Activity]]="Instruction",Exceptions[[#This Row],[Elapsed]],0))</f>
        <v/>
      </c>
      <c r="K338" s="42" t="str">
        <f>IF(ISBLANK(Exceptions[[#This Row],[Activity]]),"",IF(_xlfn.XLOOKUP(Exceptions[[#This Row],[Activity]],Types_of_Activity[Type of Activity],Types_of_Activity[Classification])=2,Exceptions[[#This Row],[Elapsed]],0))</f>
        <v/>
      </c>
    </row>
    <row r="339" spans="2:11" x14ac:dyDescent="0.3">
      <c r="B339" t="str">
        <f>TEXT(Exceptions[[#This Row],[Date]],"MMMM")</f>
        <v>January</v>
      </c>
      <c r="C339" s="146"/>
      <c r="D339" s="136"/>
      <c r="E339" s="136"/>
      <c r="F339" s="103"/>
      <c r="G339" s="103"/>
      <c r="H339" s="103"/>
      <c r="I339" s="42" t="str">
        <f>IF(OR(ISBLANK(Exceptions[[#This Row],[Start]]),ISBLANK(Exceptions[[#This Row],[End]])),"",(Exceptions[[#This Row],[End]]-Exceptions[[#This Row],[Start]])*1440)</f>
        <v/>
      </c>
      <c r="J339" s="42" t="str">
        <f>IF(ISBLANK(Exceptions[[#This Row],[Date]]),"",IF(Exceptions[[#This Row],[Activity]]="Instruction",Exceptions[[#This Row],[Elapsed]],0))</f>
        <v/>
      </c>
      <c r="K339" s="42" t="str">
        <f>IF(ISBLANK(Exceptions[[#This Row],[Activity]]),"",IF(_xlfn.XLOOKUP(Exceptions[[#This Row],[Activity]],Types_of_Activity[Type of Activity],Types_of_Activity[Classification])=2,Exceptions[[#This Row],[Elapsed]],0))</f>
        <v/>
      </c>
    </row>
    <row r="340" spans="2:11" x14ac:dyDescent="0.3">
      <c r="B340" t="str">
        <f>TEXT(Exceptions[[#This Row],[Date]],"MMMM")</f>
        <v>January</v>
      </c>
      <c r="C340" s="146"/>
      <c r="D340" s="136"/>
      <c r="E340" s="136"/>
      <c r="F340" s="103"/>
      <c r="G340" s="103"/>
      <c r="H340" s="103"/>
      <c r="I340" s="42" t="str">
        <f>IF(OR(ISBLANK(Exceptions[[#This Row],[Start]]),ISBLANK(Exceptions[[#This Row],[End]])),"",(Exceptions[[#This Row],[End]]-Exceptions[[#This Row],[Start]])*1440)</f>
        <v/>
      </c>
      <c r="J340" s="42" t="str">
        <f>IF(ISBLANK(Exceptions[[#This Row],[Date]]),"",IF(Exceptions[[#This Row],[Activity]]="Instruction",Exceptions[[#This Row],[Elapsed]],0))</f>
        <v/>
      </c>
      <c r="K340" s="42" t="str">
        <f>IF(ISBLANK(Exceptions[[#This Row],[Activity]]),"",IF(_xlfn.XLOOKUP(Exceptions[[#This Row],[Activity]],Types_of_Activity[Type of Activity],Types_of_Activity[Classification])=2,Exceptions[[#This Row],[Elapsed]],0))</f>
        <v/>
      </c>
    </row>
    <row r="341" spans="2:11" x14ac:dyDescent="0.3">
      <c r="B341" t="str">
        <f>TEXT(Exceptions[[#This Row],[Date]],"MMMM")</f>
        <v>January</v>
      </c>
      <c r="C341" s="146"/>
      <c r="D341" s="136"/>
      <c r="E341" s="136"/>
      <c r="F341" s="103"/>
      <c r="G341" s="103"/>
      <c r="H341" s="103"/>
      <c r="I341" s="42" t="str">
        <f>IF(OR(ISBLANK(Exceptions[[#This Row],[Start]]),ISBLANK(Exceptions[[#This Row],[End]])),"",(Exceptions[[#This Row],[End]]-Exceptions[[#This Row],[Start]])*1440)</f>
        <v/>
      </c>
      <c r="J341" s="42" t="str">
        <f>IF(ISBLANK(Exceptions[[#This Row],[Date]]),"",IF(Exceptions[[#This Row],[Activity]]="Instruction",Exceptions[[#This Row],[Elapsed]],0))</f>
        <v/>
      </c>
      <c r="K341" s="42" t="str">
        <f>IF(ISBLANK(Exceptions[[#This Row],[Activity]]),"",IF(_xlfn.XLOOKUP(Exceptions[[#This Row],[Activity]],Types_of_Activity[Type of Activity],Types_of_Activity[Classification])=2,Exceptions[[#This Row],[Elapsed]],0))</f>
        <v/>
      </c>
    </row>
    <row r="342" spans="2:11" x14ac:dyDescent="0.3">
      <c r="B342" t="str">
        <f>TEXT(Exceptions[[#This Row],[Date]],"MMMM")</f>
        <v>January</v>
      </c>
      <c r="C342" s="146"/>
      <c r="D342" s="136"/>
      <c r="E342" s="136"/>
      <c r="F342" s="103"/>
      <c r="G342" s="103"/>
      <c r="H342" s="103"/>
      <c r="I342" s="42" t="str">
        <f>IF(OR(ISBLANK(Exceptions[[#This Row],[Start]]),ISBLANK(Exceptions[[#This Row],[End]])),"",(Exceptions[[#This Row],[End]]-Exceptions[[#This Row],[Start]])*1440)</f>
        <v/>
      </c>
      <c r="J342" s="42" t="str">
        <f>IF(ISBLANK(Exceptions[[#This Row],[Date]]),"",IF(Exceptions[[#This Row],[Activity]]="Instruction",Exceptions[[#This Row],[Elapsed]],0))</f>
        <v/>
      </c>
      <c r="K342" s="42" t="str">
        <f>IF(ISBLANK(Exceptions[[#This Row],[Activity]]),"",IF(_xlfn.XLOOKUP(Exceptions[[#This Row],[Activity]],Types_of_Activity[Type of Activity],Types_of_Activity[Classification])=2,Exceptions[[#This Row],[Elapsed]],0))</f>
        <v/>
      </c>
    </row>
    <row r="343" spans="2:11" x14ac:dyDescent="0.3">
      <c r="B343" t="str">
        <f>TEXT(Exceptions[[#This Row],[Date]],"MMMM")</f>
        <v>January</v>
      </c>
      <c r="C343" s="146"/>
      <c r="D343" s="136"/>
      <c r="E343" s="136"/>
      <c r="F343" s="103"/>
      <c r="G343" s="103"/>
      <c r="H343" s="103"/>
      <c r="I343" s="42" t="str">
        <f>IF(OR(ISBLANK(Exceptions[[#This Row],[Start]]),ISBLANK(Exceptions[[#This Row],[End]])),"",(Exceptions[[#This Row],[End]]-Exceptions[[#This Row],[Start]])*1440)</f>
        <v/>
      </c>
      <c r="J343" s="42" t="str">
        <f>IF(ISBLANK(Exceptions[[#This Row],[Date]]),"",IF(Exceptions[[#This Row],[Activity]]="Instruction",Exceptions[[#This Row],[Elapsed]],0))</f>
        <v/>
      </c>
      <c r="K343" s="42" t="str">
        <f>IF(ISBLANK(Exceptions[[#This Row],[Activity]]),"",IF(_xlfn.XLOOKUP(Exceptions[[#This Row],[Activity]],Types_of_Activity[Type of Activity],Types_of_Activity[Classification])=2,Exceptions[[#This Row],[Elapsed]],0))</f>
        <v/>
      </c>
    </row>
    <row r="344" spans="2:11" x14ac:dyDescent="0.3">
      <c r="B344" t="str">
        <f>TEXT(Exceptions[[#This Row],[Date]],"MMMM")</f>
        <v>January</v>
      </c>
      <c r="C344" s="146"/>
      <c r="D344" s="136"/>
      <c r="E344" s="136"/>
      <c r="F344" s="103"/>
      <c r="G344" s="103"/>
      <c r="H344" s="103"/>
      <c r="I344" s="42" t="str">
        <f>IF(OR(ISBLANK(Exceptions[[#This Row],[Start]]),ISBLANK(Exceptions[[#This Row],[End]])),"",(Exceptions[[#This Row],[End]]-Exceptions[[#This Row],[Start]])*1440)</f>
        <v/>
      </c>
      <c r="J344" s="42" t="str">
        <f>IF(ISBLANK(Exceptions[[#This Row],[Date]]),"",IF(Exceptions[[#This Row],[Activity]]="Instruction",Exceptions[[#This Row],[Elapsed]],0))</f>
        <v/>
      </c>
      <c r="K344" s="42" t="str">
        <f>IF(ISBLANK(Exceptions[[#This Row],[Activity]]),"",IF(_xlfn.XLOOKUP(Exceptions[[#This Row],[Activity]],Types_of_Activity[Type of Activity],Types_of_Activity[Classification])=2,Exceptions[[#This Row],[Elapsed]],0))</f>
        <v/>
      </c>
    </row>
    <row r="345" spans="2:11" x14ac:dyDescent="0.3">
      <c r="B345" t="str">
        <f>TEXT(Exceptions[[#This Row],[Date]],"MMMM")</f>
        <v>January</v>
      </c>
      <c r="C345" s="146"/>
      <c r="D345" s="136"/>
      <c r="E345" s="136"/>
      <c r="F345" s="103"/>
      <c r="G345" s="103"/>
      <c r="H345" s="103"/>
      <c r="I345" s="42" t="str">
        <f>IF(OR(ISBLANK(Exceptions[[#This Row],[Start]]),ISBLANK(Exceptions[[#This Row],[End]])),"",(Exceptions[[#This Row],[End]]-Exceptions[[#This Row],[Start]])*1440)</f>
        <v/>
      </c>
      <c r="J345" s="42" t="str">
        <f>IF(ISBLANK(Exceptions[[#This Row],[Date]]),"",IF(Exceptions[[#This Row],[Activity]]="Instruction",Exceptions[[#This Row],[Elapsed]],0))</f>
        <v/>
      </c>
      <c r="K345" s="42" t="str">
        <f>IF(ISBLANK(Exceptions[[#This Row],[Activity]]),"",IF(_xlfn.XLOOKUP(Exceptions[[#This Row],[Activity]],Types_of_Activity[Type of Activity],Types_of_Activity[Classification])=2,Exceptions[[#This Row],[Elapsed]],0))</f>
        <v/>
      </c>
    </row>
    <row r="346" spans="2:11" x14ac:dyDescent="0.3">
      <c r="B346" t="str">
        <f>TEXT(Exceptions[[#This Row],[Date]],"MMMM")</f>
        <v>January</v>
      </c>
      <c r="C346" s="146"/>
      <c r="D346" s="136"/>
      <c r="E346" s="136"/>
      <c r="F346" s="103"/>
      <c r="G346" s="103"/>
      <c r="H346" s="103"/>
      <c r="I346" s="42" t="str">
        <f>IF(OR(ISBLANK(Exceptions[[#This Row],[Start]]),ISBLANK(Exceptions[[#This Row],[End]])),"",(Exceptions[[#This Row],[End]]-Exceptions[[#This Row],[Start]])*1440)</f>
        <v/>
      </c>
      <c r="J346" s="42" t="str">
        <f>IF(ISBLANK(Exceptions[[#This Row],[Date]]),"",IF(Exceptions[[#This Row],[Activity]]="Instruction",Exceptions[[#This Row],[Elapsed]],0))</f>
        <v/>
      </c>
      <c r="K346" s="42" t="str">
        <f>IF(ISBLANK(Exceptions[[#This Row],[Activity]]),"",IF(_xlfn.XLOOKUP(Exceptions[[#This Row],[Activity]],Types_of_Activity[Type of Activity],Types_of_Activity[Classification])=2,Exceptions[[#This Row],[Elapsed]],0))</f>
        <v/>
      </c>
    </row>
    <row r="347" spans="2:11" x14ac:dyDescent="0.3">
      <c r="B347" t="str">
        <f>TEXT(Exceptions[[#This Row],[Date]],"MMMM")</f>
        <v>January</v>
      </c>
      <c r="C347" s="146"/>
      <c r="D347" s="136"/>
      <c r="E347" s="136"/>
      <c r="F347" s="103"/>
      <c r="G347" s="103"/>
      <c r="H347" s="103"/>
      <c r="I347" s="42" t="str">
        <f>IF(OR(ISBLANK(Exceptions[[#This Row],[Start]]),ISBLANK(Exceptions[[#This Row],[End]])),"",(Exceptions[[#This Row],[End]]-Exceptions[[#This Row],[Start]])*1440)</f>
        <v/>
      </c>
      <c r="J347" s="42" t="str">
        <f>IF(ISBLANK(Exceptions[[#This Row],[Date]]),"",IF(Exceptions[[#This Row],[Activity]]="Instruction",Exceptions[[#This Row],[Elapsed]],0))</f>
        <v/>
      </c>
      <c r="K347" s="42" t="str">
        <f>IF(ISBLANK(Exceptions[[#This Row],[Activity]]),"",IF(_xlfn.XLOOKUP(Exceptions[[#This Row],[Activity]],Types_of_Activity[Type of Activity],Types_of_Activity[Classification])=2,Exceptions[[#This Row],[Elapsed]],0))</f>
        <v/>
      </c>
    </row>
    <row r="348" spans="2:11" x14ac:dyDescent="0.3">
      <c r="B348" t="str">
        <f>TEXT(Exceptions[[#This Row],[Date]],"MMMM")</f>
        <v>January</v>
      </c>
      <c r="C348" s="146"/>
      <c r="D348" s="136"/>
      <c r="E348" s="136"/>
      <c r="F348" s="103"/>
      <c r="G348" s="103"/>
      <c r="H348" s="103"/>
      <c r="I348" s="42" t="str">
        <f>IF(OR(ISBLANK(Exceptions[[#This Row],[Start]]),ISBLANK(Exceptions[[#This Row],[End]])),"",(Exceptions[[#This Row],[End]]-Exceptions[[#This Row],[Start]])*1440)</f>
        <v/>
      </c>
      <c r="J348" s="42" t="str">
        <f>IF(ISBLANK(Exceptions[[#This Row],[Date]]),"",IF(Exceptions[[#This Row],[Activity]]="Instruction",Exceptions[[#This Row],[Elapsed]],0))</f>
        <v/>
      </c>
      <c r="K348" s="42" t="str">
        <f>IF(ISBLANK(Exceptions[[#This Row],[Activity]]),"",IF(_xlfn.XLOOKUP(Exceptions[[#This Row],[Activity]],Types_of_Activity[Type of Activity],Types_of_Activity[Classification])=2,Exceptions[[#This Row],[Elapsed]],0))</f>
        <v/>
      </c>
    </row>
    <row r="349" spans="2:11" x14ac:dyDescent="0.3">
      <c r="B349" t="str">
        <f>TEXT(Exceptions[[#This Row],[Date]],"MMMM")</f>
        <v>January</v>
      </c>
      <c r="C349" s="146"/>
      <c r="D349" s="136"/>
      <c r="E349" s="136"/>
      <c r="F349" s="103"/>
      <c r="G349" s="103"/>
      <c r="H349" s="103"/>
      <c r="I349" s="42" t="str">
        <f>IF(OR(ISBLANK(Exceptions[[#This Row],[Start]]),ISBLANK(Exceptions[[#This Row],[End]])),"",(Exceptions[[#This Row],[End]]-Exceptions[[#This Row],[Start]])*1440)</f>
        <v/>
      </c>
      <c r="J349" s="42" t="str">
        <f>IF(ISBLANK(Exceptions[[#This Row],[Date]]),"",IF(Exceptions[[#This Row],[Activity]]="Instruction",Exceptions[[#This Row],[Elapsed]],0))</f>
        <v/>
      </c>
      <c r="K349" s="42" t="str">
        <f>IF(ISBLANK(Exceptions[[#This Row],[Activity]]),"",IF(_xlfn.XLOOKUP(Exceptions[[#This Row],[Activity]],Types_of_Activity[Type of Activity],Types_of_Activity[Classification])=2,Exceptions[[#This Row],[Elapsed]],0))</f>
        <v/>
      </c>
    </row>
    <row r="350" spans="2:11" x14ac:dyDescent="0.3">
      <c r="B350" t="str">
        <f>TEXT(Exceptions[[#This Row],[Date]],"MMMM")</f>
        <v>January</v>
      </c>
      <c r="C350" s="146"/>
      <c r="D350" s="136"/>
      <c r="E350" s="136"/>
      <c r="F350" s="103"/>
      <c r="G350" s="103"/>
      <c r="H350" s="103"/>
      <c r="I350" s="42" t="str">
        <f>IF(OR(ISBLANK(Exceptions[[#This Row],[Start]]),ISBLANK(Exceptions[[#This Row],[End]])),"",(Exceptions[[#This Row],[End]]-Exceptions[[#This Row],[Start]])*1440)</f>
        <v/>
      </c>
      <c r="J350" s="42" t="str">
        <f>IF(ISBLANK(Exceptions[[#This Row],[Date]]),"",IF(Exceptions[[#This Row],[Activity]]="Instruction",Exceptions[[#This Row],[Elapsed]],0))</f>
        <v/>
      </c>
      <c r="K350" s="42" t="str">
        <f>IF(ISBLANK(Exceptions[[#This Row],[Activity]]),"",IF(_xlfn.XLOOKUP(Exceptions[[#This Row],[Activity]],Types_of_Activity[Type of Activity],Types_of_Activity[Classification])=2,Exceptions[[#This Row],[Elapsed]],0))</f>
        <v/>
      </c>
    </row>
    <row r="351" spans="2:11" x14ac:dyDescent="0.3">
      <c r="B351" t="str">
        <f>TEXT(Exceptions[[#This Row],[Date]],"MMMM")</f>
        <v>January</v>
      </c>
      <c r="C351" s="146"/>
      <c r="D351" s="136"/>
      <c r="E351" s="136"/>
      <c r="F351" s="103"/>
      <c r="G351" s="103"/>
      <c r="H351" s="103"/>
      <c r="I351" s="42" t="str">
        <f>IF(OR(ISBLANK(Exceptions[[#This Row],[Start]]),ISBLANK(Exceptions[[#This Row],[End]])),"",(Exceptions[[#This Row],[End]]-Exceptions[[#This Row],[Start]])*1440)</f>
        <v/>
      </c>
      <c r="J351" s="42" t="str">
        <f>IF(ISBLANK(Exceptions[[#This Row],[Date]]),"",IF(Exceptions[[#This Row],[Activity]]="Instruction",Exceptions[[#This Row],[Elapsed]],0))</f>
        <v/>
      </c>
      <c r="K351" s="42" t="str">
        <f>IF(ISBLANK(Exceptions[[#This Row],[Activity]]),"",IF(_xlfn.XLOOKUP(Exceptions[[#This Row],[Activity]],Types_of_Activity[Type of Activity],Types_of_Activity[Classification])=2,Exceptions[[#This Row],[Elapsed]],0))</f>
        <v/>
      </c>
    </row>
    <row r="352" spans="2:11" x14ac:dyDescent="0.3">
      <c r="B352" t="str">
        <f>TEXT(Exceptions[[#This Row],[Date]],"MMMM")</f>
        <v>January</v>
      </c>
      <c r="C352" s="146"/>
      <c r="D352" s="136"/>
      <c r="E352" s="136"/>
      <c r="F352" s="103"/>
      <c r="G352" s="103"/>
      <c r="H352" s="103"/>
      <c r="I352" s="42" t="str">
        <f>IF(OR(ISBLANK(Exceptions[[#This Row],[Start]]),ISBLANK(Exceptions[[#This Row],[End]])),"",(Exceptions[[#This Row],[End]]-Exceptions[[#This Row],[Start]])*1440)</f>
        <v/>
      </c>
      <c r="J352" s="42" t="str">
        <f>IF(ISBLANK(Exceptions[[#This Row],[Date]]),"",IF(Exceptions[[#This Row],[Activity]]="Instruction",Exceptions[[#This Row],[Elapsed]],0))</f>
        <v/>
      </c>
      <c r="K352" s="42" t="str">
        <f>IF(ISBLANK(Exceptions[[#This Row],[Activity]]),"",IF(_xlfn.XLOOKUP(Exceptions[[#This Row],[Activity]],Types_of_Activity[Type of Activity],Types_of_Activity[Classification])=2,Exceptions[[#This Row],[Elapsed]],0))</f>
        <v/>
      </c>
    </row>
    <row r="353" spans="2:11" x14ac:dyDescent="0.3">
      <c r="B353" t="str">
        <f>TEXT(Exceptions[[#This Row],[Date]],"MMMM")</f>
        <v>January</v>
      </c>
      <c r="C353" s="146"/>
      <c r="D353" s="136"/>
      <c r="E353" s="136"/>
      <c r="F353" s="103"/>
      <c r="G353" s="103"/>
      <c r="H353" s="103"/>
      <c r="I353" s="42" t="str">
        <f>IF(OR(ISBLANK(Exceptions[[#This Row],[Start]]),ISBLANK(Exceptions[[#This Row],[End]])),"",(Exceptions[[#This Row],[End]]-Exceptions[[#This Row],[Start]])*1440)</f>
        <v/>
      </c>
      <c r="J353" s="42" t="str">
        <f>IF(ISBLANK(Exceptions[[#This Row],[Date]]),"",IF(Exceptions[[#This Row],[Activity]]="Instruction",Exceptions[[#This Row],[Elapsed]],0))</f>
        <v/>
      </c>
      <c r="K353" s="42" t="str">
        <f>IF(ISBLANK(Exceptions[[#This Row],[Activity]]),"",IF(_xlfn.XLOOKUP(Exceptions[[#This Row],[Activity]],Types_of_Activity[Type of Activity],Types_of_Activity[Classification])=2,Exceptions[[#This Row],[Elapsed]],0))</f>
        <v/>
      </c>
    </row>
    <row r="354" spans="2:11" x14ac:dyDescent="0.3">
      <c r="B354" t="str">
        <f>TEXT(Exceptions[[#This Row],[Date]],"MMMM")</f>
        <v>January</v>
      </c>
      <c r="C354" s="146"/>
      <c r="D354" s="136"/>
      <c r="E354" s="136"/>
      <c r="F354" s="103"/>
      <c r="G354" s="103"/>
      <c r="H354" s="103"/>
      <c r="I354" s="42" t="str">
        <f>IF(OR(ISBLANK(Exceptions[[#This Row],[Start]]),ISBLANK(Exceptions[[#This Row],[End]])),"",(Exceptions[[#This Row],[End]]-Exceptions[[#This Row],[Start]])*1440)</f>
        <v/>
      </c>
      <c r="J354" s="42" t="str">
        <f>IF(ISBLANK(Exceptions[[#This Row],[Date]]),"",IF(Exceptions[[#This Row],[Activity]]="Instruction",Exceptions[[#This Row],[Elapsed]],0))</f>
        <v/>
      </c>
      <c r="K354" s="42" t="str">
        <f>IF(ISBLANK(Exceptions[[#This Row],[Activity]]),"",IF(_xlfn.XLOOKUP(Exceptions[[#This Row],[Activity]],Types_of_Activity[Type of Activity],Types_of_Activity[Classification])=2,Exceptions[[#This Row],[Elapsed]],0))</f>
        <v/>
      </c>
    </row>
    <row r="355" spans="2:11" x14ac:dyDescent="0.3">
      <c r="B355" t="str">
        <f>TEXT(Exceptions[[#This Row],[Date]],"MMMM")</f>
        <v>January</v>
      </c>
      <c r="C355" s="146"/>
      <c r="D355" s="136"/>
      <c r="E355" s="136"/>
      <c r="F355" s="103"/>
      <c r="G355" s="103"/>
      <c r="H355" s="103"/>
      <c r="I355" s="42" t="str">
        <f>IF(OR(ISBLANK(Exceptions[[#This Row],[Start]]),ISBLANK(Exceptions[[#This Row],[End]])),"",(Exceptions[[#This Row],[End]]-Exceptions[[#This Row],[Start]])*1440)</f>
        <v/>
      </c>
      <c r="J355" s="42" t="str">
        <f>IF(ISBLANK(Exceptions[[#This Row],[Date]]),"",IF(Exceptions[[#This Row],[Activity]]="Instruction",Exceptions[[#This Row],[Elapsed]],0))</f>
        <v/>
      </c>
      <c r="K355" s="42" t="str">
        <f>IF(ISBLANK(Exceptions[[#This Row],[Activity]]),"",IF(_xlfn.XLOOKUP(Exceptions[[#This Row],[Activity]],Types_of_Activity[Type of Activity],Types_of_Activity[Classification])=2,Exceptions[[#This Row],[Elapsed]],0))</f>
        <v/>
      </c>
    </row>
    <row r="356" spans="2:11" x14ac:dyDescent="0.3">
      <c r="B356" t="str">
        <f>TEXT(Exceptions[[#This Row],[Date]],"MMMM")</f>
        <v>January</v>
      </c>
      <c r="C356" s="146"/>
      <c r="D356" s="136"/>
      <c r="E356" s="136"/>
      <c r="F356" s="103"/>
      <c r="G356" s="103"/>
      <c r="H356" s="103"/>
      <c r="I356" s="42" t="str">
        <f>IF(OR(ISBLANK(Exceptions[[#This Row],[Start]]),ISBLANK(Exceptions[[#This Row],[End]])),"",(Exceptions[[#This Row],[End]]-Exceptions[[#This Row],[Start]])*1440)</f>
        <v/>
      </c>
      <c r="J356" s="42" t="str">
        <f>IF(ISBLANK(Exceptions[[#This Row],[Date]]),"",IF(Exceptions[[#This Row],[Activity]]="Instruction",Exceptions[[#This Row],[Elapsed]],0))</f>
        <v/>
      </c>
      <c r="K356" s="42" t="str">
        <f>IF(ISBLANK(Exceptions[[#This Row],[Activity]]),"",IF(_xlfn.XLOOKUP(Exceptions[[#This Row],[Activity]],Types_of_Activity[Type of Activity],Types_of_Activity[Classification])=2,Exceptions[[#This Row],[Elapsed]],0))</f>
        <v/>
      </c>
    </row>
    <row r="357" spans="2:11" x14ac:dyDescent="0.3">
      <c r="B357" t="str">
        <f>TEXT(Exceptions[[#This Row],[Date]],"MMMM")</f>
        <v>January</v>
      </c>
      <c r="C357" s="146"/>
      <c r="D357" s="136"/>
      <c r="E357" s="136"/>
      <c r="F357" s="103"/>
      <c r="G357" s="103"/>
      <c r="H357" s="103"/>
      <c r="I357" s="42" t="str">
        <f>IF(OR(ISBLANK(Exceptions[[#This Row],[Start]]),ISBLANK(Exceptions[[#This Row],[End]])),"",(Exceptions[[#This Row],[End]]-Exceptions[[#This Row],[Start]])*1440)</f>
        <v/>
      </c>
      <c r="J357" s="42" t="str">
        <f>IF(ISBLANK(Exceptions[[#This Row],[Date]]),"",IF(Exceptions[[#This Row],[Activity]]="Instruction",Exceptions[[#This Row],[Elapsed]],0))</f>
        <v/>
      </c>
      <c r="K357" s="42" t="str">
        <f>IF(ISBLANK(Exceptions[[#This Row],[Activity]]),"",IF(_xlfn.XLOOKUP(Exceptions[[#This Row],[Activity]],Types_of_Activity[Type of Activity],Types_of_Activity[Classification])=2,Exceptions[[#This Row],[Elapsed]],0))</f>
        <v/>
      </c>
    </row>
    <row r="358" spans="2:11" x14ac:dyDescent="0.3">
      <c r="B358" t="str">
        <f>TEXT(Exceptions[[#This Row],[Date]],"MMMM")</f>
        <v>January</v>
      </c>
      <c r="C358" s="146"/>
      <c r="D358" s="136"/>
      <c r="E358" s="136"/>
      <c r="F358" s="103"/>
      <c r="G358" s="103"/>
      <c r="H358" s="103"/>
      <c r="I358" s="42" t="str">
        <f>IF(OR(ISBLANK(Exceptions[[#This Row],[Start]]),ISBLANK(Exceptions[[#This Row],[End]])),"",(Exceptions[[#This Row],[End]]-Exceptions[[#This Row],[Start]])*1440)</f>
        <v/>
      </c>
      <c r="J358" s="42" t="str">
        <f>IF(ISBLANK(Exceptions[[#This Row],[Date]]),"",IF(Exceptions[[#This Row],[Activity]]="Instruction",Exceptions[[#This Row],[Elapsed]],0))</f>
        <v/>
      </c>
      <c r="K358" s="42" t="str">
        <f>IF(ISBLANK(Exceptions[[#This Row],[Activity]]),"",IF(_xlfn.XLOOKUP(Exceptions[[#This Row],[Activity]],Types_of_Activity[Type of Activity],Types_of_Activity[Classification])=2,Exceptions[[#This Row],[Elapsed]],0))</f>
        <v/>
      </c>
    </row>
    <row r="359" spans="2:11" x14ac:dyDescent="0.3">
      <c r="B359" t="str">
        <f>TEXT(Exceptions[[#This Row],[Date]],"MMMM")</f>
        <v>January</v>
      </c>
      <c r="C359" s="146"/>
      <c r="D359" s="136"/>
      <c r="E359" s="136"/>
      <c r="F359" s="103"/>
      <c r="G359" s="103"/>
      <c r="H359" s="103"/>
      <c r="I359" s="42" t="str">
        <f>IF(OR(ISBLANK(Exceptions[[#This Row],[Start]]),ISBLANK(Exceptions[[#This Row],[End]])),"",(Exceptions[[#This Row],[End]]-Exceptions[[#This Row],[Start]])*1440)</f>
        <v/>
      </c>
      <c r="J359" s="42" t="str">
        <f>IF(ISBLANK(Exceptions[[#This Row],[Date]]),"",IF(Exceptions[[#This Row],[Activity]]="Instruction",Exceptions[[#This Row],[Elapsed]],0))</f>
        <v/>
      </c>
      <c r="K359" s="42" t="str">
        <f>IF(ISBLANK(Exceptions[[#This Row],[Activity]]),"",IF(_xlfn.XLOOKUP(Exceptions[[#This Row],[Activity]],Types_of_Activity[Type of Activity],Types_of_Activity[Classification])=2,Exceptions[[#This Row],[Elapsed]],0))</f>
        <v/>
      </c>
    </row>
    <row r="360" spans="2:11" x14ac:dyDescent="0.3">
      <c r="B360" t="str">
        <f>TEXT(Exceptions[[#This Row],[Date]],"MMMM")</f>
        <v>January</v>
      </c>
      <c r="C360" s="146"/>
      <c r="D360" s="136"/>
      <c r="E360" s="136"/>
      <c r="F360" s="103"/>
      <c r="G360" s="103"/>
      <c r="H360" s="103"/>
      <c r="I360" s="42" t="str">
        <f>IF(OR(ISBLANK(Exceptions[[#This Row],[Start]]),ISBLANK(Exceptions[[#This Row],[End]])),"",(Exceptions[[#This Row],[End]]-Exceptions[[#This Row],[Start]])*1440)</f>
        <v/>
      </c>
      <c r="J360" s="42" t="str">
        <f>IF(ISBLANK(Exceptions[[#This Row],[Date]]),"",IF(Exceptions[[#This Row],[Activity]]="Instruction",Exceptions[[#This Row],[Elapsed]],0))</f>
        <v/>
      </c>
      <c r="K360" s="42" t="str">
        <f>IF(ISBLANK(Exceptions[[#This Row],[Activity]]),"",IF(_xlfn.XLOOKUP(Exceptions[[#This Row],[Activity]],Types_of_Activity[Type of Activity],Types_of_Activity[Classification])=2,Exceptions[[#This Row],[Elapsed]],0))</f>
        <v/>
      </c>
    </row>
    <row r="361" spans="2:11" x14ac:dyDescent="0.3">
      <c r="C361" s="37"/>
    </row>
    <row r="362" spans="2:11" x14ac:dyDescent="0.3">
      <c r="C362" s="37"/>
    </row>
    <row r="363" spans="2:11" x14ac:dyDescent="0.3">
      <c r="C363" s="37"/>
    </row>
    <row r="364" spans="2:11" x14ac:dyDescent="0.3">
      <c r="C364" s="37"/>
    </row>
  </sheetData>
  <sheetProtection algorithmName="SHA-512" hashValue="9lkjw1np6vaYl2YtzY7CJMbrocgQGNSmTtkzu8hZShQyjiPht7jy5GhjFzvRAisuogTbHkvERDBHKGd1EKgjlA==" saltValue="qZ68yQq9qHxFq7ZkePJaAg==" spinCount="100000" sheet="1" objects="1" scenarios="1"/>
  <dataValidations count="3">
    <dataValidation type="date" operator="greaterThanOrEqual" allowBlank="1" showInputMessage="1" showErrorMessage="1" error="Enter dates as YYYY-mm-dd (such as 2023-08-30)" sqref="C13:C360" xr:uid="{8E7E3C2D-1113-488D-A108-8A252F3D92D6}">
      <formula1>36526</formula1>
    </dataValidation>
    <dataValidation type="time" operator="greaterThanOrEqual" allowBlank="1" showInputMessage="1" showErrorMessage="1" sqref="E13:E360" xr:uid="{65E57336-3DF2-4E01-B225-2BE3111100B1}">
      <formula1>0</formula1>
    </dataValidation>
    <dataValidation type="time" operator="greaterThanOrEqual" allowBlank="1" showInputMessage="1" showErrorMessage="1" error="Enter as hh:mm (such as 08:35)" sqref="D13:D360" xr:uid="{5CEDC521-CB44-499C-A3E8-D7F00304F313}">
      <formula1>0</formula1>
    </dataValidation>
  </dataValidations>
  <pageMargins left="0.7" right="0.7" top="0.75" bottom="0.75" header="0.3" footer="0.3"/>
  <pageSetup orientation="portrait"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B5274DA1-D380-45EC-AF2D-0970F77C71A5}">
          <x14:formula1>
            <xm:f>_xlfn.ANCHORARRAY(Parameters!$F$25)</xm:f>
          </x14:formula1>
          <xm:sqref>F13:F360</xm:sqref>
        </x14:dataValidation>
        <x14:dataValidation type="list" allowBlank="1" showInputMessage="1" showErrorMessage="1" xr:uid="{4EC39C34-7D4B-403C-B41C-E44D7E854AA9}">
          <x14:formula1>
            <xm:f>_xlfn.ANCHORARRAY(Parameters!$L$25)</xm:f>
          </x14:formula1>
          <xm:sqref>G13:G360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0CAA3-889B-4683-B31D-26FDD71921B6}">
  <dimension ref="B14:BS131"/>
  <sheetViews>
    <sheetView showGridLines="0" showRowColHeaders="0" topLeftCell="A13" workbookViewId="0">
      <selection activeCell="D18" sqref="D18"/>
    </sheetView>
  </sheetViews>
  <sheetFormatPr defaultColWidth="9" defaultRowHeight="16.5" x14ac:dyDescent="0.3"/>
  <cols>
    <col min="1" max="1" width="9" style="104"/>
    <col min="2" max="3" width="12.75" style="104" customWidth="1"/>
    <col min="4" max="4" width="19.625" style="104" customWidth="1"/>
    <col min="5" max="5" width="12.625" style="104" customWidth="1"/>
    <col min="6" max="7" width="19.625" style="104" customWidth="1"/>
    <col min="8" max="8" width="9" style="104"/>
    <col min="9" max="10" width="12.75" style="104" customWidth="1"/>
    <col min="11" max="11" width="19.625" style="104" customWidth="1"/>
    <col min="12" max="12" width="12.625" style="104" customWidth="1"/>
    <col min="13" max="14" width="19.625" style="104" customWidth="1"/>
    <col min="15" max="15" width="9" style="104"/>
    <col min="16" max="17" width="12.75" style="104" customWidth="1"/>
    <col min="18" max="18" width="19.625" style="104" customWidth="1"/>
    <col min="19" max="19" width="12.625" style="104" customWidth="1"/>
    <col min="20" max="21" width="19.75" style="104" customWidth="1"/>
    <col min="22" max="22" width="10.375" style="104" customWidth="1"/>
    <col min="23" max="24" width="12.75" style="104" customWidth="1"/>
    <col min="25" max="25" width="19.625" style="104" customWidth="1"/>
    <col min="26" max="26" width="12.625" style="104" customWidth="1"/>
    <col min="27" max="28" width="19.75" style="104" customWidth="1"/>
    <col min="29" max="29" width="9" style="104"/>
    <col min="30" max="31" width="12.75" style="104" customWidth="1"/>
    <col min="32" max="32" width="19.625" style="104" customWidth="1"/>
    <col min="33" max="33" width="12.625" style="104" customWidth="1"/>
    <col min="34" max="35" width="19.75" style="104" customWidth="1"/>
    <col min="36" max="36" width="9" style="104" customWidth="1"/>
    <col min="37" max="38" width="12.75" style="104" customWidth="1"/>
    <col min="39" max="39" width="19.625" style="104" customWidth="1"/>
    <col min="40" max="40" width="12.625" style="104" customWidth="1"/>
    <col min="41" max="42" width="19.75" style="104" customWidth="1"/>
    <col min="43" max="43" width="9" style="104" customWidth="1"/>
    <col min="44" max="45" width="12.75" style="104" customWidth="1"/>
    <col min="46" max="46" width="19.625" style="104" customWidth="1"/>
    <col min="47" max="47" width="12.625" style="104" customWidth="1"/>
    <col min="48" max="49" width="19.75" style="104" customWidth="1"/>
    <col min="50" max="50" width="9" style="104" customWidth="1"/>
    <col min="51" max="52" width="12.75" style="104" customWidth="1"/>
    <col min="53" max="53" width="19.625" style="104" customWidth="1"/>
    <col min="54" max="54" width="12.625" style="104" customWidth="1"/>
    <col min="55" max="56" width="19.75" style="104" customWidth="1"/>
    <col min="57" max="57" width="9" style="104" customWidth="1"/>
    <col min="58" max="59" width="12.75" style="104" customWidth="1"/>
    <col min="60" max="60" width="19.625" style="104" customWidth="1"/>
    <col min="61" max="61" width="12.625" style="104" customWidth="1"/>
    <col min="62" max="63" width="19.75" style="104" customWidth="1"/>
    <col min="64" max="64" width="9" style="104" customWidth="1"/>
    <col min="65" max="66" width="12.75" style="104" customWidth="1"/>
    <col min="67" max="67" width="19.625" style="104" customWidth="1"/>
    <col min="68" max="68" width="12.625" style="104" customWidth="1"/>
    <col min="69" max="70" width="19.75" style="104" customWidth="1"/>
    <col min="71" max="71" width="9" style="104" customWidth="1"/>
    <col min="72" max="74" width="12.625" style="104" customWidth="1"/>
    <col min="75" max="75" width="18.625" style="104" customWidth="1"/>
    <col min="76" max="76" width="20.625" style="104" customWidth="1"/>
    <col min="77" max="77" width="18.5" style="104" customWidth="1"/>
    <col min="78" max="81" width="9" style="104"/>
    <col min="82" max="82" width="12.125" style="104" customWidth="1"/>
    <col min="83" max="83" width="16.25" style="104" customWidth="1"/>
    <col min="84" max="16384" width="9" style="104"/>
  </cols>
  <sheetData>
    <row r="14" spans="2:70" ht="27.75" customHeight="1" x14ac:dyDescent="0.3"/>
    <row r="16" spans="2:70" ht="30.75" x14ac:dyDescent="0.45">
      <c r="B16" s="105" t="s">
        <v>9</v>
      </c>
      <c r="F16" s="106"/>
      <c r="G16" s="106"/>
      <c r="I16" s="105" t="s">
        <v>10</v>
      </c>
      <c r="M16" s="106"/>
      <c r="N16" s="106"/>
      <c r="P16" s="105" t="s">
        <v>11</v>
      </c>
      <c r="T16" s="106"/>
      <c r="U16" s="106"/>
      <c r="W16" s="105" t="s">
        <v>12</v>
      </c>
      <c r="AA16" s="106"/>
      <c r="AB16" s="106"/>
      <c r="AD16" s="105" t="s">
        <v>13</v>
      </c>
      <c r="AH16" s="106"/>
      <c r="AI16" s="106"/>
      <c r="AK16" s="105" t="s">
        <v>14</v>
      </c>
      <c r="AO16" s="106"/>
      <c r="AP16" s="106"/>
      <c r="AR16" s="105" t="s">
        <v>4124</v>
      </c>
      <c r="AV16" s="106"/>
      <c r="AW16" s="106"/>
      <c r="AY16" s="105" t="s">
        <v>4125</v>
      </c>
      <c r="BC16" s="106"/>
      <c r="BD16" s="106"/>
      <c r="BF16" s="105" t="s">
        <v>4126</v>
      </c>
      <c r="BJ16" s="106"/>
      <c r="BK16" s="106"/>
      <c r="BM16" s="105" t="s">
        <v>15</v>
      </c>
      <c r="BQ16" s="106"/>
      <c r="BR16" s="106"/>
    </row>
    <row r="17" spans="2:71" ht="33" x14ac:dyDescent="0.3">
      <c r="B17" s="120" t="s">
        <v>16</v>
      </c>
      <c r="C17" s="120" t="s">
        <v>17</v>
      </c>
      <c r="D17" s="120" t="s">
        <v>19</v>
      </c>
      <c r="E17" s="120" t="s">
        <v>18</v>
      </c>
      <c r="F17" s="120" t="s">
        <v>20</v>
      </c>
      <c r="G17" s="121" t="s">
        <v>4100</v>
      </c>
      <c r="I17" s="120" t="s">
        <v>16</v>
      </c>
      <c r="J17" s="120" t="s">
        <v>17</v>
      </c>
      <c r="K17" s="120" t="s">
        <v>19</v>
      </c>
      <c r="L17" s="120" t="s">
        <v>18</v>
      </c>
      <c r="M17" s="120" t="s">
        <v>20</v>
      </c>
      <c r="N17" s="121" t="s">
        <v>4100</v>
      </c>
      <c r="P17" s="120" t="s">
        <v>16</v>
      </c>
      <c r="Q17" s="120" t="s">
        <v>17</v>
      </c>
      <c r="R17" s="120" t="s">
        <v>19</v>
      </c>
      <c r="S17" s="120" t="s">
        <v>18</v>
      </c>
      <c r="T17" s="120" t="s">
        <v>20</v>
      </c>
      <c r="U17" s="121" t="s">
        <v>4100</v>
      </c>
      <c r="W17" s="120" t="s">
        <v>16</v>
      </c>
      <c r="X17" s="120" t="s">
        <v>17</v>
      </c>
      <c r="Y17" s="120" t="s">
        <v>19</v>
      </c>
      <c r="Z17" s="120" t="s">
        <v>18</v>
      </c>
      <c r="AA17" s="120" t="s">
        <v>20</v>
      </c>
      <c r="AB17" s="121" t="s">
        <v>4100</v>
      </c>
      <c r="AD17" s="120" t="s">
        <v>16</v>
      </c>
      <c r="AE17" s="120" t="s">
        <v>17</v>
      </c>
      <c r="AF17" s="120" t="s">
        <v>19</v>
      </c>
      <c r="AG17" s="120" t="s">
        <v>18</v>
      </c>
      <c r="AH17" s="120" t="s">
        <v>20</v>
      </c>
      <c r="AI17" s="121" t="s">
        <v>4100</v>
      </c>
      <c r="AK17" s="120" t="s">
        <v>16</v>
      </c>
      <c r="AL17" s="120" t="s">
        <v>17</v>
      </c>
      <c r="AM17" s="120" t="s">
        <v>19</v>
      </c>
      <c r="AN17" s="120" t="s">
        <v>18</v>
      </c>
      <c r="AO17" s="120" t="s">
        <v>20</v>
      </c>
      <c r="AP17" s="121" t="s">
        <v>4100</v>
      </c>
      <c r="AR17" s="120" t="s">
        <v>16</v>
      </c>
      <c r="AS17" s="120" t="s">
        <v>17</v>
      </c>
      <c r="AT17" s="120" t="s">
        <v>19</v>
      </c>
      <c r="AU17" s="120" t="s">
        <v>18</v>
      </c>
      <c r="AV17" s="120" t="s">
        <v>20</v>
      </c>
      <c r="AW17" s="121" t="s">
        <v>4100</v>
      </c>
      <c r="AY17" s="120" t="s">
        <v>16</v>
      </c>
      <c r="AZ17" s="120" t="s">
        <v>17</v>
      </c>
      <c r="BA17" s="120" t="s">
        <v>19</v>
      </c>
      <c r="BB17" s="120" t="s">
        <v>18</v>
      </c>
      <c r="BC17" s="120" t="s">
        <v>20</v>
      </c>
      <c r="BD17" s="121" t="s">
        <v>4100</v>
      </c>
      <c r="BF17" s="120" t="s">
        <v>16</v>
      </c>
      <c r="BG17" s="120" t="s">
        <v>17</v>
      </c>
      <c r="BH17" s="120" t="s">
        <v>19</v>
      </c>
      <c r="BI17" s="120" t="s">
        <v>18</v>
      </c>
      <c r="BJ17" s="120" t="s">
        <v>20</v>
      </c>
      <c r="BK17" s="121" t="s">
        <v>4100</v>
      </c>
      <c r="BM17" s="120" t="s">
        <v>16</v>
      </c>
      <c r="BN17" s="120" t="s">
        <v>17</v>
      </c>
      <c r="BO17" s="120" t="s">
        <v>19</v>
      </c>
      <c r="BP17" s="120" t="s">
        <v>18</v>
      </c>
      <c r="BQ17" s="120" t="s">
        <v>20</v>
      </c>
      <c r="BR17" s="121" t="s">
        <v>4100</v>
      </c>
    </row>
    <row r="18" spans="2:71" x14ac:dyDescent="0.3">
      <c r="B18" s="136">
        <v>0.33333333333333331</v>
      </c>
      <c r="C18" s="136">
        <v>0.35069444444444442</v>
      </c>
      <c r="D18" s="103" t="s">
        <v>4091</v>
      </c>
      <c r="E18" s="106">
        <f>IF(OR(ISBLANK(Term1_Day_1[[#This Row],[Start]]),ISBLANK(Term1_Day_1[[#This Row],[End]])),"",(Term1_Day_1[[#This Row],[End]]-Term1_Day_1[[#This Row],[Start]])*1440)</f>
        <v>24.999999999999993</v>
      </c>
      <c r="F18" s="106">
        <f>IF(ISBLANK(Term1_Day_1[[#This Row],[Activity]]),"",IF(_xlfn.XLOOKUP(Term1_Day_1[[#This Row],[Activity]],Types_of_Activity[Type of Activity],Types_of_Activity[Classification])=1,Term1_Day_1[[#This Row],[Elapsed]],0))</f>
        <v>0</v>
      </c>
      <c r="G18" s="106">
        <f>IF(ISBLANK(Term1_Day_1[[#This Row],[Activity]]),"",IF(_xlfn.XLOOKUP(Term1_Day_1[[#This Row],[Activity]],Types_of_Activity[Type of Activity],Types_of_Activity[Classification])=2,Term1_Day_1[[#This Row],[Elapsed]],0))</f>
        <v>24.999999999999993</v>
      </c>
      <c r="I18" s="136"/>
      <c r="J18" s="136"/>
      <c r="K18" s="103"/>
      <c r="L18" s="106" t="str">
        <f>IF(OR(ISBLANK(Term1_Day_2[[#This Row],[Start]]),ISBLANK(Term1_Day_2[[#This Row],[End]])),"",(Term1_Day_2[[#This Row],[End]]-Term1_Day_2[[#This Row],[Start]])*1440)</f>
        <v/>
      </c>
      <c r="M18" s="106" t="str">
        <f>IF(ISBLANK(Term1_Day_2[[#This Row],[Activity]]),"",IF(_xlfn.XLOOKUP(Term1_Day_2[[#This Row],[Activity]],Types_of_Activity[Type of Activity],Types_of_Activity[Classification])=1,Term1_Day_2[[#This Row],[Elapsed]],0))</f>
        <v/>
      </c>
      <c r="N18" s="106" t="str">
        <f>IF(ISBLANK(Term1_Day_2[[#This Row],[Activity]]),"",IF(_xlfn.XLOOKUP(Term1_Day_2[[#This Row],[Activity]],Types_of_Activity[Type of Activity],Types_of_Activity[Classification])=2,Term1_Day_2[[#This Row],[Elapsed]],0))</f>
        <v/>
      </c>
      <c r="P18" s="136"/>
      <c r="Q18" s="136"/>
      <c r="R18" s="103"/>
      <c r="S18" s="106" t="str">
        <f>IF(OR(ISBLANK(Term1_Day_3[[#This Row],[Start]]),ISBLANK(Term1_Day_3[[#This Row],[End]])),"",(Term1_Day_3[[#This Row],[End]]-Term1_Day_3[[#This Row],[Start]])*1440)</f>
        <v/>
      </c>
      <c r="T18" s="106" t="str">
        <f>IF(ISBLANK(Term1_Day_3[[#This Row],[Activity]]),"",IF(_xlfn.XLOOKUP(Term1_Day_3[[#This Row],[Activity]],Types_of_Activity[Type of Activity],Types_of_Activity[Classification])=1,Term1_Day_3[[#This Row],[Elapsed]],0))</f>
        <v/>
      </c>
      <c r="U18" s="106" t="str">
        <f>IF(ISBLANK(Term1_Day_3[[#This Row],[Activity]]),"",IF(_xlfn.XLOOKUP(Term1_Day_3[[#This Row],[Activity]],Types_of_Activity[Type of Activity],Types_of_Activity[Classification])=2,Term1_Day_3[[#This Row],[Elapsed]],0))</f>
        <v/>
      </c>
      <c r="W18" s="136"/>
      <c r="X18" s="136"/>
      <c r="Y18" s="103"/>
      <c r="Z18" s="106" t="str">
        <f>IF(OR(ISBLANK(Term1_Day_4[[#This Row],[Start]]),ISBLANK(Term1_Day_4[[#This Row],[End]])),"",(Term1_Day_4[[#This Row],[End]]-Term1_Day_4[[#This Row],[Start]])*1440)</f>
        <v/>
      </c>
      <c r="AA18" s="106" t="str">
        <f>IF(ISBLANK(Term1_Day_4[[#This Row],[Activity]]),"",IF(_xlfn.XLOOKUP(Term1_Day_4[[#This Row],[Activity]],Types_of_Activity[Type of Activity],Types_of_Activity[Classification])=1,Term1_Day_4[[#This Row],[Elapsed]],0))</f>
        <v/>
      </c>
      <c r="AB18" s="106" t="str">
        <f>IF(ISBLANK(Term1_Day_4[[#This Row],[Activity]]),"",IF(_xlfn.XLOOKUP(Term1_Day_4[[#This Row],[Activity]],Types_of_Activity[Type of Activity],Types_of_Activity[Classification])=2,Term1_Day_4[[#This Row],[Elapsed]],0))</f>
        <v/>
      </c>
      <c r="AD18" s="136"/>
      <c r="AE18" s="136"/>
      <c r="AF18" s="103"/>
      <c r="AG18" s="106" t="str">
        <f>IF(OR(ISBLANK(Term1_Day_5[[#This Row],[Start]]),ISBLANK(Term1_Day_5[[#This Row],[End]])),"",(Term1_Day_5[[#This Row],[End]]-Term1_Day_5[[#This Row],[Start]])*1440)</f>
        <v/>
      </c>
      <c r="AH18" s="106" t="str">
        <f>IF(ISBLANK(Term1_Day_5[[#This Row],[Activity]]),"",IF(_xlfn.XLOOKUP(Term1_Day_5[[#This Row],[Activity]],Types_of_Activity[Type of Activity],Types_of_Activity[Classification])=1,Term1_Day_5[[#This Row],[Elapsed]],0))</f>
        <v/>
      </c>
      <c r="AI18" s="106" t="str">
        <f>IF(ISBLANK(Term1_Day_5[[#This Row],[Activity]]),"",IF(_xlfn.XLOOKUP(Term1_Day_5[[#This Row],[Activity]],Types_of_Activity[Type of Activity],Types_of_Activity[Classification])=2,Term1_Day_5[[#This Row],[Elapsed]],0))</f>
        <v/>
      </c>
      <c r="AK18" s="136"/>
      <c r="AL18" s="136"/>
      <c r="AM18" s="103"/>
      <c r="AN18" s="106" t="str">
        <f>IF(OR(ISBLANK(Term1_Day_6[[#This Row],[Start]]),ISBLANK(Term1_Day_6[[#This Row],[End]])),"",(Term1_Day_6[[#This Row],[End]]-Term1_Day_6[[#This Row],[Start]])*1440)</f>
        <v/>
      </c>
      <c r="AO18" s="106" t="str">
        <f>IF(ISBLANK(Term1_Day_6[[#This Row],[Activity]]),"",IF(_xlfn.XLOOKUP(Term1_Day_6[[#This Row],[Activity]],Types_of_Activity[Type of Activity],Types_of_Activity[Classification])=1,Term1_Day_6[[#This Row],[Elapsed]],0))</f>
        <v/>
      </c>
      <c r="AP18" s="106" t="str">
        <f>IF(ISBLANK(Term1_Day_6[[#This Row],[Activity]]),"",IF(_xlfn.XLOOKUP(Term1_Day_6[[#This Row],[Activity]],Types_of_Activity[Type of Activity],Types_of_Activity[Classification])=2,Term1_Day_6[[#This Row],[Elapsed]],0))</f>
        <v/>
      </c>
      <c r="AR18" s="136"/>
      <c r="AS18" s="136"/>
      <c r="AT18" s="103"/>
      <c r="AU18" s="106" t="str">
        <f>IF(OR(ISBLANK(Term1_Day_7[[#This Row],[Start]]),ISBLANK(Term1_Day_7[[#This Row],[End]])),"",(Term1_Day_7[[#This Row],[End]]-Term1_Day_7[[#This Row],[Start]])*1440)</f>
        <v/>
      </c>
      <c r="AV18" s="106" t="str">
        <f>IF(ISBLANK(Term1_Day_7[[#This Row],[Activity]]),"",IF(_xlfn.XLOOKUP(Term1_Day_7[[#This Row],[Activity]],Types_of_Activity[Type of Activity],Types_of_Activity[Classification])=1,Term1_Day_7[[#This Row],[Elapsed]],0))</f>
        <v/>
      </c>
      <c r="AW18" s="106" t="str">
        <f>IF(ISBLANK(Term1_Day_7[[#This Row],[Activity]]),"",IF(_xlfn.XLOOKUP(Term1_Day_7[[#This Row],[Activity]],Types_of_Activity[Type of Activity],Types_of_Activity[Classification])=2,Term1_Day_7[[#This Row],[Elapsed]],0))</f>
        <v/>
      </c>
      <c r="AY18" s="136"/>
      <c r="AZ18" s="136"/>
      <c r="BA18" s="103"/>
      <c r="BB18" s="106" t="str">
        <f>IF(OR(ISBLANK(Term1_Day_8[[#This Row],[Start]]),ISBLANK(Term1_Day_8[[#This Row],[End]])),"",(Term1_Day_8[[#This Row],[End]]-Term1_Day_8[[#This Row],[Start]])*1440)</f>
        <v/>
      </c>
      <c r="BC18" s="106" t="str">
        <f>IF(ISBLANK(Term1_Day_8[[#This Row],[Activity]]),"",IF(_xlfn.XLOOKUP(Term1_Day_8[[#This Row],[Activity]],Types_of_Activity[Type of Activity],Types_of_Activity[Classification])=1,Term1_Day_8[[#This Row],[Elapsed]],0))</f>
        <v/>
      </c>
      <c r="BD18" s="106" t="str">
        <f>IF(ISBLANK(Term1_Day_8[[#This Row],[Activity]]),"",IF(_xlfn.XLOOKUP(Term1_Day_8[[#This Row],[Activity]],Types_of_Activity[Type of Activity],Types_of_Activity[Classification])=2,Term1_Day_8[[#This Row],[Elapsed]],0))</f>
        <v/>
      </c>
      <c r="BF18" s="136"/>
      <c r="BG18" s="136"/>
      <c r="BH18" s="103"/>
      <c r="BI18" s="106" t="str">
        <f>IF(OR(ISBLANK(Term1_Day_9[[#This Row],[Start]]),ISBLANK(Term1_Day_9[[#This Row],[End]])),"",(Term1_Day_9[[#This Row],[End]]-Term1_Day_9[[#This Row],[Start]])*1440)</f>
        <v/>
      </c>
      <c r="BJ18" s="106" t="str">
        <f>IF(ISBLANK(Term1_Day_9[[#This Row],[Activity]]),"",IF(_xlfn.XLOOKUP(Term1_Day_9[[#This Row],[Activity]],Types_of_Activity[Type of Activity],Types_of_Activity[Classification])=1,Term1_Day_9[[#This Row],[Elapsed]],0))</f>
        <v/>
      </c>
      <c r="BK18" s="106" t="str">
        <f>IF(ISBLANK(Term1_Day_9[[#This Row],[Activity]]),"",IF(_xlfn.XLOOKUP(Term1_Day_9[[#This Row],[Activity]],Types_of_Activity[Type of Activity],Types_of_Activity[Classification])=2,Term1_Day_9[[#This Row],[Elapsed]],0))</f>
        <v/>
      </c>
      <c r="BM18" s="136"/>
      <c r="BN18" s="136"/>
      <c r="BO18" s="103"/>
      <c r="BP18" s="106" t="str">
        <f>IF(OR(ISBLANK(Term1_Day_10[[#This Row],[Start]]),ISBLANK(Term1_Day_10[[#This Row],[End]])),"",(Term1_Day_10[[#This Row],[End]]-Term1_Day_10[[#This Row],[Start]])*1440)</f>
        <v/>
      </c>
      <c r="BQ18" s="106" t="str">
        <f>IF(ISBLANK(Term1_Day_10[[#This Row],[Activity]]),"",IF(_xlfn.XLOOKUP(Term1_Day_10[[#This Row],[Activity]],Types_of_Activity[Type of Activity],Types_of_Activity[Classification])=1,Term1_Day_10[[#This Row],[Elapsed]],0))</f>
        <v/>
      </c>
      <c r="BR18" s="106" t="str">
        <f>IF(ISBLANK(Term1_Day_10[[#This Row],[Activity]]),"",IF(_xlfn.XLOOKUP(Term1_Day_10[[#This Row],[Activity]],Types_of_Activity[Type of Activity],Types_of_Activity[Classification])=2,Term1_Day_10[[#This Row],[Elapsed]],0))</f>
        <v/>
      </c>
    </row>
    <row r="19" spans="2:71" x14ac:dyDescent="0.3">
      <c r="B19" s="136">
        <v>0.35069444444444442</v>
      </c>
      <c r="C19" s="136">
        <v>0.35208333333333336</v>
      </c>
      <c r="D19" s="103" t="s">
        <v>4090</v>
      </c>
      <c r="E19" s="106">
        <f>IF(OR(ISBLANK(Term1_Day_1[[#This Row],[Start]]),ISBLANK(Term1_Day_1[[#This Row],[End]])),"",(Term1_Day_1[[#This Row],[End]]-Term1_Day_1[[#This Row],[Start]])*1440)</f>
        <v>2.0000000000000728</v>
      </c>
      <c r="F19" s="106">
        <f>IF(ISBLANK(Term1_Day_1[[#This Row],[Activity]]),"",IF(_xlfn.XLOOKUP(Term1_Day_1[[#This Row],[Activity]],Types_of_Activity[Type of Activity],Types_of_Activity[Classification])=1,Term1_Day_1[[#This Row],[Elapsed]],0))</f>
        <v>0</v>
      </c>
      <c r="G19" s="106">
        <f>IF(ISBLANK(Term1_Day_1[[#This Row],[Activity]]),"",IF(_xlfn.XLOOKUP(Term1_Day_1[[#This Row],[Activity]],Types_of_Activity[Type of Activity],Types_of_Activity[Classification])=2,Term1_Day_1[[#This Row],[Elapsed]],0))</f>
        <v>2.0000000000000728</v>
      </c>
      <c r="I19" s="136"/>
      <c r="J19" s="136"/>
      <c r="K19" s="103"/>
      <c r="L19" s="106" t="str">
        <f>IF(OR(ISBLANK(Term1_Day_2[[#This Row],[Start]]),ISBLANK(Term1_Day_2[[#This Row],[End]])),"",(Term1_Day_2[[#This Row],[End]]-Term1_Day_2[[#This Row],[Start]])*1440)</f>
        <v/>
      </c>
      <c r="M19" s="106" t="str">
        <f>IF(ISBLANK(Term1_Day_2[[#This Row],[Activity]]),"",IF(_xlfn.XLOOKUP(Term1_Day_2[[#This Row],[Activity]],Types_of_Activity[Type of Activity],Types_of_Activity[Classification])=1,Term1_Day_2[[#This Row],[Elapsed]],0))</f>
        <v/>
      </c>
      <c r="N19" s="106" t="str">
        <f>IF(ISBLANK(Term1_Day_2[[#This Row],[Activity]]),"",IF(_xlfn.XLOOKUP(Term1_Day_2[[#This Row],[Activity]],Types_of_Activity[Type of Activity],Types_of_Activity[Classification])=2,Term1_Day_2[[#This Row],[Elapsed]],0))</f>
        <v/>
      </c>
      <c r="P19" s="136"/>
      <c r="Q19" s="136"/>
      <c r="R19" s="103"/>
      <c r="S19" s="106" t="str">
        <f>IF(OR(ISBLANK(Term1_Day_3[[#This Row],[Start]]),ISBLANK(Term1_Day_3[[#This Row],[End]])),"",(Term1_Day_3[[#This Row],[End]]-Term1_Day_3[[#This Row],[Start]])*1440)</f>
        <v/>
      </c>
      <c r="T19" s="106" t="str">
        <f>IF(ISBLANK(Term1_Day_3[[#This Row],[Activity]]),"",IF(_xlfn.XLOOKUP(Term1_Day_3[[#This Row],[Activity]],Types_of_Activity[Type of Activity],Types_of_Activity[Classification])=1,Term1_Day_3[[#This Row],[Elapsed]],0))</f>
        <v/>
      </c>
      <c r="U19" s="106" t="str">
        <f>IF(ISBLANK(Term1_Day_3[[#This Row],[Activity]]),"",IF(_xlfn.XLOOKUP(Term1_Day_3[[#This Row],[Activity]],Types_of_Activity[Type of Activity],Types_of_Activity[Classification])=2,Term1_Day_3[[#This Row],[Elapsed]],0))</f>
        <v/>
      </c>
      <c r="W19" s="136"/>
      <c r="X19" s="136"/>
      <c r="Y19" s="103"/>
      <c r="Z19" s="106" t="str">
        <f>IF(OR(ISBLANK(Term1_Day_4[[#This Row],[Start]]),ISBLANK(Term1_Day_4[[#This Row],[End]])),"",(Term1_Day_4[[#This Row],[End]]-Term1_Day_4[[#This Row],[Start]])*1440)</f>
        <v/>
      </c>
      <c r="AA19" s="106" t="str">
        <f>IF(ISBLANK(Term1_Day_4[[#This Row],[Activity]]),"",IF(_xlfn.XLOOKUP(Term1_Day_4[[#This Row],[Activity]],Types_of_Activity[Type of Activity],Types_of_Activity[Classification])=1,Term1_Day_4[[#This Row],[Elapsed]],0))</f>
        <v/>
      </c>
      <c r="AB19" s="106" t="str">
        <f>IF(ISBLANK(Term1_Day_4[[#This Row],[Activity]]),"",IF(_xlfn.XLOOKUP(Term1_Day_4[[#This Row],[Activity]],Types_of_Activity[Type of Activity],Types_of_Activity[Classification])=2,Term1_Day_4[[#This Row],[Elapsed]],0))</f>
        <v/>
      </c>
      <c r="AD19" s="136"/>
      <c r="AE19" s="136"/>
      <c r="AF19" s="103"/>
      <c r="AG19" s="106" t="str">
        <f>IF(OR(ISBLANK(Term1_Day_5[[#This Row],[Start]]),ISBLANK(Term1_Day_5[[#This Row],[End]])),"",(Term1_Day_5[[#This Row],[End]]-Term1_Day_5[[#This Row],[Start]])*1440)</f>
        <v/>
      </c>
      <c r="AH19" s="106" t="str">
        <f>IF(ISBLANK(Term1_Day_5[[#This Row],[Activity]]),"",IF(_xlfn.XLOOKUP(Term1_Day_5[[#This Row],[Activity]],Types_of_Activity[Type of Activity],Types_of_Activity[Classification])=1,Term1_Day_5[[#This Row],[Elapsed]],0))</f>
        <v/>
      </c>
      <c r="AI19" s="106" t="str">
        <f>IF(ISBLANK(Term1_Day_5[[#This Row],[Activity]]),"",IF(_xlfn.XLOOKUP(Term1_Day_5[[#This Row],[Activity]],Types_of_Activity[Type of Activity],Types_of_Activity[Classification])=2,Term1_Day_5[[#This Row],[Elapsed]],0))</f>
        <v/>
      </c>
      <c r="AK19" s="136"/>
      <c r="AL19" s="136"/>
      <c r="AM19" s="103"/>
      <c r="AN19" s="106" t="str">
        <f>IF(OR(ISBLANK(Term1_Day_6[[#This Row],[Start]]),ISBLANK(Term1_Day_6[[#This Row],[End]])),"",(Term1_Day_6[[#This Row],[End]]-Term1_Day_6[[#This Row],[Start]])*1440)</f>
        <v/>
      </c>
      <c r="AO19" s="106" t="str">
        <f>IF(ISBLANK(Term1_Day_6[[#This Row],[Activity]]),"",IF(_xlfn.XLOOKUP(Term1_Day_6[[#This Row],[Activity]],Types_of_Activity[Type of Activity],Types_of_Activity[Classification])=1,Term1_Day_6[[#This Row],[Elapsed]],0))</f>
        <v/>
      </c>
      <c r="AP19" s="106" t="str">
        <f>IF(ISBLANK(Term1_Day_6[[#This Row],[Activity]]),"",IF(_xlfn.XLOOKUP(Term1_Day_6[[#This Row],[Activity]],Types_of_Activity[Type of Activity],Types_of_Activity[Classification])=2,Term1_Day_6[[#This Row],[Elapsed]],0))</f>
        <v/>
      </c>
      <c r="AR19" s="136"/>
      <c r="AS19" s="136"/>
      <c r="AT19" s="103"/>
      <c r="AU19" s="106" t="str">
        <f>IF(OR(ISBLANK(Term1_Day_7[[#This Row],[Start]]),ISBLANK(Term1_Day_7[[#This Row],[End]])),"",(Term1_Day_7[[#This Row],[End]]-Term1_Day_7[[#This Row],[Start]])*1440)</f>
        <v/>
      </c>
      <c r="AV19" s="106" t="str">
        <f>IF(ISBLANK(Term1_Day_7[[#This Row],[Activity]]),"",IF(_xlfn.XLOOKUP(Term1_Day_7[[#This Row],[Activity]],Types_of_Activity[Type of Activity],Types_of_Activity[Classification])=1,Term1_Day_7[[#This Row],[Elapsed]],0))</f>
        <v/>
      </c>
      <c r="AW19" s="106" t="str">
        <f>IF(ISBLANK(Term1_Day_7[[#This Row],[Activity]]),"",IF(_xlfn.XLOOKUP(Term1_Day_7[[#This Row],[Activity]],Types_of_Activity[Type of Activity],Types_of_Activity[Classification])=2,Term1_Day_7[[#This Row],[Elapsed]],0))</f>
        <v/>
      </c>
      <c r="AY19" s="136"/>
      <c r="AZ19" s="136"/>
      <c r="BA19" s="103"/>
      <c r="BB19" s="106" t="str">
        <f>IF(OR(ISBLANK(Term1_Day_8[[#This Row],[Start]]),ISBLANK(Term1_Day_8[[#This Row],[End]])),"",(Term1_Day_8[[#This Row],[End]]-Term1_Day_8[[#This Row],[Start]])*1440)</f>
        <v/>
      </c>
      <c r="BC19" s="106" t="str">
        <f>IF(ISBLANK(Term1_Day_8[[#This Row],[Activity]]),"",IF(_xlfn.XLOOKUP(Term1_Day_8[[#This Row],[Activity]],Types_of_Activity[Type of Activity],Types_of_Activity[Classification])=1,Term1_Day_8[[#This Row],[Elapsed]],0))</f>
        <v/>
      </c>
      <c r="BD19" s="106" t="str">
        <f>IF(ISBLANK(Term1_Day_8[[#This Row],[Activity]]),"",IF(_xlfn.XLOOKUP(Term1_Day_8[[#This Row],[Activity]],Types_of_Activity[Type of Activity],Types_of_Activity[Classification])=2,Term1_Day_8[[#This Row],[Elapsed]],0))</f>
        <v/>
      </c>
      <c r="BF19" s="136"/>
      <c r="BG19" s="136"/>
      <c r="BH19" s="103"/>
      <c r="BI19" s="106" t="str">
        <f>IF(OR(ISBLANK(Term1_Day_9[[#This Row],[Start]]),ISBLANK(Term1_Day_9[[#This Row],[End]])),"",(Term1_Day_9[[#This Row],[End]]-Term1_Day_9[[#This Row],[Start]])*1440)</f>
        <v/>
      </c>
      <c r="BJ19" s="106" t="str">
        <f>IF(ISBLANK(Term1_Day_9[[#This Row],[Activity]]),"",IF(_xlfn.XLOOKUP(Term1_Day_9[[#This Row],[Activity]],Types_of_Activity[Type of Activity],Types_of_Activity[Classification])=1,Term1_Day_9[[#This Row],[Elapsed]],0))</f>
        <v/>
      </c>
      <c r="BK19" s="106" t="str">
        <f>IF(ISBLANK(Term1_Day_9[[#This Row],[Activity]]),"",IF(_xlfn.XLOOKUP(Term1_Day_9[[#This Row],[Activity]],Types_of_Activity[Type of Activity],Types_of_Activity[Classification])=2,Term1_Day_9[[#This Row],[Elapsed]],0))</f>
        <v/>
      </c>
      <c r="BM19" s="136"/>
      <c r="BN19" s="136"/>
      <c r="BO19" s="103"/>
      <c r="BP19" s="106" t="str">
        <f>IF(OR(ISBLANK(Term1_Day_10[[#This Row],[Start]]),ISBLANK(Term1_Day_10[[#This Row],[End]])),"",(Term1_Day_10[[#This Row],[End]]-Term1_Day_10[[#This Row],[Start]])*1440)</f>
        <v/>
      </c>
      <c r="BQ19" s="106" t="str">
        <f>IF(ISBLANK(Term1_Day_10[[#This Row],[Activity]]),"",IF(_xlfn.XLOOKUP(Term1_Day_10[[#This Row],[Activity]],Types_of_Activity[Type of Activity],Types_of_Activity[Classification])=1,Term1_Day_10[[#This Row],[Elapsed]],0))</f>
        <v/>
      </c>
      <c r="BR19" s="106" t="str">
        <f>IF(ISBLANK(Term1_Day_10[[#This Row],[Activity]]),"",IF(_xlfn.XLOOKUP(Term1_Day_10[[#This Row],[Activity]],Types_of_Activity[Type of Activity],Types_of_Activity[Classification])=2,Term1_Day_10[[#This Row],[Elapsed]],0))</f>
        <v/>
      </c>
    </row>
    <row r="20" spans="2:71" x14ac:dyDescent="0.3">
      <c r="B20" s="136">
        <v>0.35208333333333336</v>
      </c>
      <c r="C20" s="136">
        <v>0.3923611111111111</v>
      </c>
      <c r="D20" s="103" t="s">
        <v>4064</v>
      </c>
      <c r="E20" s="106">
        <f>IF(OR(ISBLANK(Term1_Day_1[[#This Row],[Start]]),ISBLANK(Term1_Day_1[[#This Row],[End]])),"",(Term1_Day_1[[#This Row],[End]]-Term1_Day_1[[#This Row],[Start]])*1440)</f>
        <v>57.999999999999957</v>
      </c>
      <c r="F20" s="106">
        <f>IF(ISBLANK(Term1_Day_1[[#This Row],[Activity]]),"",IF(_xlfn.XLOOKUP(Term1_Day_1[[#This Row],[Activity]],Types_of_Activity[Type of Activity],Types_of_Activity[Classification])=1,Term1_Day_1[[#This Row],[Elapsed]],0))</f>
        <v>57.999999999999957</v>
      </c>
      <c r="G20" s="106">
        <f>IF(ISBLANK(Term1_Day_1[[#This Row],[Activity]]),"",IF(_xlfn.XLOOKUP(Term1_Day_1[[#This Row],[Activity]],Types_of_Activity[Type of Activity],Types_of_Activity[Classification])=2,Term1_Day_1[[#This Row],[Elapsed]],0))</f>
        <v>0</v>
      </c>
      <c r="I20" s="136"/>
      <c r="J20" s="136"/>
      <c r="K20" s="103"/>
      <c r="L20" s="106" t="str">
        <f>IF(OR(ISBLANK(Term1_Day_2[[#This Row],[Start]]),ISBLANK(Term1_Day_2[[#This Row],[End]])),"",(Term1_Day_2[[#This Row],[End]]-Term1_Day_2[[#This Row],[Start]])*1440)</f>
        <v/>
      </c>
      <c r="M20" s="106" t="str">
        <f>IF(ISBLANK(Term1_Day_2[[#This Row],[Activity]]),"",IF(_xlfn.XLOOKUP(Term1_Day_2[[#This Row],[Activity]],Types_of_Activity[Type of Activity],Types_of_Activity[Classification])=1,Term1_Day_2[[#This Row],[Elapsed]],0))</f>
        <v/>
      </c>
      <c r="N20" s="106" t="str">
        <f>IF(ISBLANK(Term1_Day_2[[#This Row],[Activity]]),"",IF(_xlfn.XLOOKUP(Term1_Day_2[[#This Row],[Activity]],Types_of_Activity[Type of Activity],Types_of_Activity[Classification])=2,Term1_Day_2[[#This Row],[Elapsed]],0))</f>
        <v/>
      </c>
      <c r="P20" s="136"/>
      <c r="Q20" s="136"/>
      <c r="R20" s="103"/>
      <c r="S20" s="106" t="str">
        <f>IF(OR(ISBLANK(Term1_Day_3[[#This Row],[Start]]),ISBLANK(Term1_Day_3[[#This Row],[End]])),"",(Term1_Day_3[[#This Row],[End]]-Term1_Day_3[[#This Row],[Start]])*1440)</f>
        <v/>
      </c>
      <c r="T20" s="106" t="str">
        <f>IF(ISBLANK(Term1_Day_3[[#This Row],[Activity]]),"",IF(_xlfn.XLOOKUP(Term1_Day_3[[#This Row],[Activity]],Types_of_Activity[Type of Activity],Types_of_Activity[Classification])=1,Term1_Day_3[[#This Row],[Elapsed]],0))</f>
        <v/>
      </c>
      <c r="U20" s="106" t="str">
        <f>IF(ISBLANK(Term1_Day_3[[#This Row],[Activity]]),"",IF(_xlfn.XLOOKUP(Term1_Day_3[[#This Row],[Activity]],Types_of_Activity[Type of Activity],Types_of_Activity[Classification])=2,Term1_Day_3[[#This Row],[Elapsed]],0))</f>
        <v/>
      </c>
      <c r="W20" s="136"/>
      <c r="X20" s="136"/>
      <c r="Y20" s="103"/>
      <c r="Z20" s="106" t="str">
        <f>IF(OR(ISBLANK(Term1_Day_4[[#This Row],[Start]]),ISBLANK(Term1_Day_4[[#This Row],[End]])),"",(Term1_Day_4[[#This Row],[End]]-Term1_Day_4[[#This Row],[Start]])*1440)</f>
        <v/>
      </c>
      <c r="AA20" s="106" t="str">
        <f>IF(ISBLANK(Term1_Day_4[[#This Row],[Activity]]),"",IF(_xlfn.XLOOKUP(Term1_Day_4[[#This Row],[Activity]],Types_of_Activity[Type of Activity],Types_of_Activity[Classification])=1,Term1_Day_4[[#This Row],[Elapsed]],0))</f>
        <v/>
      </c>
      <c r="AB20" s="106" t="str">
        <f>IF(ISBLANK(Term1_Day_4[[#This Row],[Activity]]),"",IF(_xlfn.XLOOKUP(Term1_Day_4[[#This Row],[Activity]],Types_of_Activity[Type of Activity],Types_of_Activity[Classification])=2,Term1_Day_4[[#This Row],[Elapsed]],0))</f>
        <v/>
      </c>
      <c r="AD20" s="136"/>
      <c r="AE20" s="136"/>
      <c r="AF20" s="103"/>
      <c r="AG20" s="106" t="str">
        <f>IF(OR(ISBLANK(Term1_Day_5[[#This Row],[Start]]),ISBLANK(Term1_Day_5[[#This Row],[End]])),"",(Term1_Day_5[[#This Row],[End]]-Term1_Day_5[[#This Row],[Start]])*1440)</f>
        <v/>
      </c>
      <c r="AH20" s="106" t="str">
        <f>IF(ISBLANK(Term1_Day_5[[#This Row],[Activity]]),"",IF(_xlfn.XLOOKUP(Term1_Day_5[[#This Row],[Activity]],Types_of_Activity[Type of Activity],Types_of_Activity[Classification])=1,Term1_Day_5[[#This Row],[Elapsed]],0))</f>
        <v/>
      </c>
      <c r="AI20" s="106" t="str">
        <f>IF(ISBLANK(Term1_Day_5[[#This Row],[Activity]]),"",IF(_xlfn.XLOOKUP(Term1_Day_5[[#This Row],[Activity]],Types_of_Activity[Type of Activity],Types_of_Activity[Classification])=2,Term1_Day_5[[#This Row],[Elapsed]],0))</f>
        <v/>
      </c>
      <c r="AJ20" s="107"/>
      <c r="AK20" s="136"/>
      <c r="AL20" s="136"/>
      <c r="AM20" s="103"/>
      <c r="AN20" s="106" t="str">
        <f>IF(OR(ISBLANK(Term1_Day_6[[#This Row],[Start]]),ISBLANK(Term1_Day_6[[#This Row],[End]])),"",(Term1_Day_6[[#This Row],[End]]-Term1_Day_6[[#This Row],[Start]])*1440)</f>
        <v/>
      </c>
      <c r="AO20" s="106" t="str">
        <f>IF(ISBLANK(Term1_Day_6[[#This Row],[Activity]]),"",IF(_xlfn.XLOOKUP(Term1_Day_6[[#This Row],[Activity]],Types_of_Activity[Type of Activity],Types_of_Activity[Classification])=1,Term1_Day_6[[#This Row],[Elapsed]],0))</f>
        <v/>
      </c>
      <c r="AP20" s="106" t="str">
        <f>IF(ISBLANK(Term1_Day_6[[#This Row],[Activity]]),"",IF(_xlfn.XLOOKUP(Term1_Day_6[[#This Row],[Activity]],Types_of_Activity[Type of Activity],Types_of_Activity[Classification])=2,Term1_Day_6[[#This Row],[Elapsed]],0))</f>
        <v/>
      </c>
      <c r="AQ20" s="107"/>
      <c r="AR20" s="136"/>
      <c r="AS20" s="136"/>
      <c r="AT20" s="103"/>
      <c r="AU20" s="106" t="str">
        <f>IF(OR(ISBLANK(Term1_Day_7[[#This Row],[Start]]),ISBLANK(Term1_Day_7[[#This Row],[End]])),"",(Term1_Day_7[[#This Row],[End]]-Term1_Day_7[[#This Row],[Start]])*1440)</f>
        <v/>
      </c>
      <c r="AV20" s="106" t="str">
        <f>IF(ISBLANK(Term1_Day_7[[#This Row],[Activity]]),"",IF(_xlfn.XLOOKUP(Term1_Day_7[[#This Row],[Activity]],Types_of_Activity[Type of Activity],Types_of_Activity[Classification])=1,Term1_Day_7[[#This Row],[Elapsed]],0))</f>
        <v/>
      </c>
      <c r="AW20" s="106" t="str">
        <f>IF(ISBLANK(Term1_Day_7[[#This Row],[Activity]]),"",IF(_xlfn.XLOOKUP(Term1_Day_7[[#This Row],[Activity]],Types_of_Activity[Type of Activity],Types_of_Activity[Classification])=2,Term1_Day_7[[#This Row],[Elapsed]],0))</f>
        <v/>
      </c>
      <c r="AX20" s="107"/>
      <c r="AY20" s="136"/>
      <c r="AZ20" s="136"/>
      <c r="BA20" s="103"/>
      <c r="BB20" s="106" t="str">
        <f>IF(OR(ISBLANK(Term1_Day_8[[#This Row],[Start]]),ISBLANK(Term1_Day_8[[#This Row],[End]])),"",(Term1_Day_8[[#This Row],[End]]-Term1_Day_8[[#This Row],[Start]])*1440)</f>
        <v/>
      </c>
      <c r="BC20" s="106" t="str">
        <f>IF(ISBLANK(Term1_Day_8[[#This Row],[Activity]]),"",IF(_xlfn.XLOOKUP(Term1_Day_8[[#This Row],[Activity]],Types_of_Activity[Type of Activity],Types_of_Activity[Classification])=1,Term1_Day_8[[#This Row],[Elapsed]],0))</f>
        <v/>
      </c>
      <c r="BD20" s="106" t="str">
        <f>IF(ISBLANK(Term1_Day_8[[#This Row],[Activity]]),"",IF(_xlfn.XLOOKUP(Term1_Day_8[[#This Row],[Activity]],Types_of_Activity[Type of Activity],Types_of_Activity[Classification])=2,Term1_Day_8[[#This Row],[Elapsed]],0))</f>
        <v/>
      </c>
      <c r="BE20" s="107"/>
      <c r="BF20" s="136"/>
      <c r="BG20" s="136"/>
      <c r="BH20" s="103"/>
      <c r="BI20" s="106" t="str">
        <f>IF(OR(ISBLANK(Term1_Day_9[[#This Row],[Start]]),ISBLANK(Term1_Day_9[[#This Row],[End]])),"",(Term1_Day_9[[#This Row],[End]]-Term1_Day_9[[#This Row],[Start]])*1440)</f>
        <v/>
      </c>
      <c r="BJ20" s="106" t="str">
        <f>IF(ISBLANK(Term1_Day_9[[#This Row],[Activity]]),"",IF(_xlfn.XLOOKUP(Term1_Day_9[[#This Row],[Activity]],Types_of_Activity[Type of Activity],Types_of_Activity[Classification])=1,Term1_Day_9[[#This Row],[Elapsed]],0))</f>
        <v/>
      </c>
      <c r="BK20" s="106" t="str">
        <f>IF(ISBLANK(Term1_Day_9[[#This Row],[Activity]]),"",IF(_xlfn.XLOOKUP(Term1_Day_9[[#This Row],[Activity]],Types_of_Activity[Type of Activity],Types_of_Activity[Classification])=2,Term1_Day_9[[#This Row],[Elapsed]],0))</f>
        <v/>
      </c>
      <c r="BL20" s="107"/>
      <c r="BM20" s="136"/>
      <c r="BN20" s="136"/>
      <c r="BO20" s="103"/>
      <c r="BP20" s="106" t="str">
        <f>IF(OR(ISBLANK(Term1_Day_10[[#This Row],[Start]]),ISBLANK(Term1_Day_10[[#This Row],[End]])),"",(Term1_Day_10[[#This Row],[End]]-Term1_Day_10[[#This Row],[Start]])*1440)</f>
        <v/>
      </c>
      <c r="BQ20" s="106" t="str">
        <f>IF(ISBLANK(Term1_Day_10[[#This Row],[Activity]]),"",IF(_xlfn.XLOOKUP(Term1_Day_10[[#This Row],[Activity]],Types_of_Activity[Type of Activity],Types_of_Activity[Classification])=1,Term1_Day_10[[#This Row],[Elapsed]],0))</f>
        <v/>
      </c>
      <c r="BR20" s="106" t="str">
        <f>IF(ISBLANK(Term1_Day_10[[#This Row],[Activity]]),"",IF(_xlfn.XLOOKUP(Term1_Day_10[[#This Row],[Activity]],Types_of_Activity[Type of Activity],Types_of_Activity[Classification])=2,Term1_Day_10[[#This Row],[Elapsed]],0))</f>
        <v/>
      </c>
      <c r="BS20" s="107"/>
    </row>
    <row r="21" spans="2:71" x14ac:dyDescent="0.3">
      <c r="B21" s="136"/>
      <c r="C21" s="136"/>
      <c r="D21" s="103"/>
      <c r="E21" s="106" t="str">
        <f>IF(OR(ISBLANK(Term1_Day_1[[#This Row],[Start]]),ISBLANK(Term1_Day_1[[#This Row],[End]])),"",(Term1_Day_1[[#This Row],[End]]-Term1_Day_1[[#This Row],[Start]])*1440)</f>
        <v/>
      </c>
      <c r="F21" s="106" t="str">
        <f>IF(ISBLANK(Term1_Day_1[[#This Row],[Activity]]),"",IF(_xlfn.XLOOKUP(Term1_Day_1[[#This Row],[Activity]],Types_of_Activity[Type of Activity],Types_of_Activity[Classification])=1,Term1_Day_1[[#This Row],[Elapsed]],0))</f>
        <v/>
      </c>
      <c r="G21" s="106" t="str">
        <f>IF(ISBLANK(Term1_Day_1[[#This Row],[Activity]]),"",IF(_xlfn.XLOOKUP(Term1_Day_1[[#This Row],[Activity]],Types_of_Activity[Type of Activity],Types_of_Activity[Classification])=2,Term1_Day_1[[#This Row],[Elapsed]],0))</f>
        <v/>
      </c>
      <c r="I21" s="136"/>
      <c r="J21" s="136"/>
      <c r="K21" s="103"/>
      <c r="L21" s="106" t="str">
        <f>IF(OR(ISBLANK(Term1_Day_2[[#This Row],[Start]]),ISBLANK(Term1_Day_2[[#This Row],[End]])),"",(Term1_Day_2[[#This Row],[End]]-Term1_Day_2[[#This Row],[Start]])*1440)</f>
        <v/>
      </c>
      <c r="M21" s="106" t="str">
        <f>IF(ISBLANK(Term1_Day_2[[#This Row],[Activity]]),"",IF(_xlfn.XLOOKUP(Term1_Day_2[[#This Row],[Activity]],Types_of_Activity[Type of Activity],Types_of_Activity[Classification])=1,Term1_Day_2[[#This Row],[Elapsed]],0))</f>
        <v/>
      </c>
      <c r="N21" s="106" t="str">
        <f>IF(ISBLANK(Term1_Day_2[[#This Row],[Activity]]),"",IF(_xlfn.XLOOKUP(Term1_Day_2[[#This Row],[Activity]],Types_of_Activity[Type of Activity],Types_of_Activity[Classification])=2,Term1_Day_2[[#This Row],[Elapsed]],0))</f>
        <v/>
      </c>
      <c r="P21" s="136"/>
      <c r="Q21" s="136"/>
      <c r="R21" s="103"/>
      <c r="S21" s="106" t="str">
        <f>IF(OR(ISBLANK(Term1_Day_3[[#This Row],[Start]]),ISBLANK(Term1_Day_3[[#This Row],[End]])),"",(Term1_Day_3[[#This Row],[End]]-Term1_Day_3[[#This Row],[Start]])*1440)</f>
        <v/>
      </c>
      <c r="T21" s="106" t="str">
        <f>IF(ISBLANK(Term1_Day_3[[#This Row],[Activity]]),"",IF(_xlfn.XLOOKUP(Term1_Day_3[[#This Row],[Activity]],Types_of_Activity[Type of Activity],Types_of_Activity[Classification])=1,Term1_Day_3[[#This Row],[Elapsed]],0))</f>
        <v/>
      </c>
      <c r="U21" s="106" t="str">
        <f>IF(ISBLANK(Term1_Day_3[[#This Row],[Activity]]),"",IF(_xlfn.XLOOKUP(Term1_Day_3[[#This Row],[Activity]],Types_of_Activity[Type of Activity],Types_of_Activity[Classification])=2,Term1_Day_3[[#This Row],[Elapsed]],0))</f>
        <v/>
      </c>
      <c r="W21" s="136"/>
      <c r="X21" s="136"/>
      <c r="Y21" s="103"/>
      <c r="Z21" s="106" t="str">
        <f>IF(OR(ISBLANK(Term1_Day_4[[#This Row],[Start]]),ISBLANK(Term1_Day_4[[#This Row],[End]])),"",(Term1_Day_4[[#This Row],[End]]-Term1_Day_4[[#This Row],[Start]])*1440)</f>
        <v/>
      </c>
      <c r="AA21" s="106" t="str">
        <f>IF(ISBLANK(Term1_Day_4[[#This Row],[Activity]]),"",IF(_xlfn.XLOOKUP(Term1_Day_4[[#This Row],[Activity]],Types_of_Activity[Type of Activity],Types_of_Activity[Classification])=1,Term1_Day_4[[#This Row],[Elapsed]],0))</f>
        <v/>
      </c>
      <c r="AB21" s="106" t="str">
        <f>IF(ISBLANK(Term1_Day_4[[#This Row],[Activity]]),"",IF(_xlfn.XLOOKUP(Term1_Day_4[[#This Row],[Activity]],Types_of_Activity[Type of Activity],Types_of_Activity[Classification])=2,Term1_Day_4[[#This Row],[Elapsed]],0))</f>
        <v/>
      </c>
      <c r="AD21" s="136"/>
      <c r="AE21" s="136"/>
      <c r="AF21" s="103"/>
      <c r="AG21" s="106" t="str">
        <f>IF(OR(ISBLANK(Term1_Day_5[[#This Row],[Start]]),ISBLANK(Term1_Day_5[[#This Row],[End]])),"",(Term1_Day_5[[#This Row],[End]]-Term1_Day_5[[#This Row],[Start]])*1440)</f>
        <v/>
      </c>
      <c r="AH21" s="106" t="str">
        <f>IF(ISBLANK(Term1_Day_5[[#This Row],[Activity]]),"",IF(_xlfn.XLOOKUP(Term1_Day_5[[#This Row],[Activity]],Types_of_Activity[Type of Activity],Types_of_Activity[Classification])=1,Term1_Day_5[[#This Row],[Elapsed]],0))</f>
        <v/>
      </c>
      <c r="AI21" s="106" t="str">
        <f>IF(ISBLANK(Term1_Day_5[[#This Row],[Activity]]),"",IF(_xlfn.XLOOKUP(Term1_Day_5[[#This Row],[Activity]],Types_of_Activity[Type of Activity],Types_of_Activity[Classification])=2,Term1_Day_5[[#This Row],[Elapsed]],0))</f>
        <v/>
      </c>
      <c r="AJ21" s="107"/>
      <c r="AK21" s="136"/>
      <c r="AL21" s="136"/>
      <c r="AM21" s="103"/>
      <c r="AN21" s="106" t="str">
        <f>IF(OR(ISBLANK(Term1_Day_6[[#This Row],[Start]]),ISBLANK(Term1_Day_6[[#This Row],[End]])),"",(Term1_Day_6[[#This Row],[End]]-Term1_Day_6[[#This Row],[Start]])*1440)</f>
        <v/>
      </c>
      <c r="AO21" s="106" t="str">
        <f>IF(ISBLANK(Term1_Day_6[[#This Row],[Activity]]),"",IF(_xlfn.XLOOKUP(Term1_Day_6[[#This Row],[Activity]],Types_of_Activity[Type of Activity],Types_of_Activity[Classification])=1,Term1_Day_6[[#This Row],[Elapsed]],0))</f>
        <v/>
      </c>
      <c r="AP21" s="106" t="str">
        <f>IF(ISBLANK(Term1_Day_6[[#This Row],[Activity]]),"",IF(_xlfn.XLOOKUP(Term1_Day_6[[#This Row],[Activity]],Types_of_Activity[Type of Activity],Types_of_Activity[Classification])=2,Term1_Day_6[[#This Row],[Elapsed]],0))</f>
        <v/>
      </c>
      <c r="AQ21" s="107"/>
      <c r="AR21" s="136"/>
      <c r="AS21" s="136"/>
      <c r="AT21" s="103"/>
      <c r="AU21" s="106" t="str">
        <f>IF(OR(ISBLANK(Term1_Day_7[[#This Row],[Start]]),ISBLANK(Term1_Day_7[[#This Row],[End]])),"",(Term1_Day_7[[#This Row],[End]]-Term1_Day_7[[#This Row],[Start]])*1440)</f>
        <v/>
      </c>
      <c r="AV21" s="106" t="str">
        <f>IF(ISBLANK(Term1_Day_7[[#This Row],[Activity]]),"",IF(_xlfn.XLOOKUP(Term1_Day_7[[#This Row],[Activity]],Types_of_Activity[Type of Activity],Types_of_Activity[Classification])=1,Term1_Day_7[[#This Row],[Elapsed]],0))</f>
        <v/>
      </c>
      <c r="AW21" s="106" t="str">
        <f>IF(ISBLANK(Term1_Day_7[[#This Row],[Activity]]),"",IF(_xlfn.XLOOKUP(Term1_Day_7[[#This Row],[Activity]],Types_of_Activity[Type of Activity],Types_of_Activity[Classification])=2,Term1_Day_7[[#This Row],[Elapsed]],0))</f>
        <v/>
      </c>
      <c r="AX21" s="107"/>
      <c r="AY21" s="136"/>
      <c r="AZ21" s="136"/>
      <c r="BA21" s="103"/>
      <c r="BB21" s="106" t="str">
        <f>IF(OR(ISBLANK(Term1_Day_8[[#This Row],[Start]]),ISBLANK(Term1_Day_8[[#This Row],[End]])),"",(Term1_Day_8[[#This Row],[End]]-Term1_Day_8[[#This Row],[Start]])*1440)</f>
        <v/>
      </c>
      <c r="BC21" s="106" t="str">
        <f>IF(ISBLANK(Term1_Day_8[[#This Row],[Activity]]),"",IF(_xlfn.XLOOKUP(Term1_Day_8[[#This Row],[Activity]],Types_of_Activity[Type of Activity],Types_of_Activity[Classification])=1,Term1_Day_8[[#This Row],[Elapsed]],0))</f>
        <v/>
      </c>
      <c r="BD21" s="106" t="str">
        <f>IF(ISBLANK(Term1_Day_8[[#This Row],[Activity]]),"",IF(_xlfn.XLOOKUP(Term1_Day_8[[#This Row],[Activity]],Types_of_Activity[Type of Activity],Types_of_Activity[Classification])=2,Term1_Day_8[[#This Row],[Elapsed]],0))</f>
        <v/>
      </c>
      <c r="BE21" s="107"/>
      <c r="BF21" s="136"/>
      <c r="BG21" s="136"/>
      <c r="BH21" s="103"/>
      <c r="BI21" s="106" t="str">
        <f>IF(OR(ISBLANK(Term1_Day_9[[#This Row],[Start]]),ISBLANK(Term1_Day_9[[#This Row],[End]])),"",(Term1_Day_9[[#This Row],[End]]-Term1_Day_9[[#This Row],[Start]])*1440)</f>
        <v/>
      </c>
      <c r="BJ21" s="106" t="str">
        <f>IF(ISBLANK(Term1_Day_9[[#This Row],[Activity]]),"",IF(_xlfn.XLOOKUP(Term1_Day_9[[#This Row],[Activity]],Types_of_Activity[Type of Activity],Types_of_Activity[Classification])=1,Term1_Day_9[[#This Row],[Elapsed]],0))</f>
        <v/>
      </c>
      <c r="BK21" s="106" t="str">
        <f>IF(ISBLANK(Term1_Day_9[[#This Row],[Activity]]),"",IF(_xlfn.XLOOKUP(Term1_Day_9[[#This Row],[Activity]],Types_of_Activity[Type of Activity],Types_of_Activity[Classification])=2,Term1_Day_9[[#This Row],[Elapsed]],0))</f>
        <v/>
      </c>
      <c r="BL21" s="107"/>
      <c r="BM21" s="136"/>
      <c r="BN21" s="136"/>
      <c r="BO21" s="103"/>
      <c r="BP21" s="106" t="str">
        <f>IF(OR(ISBLANK(Term1_Day_10[[#This Row],[Start]]),ISBLANK(Term1_Day_10[[#This Row],[End]])),"",(Term1_Day_10[[#This Row],[End]]-Term1_Day_10[[#This Row],[Start]])*1440)</f>
        <v/>
      </c>
      <c r="BQ21" s="106" t="str">
        <f>IF(ISBLANK(Term1_Day_10[[#This Row],[Activity]]),"",IF(_xlfn.XLOOKUP(Term1_Day_10[[#This Row],[Activity]],Types_of_Activity[Type of Activity],Types_of_Activity[Classification])=1,Term1_Day_10[[#This Row],[Elapsed]],0))</f>
        <v/>
      </c>
      <c r="BR21" s="106" t="str">
        <f>IF(ISBLANK(Term1_Day_10[[#This Row],[Activity]]),"",IF(_xlfn.XLOOKUP(Term1_Day_10[[#This Row],[Activity]],Types_of_Activity[Type of Activity],Types_of_Activity[Classification])=2,Term1_Day_10[[#This Row],[Elapsed]],0))</f>
        <v/>
      </c>
      <c r="BS21" s="107"/>
    </row>
    <row r="22" spans="2:71" x14ac:dyDescent="0.3">
      <c r="B22" s="136"/>
      <c r="C22" s="136"/>
      <c r="D22" s="103"/>
      <c r="E22" s="106" t="str">
        <f>IF(OR(ISBLANK(Term1_Day_1[[#This Row],[Start]]),ISBLANK(Term1_Day_1[[#This Row],[End]])),"",(Term1_Day_1[[#This Row],[End]]-Term1_Day_1[[#This Row],[Start]])*1440)</f>
        <v/>
      </c>
      <c r="F22" s="106" t="str">
        <f>IF(ISBLANK(Term1_Day_1[[#This Row],[Activity]]),"",IF(_xlfn.XLOOKUP(Term1_Day_1[[#This Row],[Activity]],Types_of_Activity[Type of Activity],Types_of_Activity[Classification])=1,Term1_Day_1[[#This Row],[Elapsed]],0))</f>
        <v/>
      </c>
      <c r="G22" s="106" t="str">
        <f>IF(ISBLANK(Term1_Day_1[[#This Row],[Activity]]),"",IF(_xlfn.XLOOKUP(Term1_Day_1[[#This Row],[Activity]],Types_of_Activity[Type of Activity],Types_of_Activity[Classification])=2,Term1_Day_1[[#This Row],[Elapsed]],0))</f>
        <v/>
      </c>
      <c r="I22" s="136"/>
      <c r="J22" s="136"/>
      <c r="K22" s="103"/>
      <c r="L22" s="106" t="str">
        <f>IF(OR(ISBLANK(Term1_Day_2[[#This Row],[Start]]),ISBLANK(Term1_Day_2[[#This Row],[End]])),"",(Term1_Day_2[[#This Row],[End]]-Term1_Day_2[[#This Row],[Start]])*1440)</f>
        <v/>
      </c>
      <c r="M22" s="106" t="str">
        <f>IF(ISBLANK(Term1_Day_2[[#This Row],[Activity]]),"",IF(_xlfn.XLOOKUP(Term1_Day_2[[#This Row],[Activity]],Types_of_Activity[Type of Activity],Types_of_Activity[Classification])=1,Term1_Day_2[[#This Row],[Elapsed]],0))</f>
        <v/>
      </c>
      <c r="N22" s="106" t="str">
        <f>IF(ISBLANK(Term1_Day_2[[#This Row],[Activity]]),"",IF(_xlfn.XLOOKUP(Term1_Day_2[[#This Row],[Activity]],Types_of_Activity[Type of Activity],Types_of_Activity[Classification])=2,Term1_Day_2[[#This Row],[Elapsed]],0))</f>
        <v/>
      </c>
      <c r="P22" s="136"/>
      <c r="Q22" s="136"/>
      <c r="R22" s="103"/>
      <c r="S22" s="106" t="str">
        <f>IF(OR(ISBLANK(Term1_Day_3[[#This Row],[Start]]),ISBLANK(Term1_Day_3[[#This Row],[End]])),"",(Term1_Day_3[[#This Row],[End]]-Term1_Day_3[[#This Row],[Start]])*1440)</f>
        <v/>
      </c>
      <c r="T22" s="106" t="str">
        <f>IF(ISBLANK(Term1_Day_3[[#This Row],[Activity]]),"",IF(_xlfn.XLOOKUP(Term1_Day_3[[#This Row],[Activity]],Types_of_Activity[Type of Activity],Types_of_Activity[Classification])=1,Term1_Day_3[[#This Row],[Elapsed]],0))</f>
        <v/>
      </c>
      <c r="U22" s="106" t="str">
        <f>IF(ISBLANK(Term1_Day_3[[#This Row],[Activity]]),"",IF(_xlfn.XLOOKUP(Term1_Day_3[[#This Row],[Activity]],Types_of_Activity[Type of Activity],Types_of_Activity[Classification])=2,Term1_Day_3[[#This Row],[Elapsed]],0))</f>
        <v/>
      </c>
      <c r="W22" s="136"/>
      <c r="X22" s="136"/>
      <c r="Y22" s="103"/>
      <c r="Z22" s="106" t="str">
        <f>IF(OR(ISBLANK(Term1_Day_4[[#This Row],[Start]]),ISBLANK(Term1_Day_4[[#This Row],[End]])),"",(Term1_Day_4[[#This Row],[End]]-Term1_Day_4[[#This Row],[Start]])*1440)</f>
        <v/>
      </c>
      <c r="AA22" s="106" t="str">
        <f>IF(ISBLANK(Term1_Day_4[[#This Row],[Activity]]),"",IF(_xlfn.XLOOKUP(Term1_Day_4[[#This Row],[Activity]],Types_of_Activity[Type of Activity],Types_of_Activity[Classification])=1,Term1_Day_4[[#This Row],[Elapsed]],0))</f>
        <v/>
      </c>
      <c r="AB22" s="106" t="str">
        <f>IF(ISBLANK(Term1_Day_4[[#This Row],[Activity]]),"",IF(_xlfn.XLOOKUP(Term1_Day_4[[#This Row],[Activity]],Types_of_Activity[Type of Activity],Types_of_Activity[Classification])=2,Term1_Day_4[[#This Row],[Elapsed]],0))</f>
        <v/>
      </c>
      <c r="AD22" s="136"/>
      <c r="AE22" s="136"/>
      <c r="AF22" s="103"/>
      <c r="AG22" s="106" t="str">
        <f>IF(OR(ISBLANK(Term1_Day_5[[#This Row],[Start]]),ISBLANK(Term1_Day_5[[#This Row],[End]])),"",(Term1_Day_5[[#This Row],[End]]-Term1_Day_5[[#This Row],[Start]])*1440)</f>
        <v/>
      </c>
      <c r="AH22" s="106" t="str">
        <f>IF(ISBLANK(Term1_Day_5[[#This Row],[Activity]]),"",IF(_xlfn.XLOOKUP(Term1_Day_5[[#This Row],[Activity]],Types_of_Activity[Type of Activity],Types_of_Activity[Classification])=1,Term1_Day_5[[#This Row],[Elapsed]],0))</f>
        <v/>
      </c>
      <c r="AI22" s="106" t="str">
        <f>IF(ISBLANK(Term1_Day_5[[#This Row],[Activity]]),"",IF(_xlfn.XLOOKUP(Term1_Day_5[[#This Row],[Activity]],Types_of_Activity[Type of Activity],Types_of_Activity[Classification])=2,Term1_Day_5[[#This Row],[Elapsed]],0))</f>
        <v/>
      </c>
      <c r="AJ22" s="107"/>
      <c r="AK22" s="136"/>
      <c r="AL22" s="136"/>
      <c r="AM22" s="103"/>
      <c r="AN22" s="106" t="str">
        <f>IF(OR(ISBLANK(Term1_Day_6[[#This Row],[Start]]),ISBLANK(Term1_Day_6[[#This Row],[End]])),"",(Term1_Day_6[[#This Row],[End]]-Term1_Day_6[[#This Row],[Start]])*1440)</f>
        <v/>
      </c>
      <c r="AO22" s="106" t="str">
        <f>IF(ISBLANK(Term1_Day_6[[#This Row],[Activity]]),"",IF(_xlfn.XLOOKUP(Term1_Day_6[[#This Row],[Activity]],Types_of_Activity[Type of Activity],Types_of_Activity[Classification])=1,Term1_Day_6[[#This Row],[Elapsed]],0))</f>
        <v/>
      </c>
      <c r="AP22" s="106" t="str">
        <f>IF(ISBLANK(Term1_Day_6[[#This Row],[Activity]]),"",IF(_xlfn.XLOOKUP(Term1_Day_6[[#This Row],[Activity]],Types_of_Activity[Type of Activity],Types_of_Activity[Classification])=2,Term1_Day_6[[#This Row],[Elapsed]],0))</f>
        <v/>
      </c>
      <c r="AQ22" s="107"/>
      <c r="AR22" s="136"/>
      <c r="AS22" s="136"/>
      <c r="AT22" s="103"/>
      <c r="AU22" s="106" t="str">
        <f>IF(OR(ISBLANK(Term1_Day_7[[#This Row],[Start]]),ISBLANK(Term1_Day_7[[#This Row],[End]])),"",(Term1_Day_7[[#This Row],[End]]-Term1_Day_7[[#This Row],[Start]])*1440)</f>
        <v/>
      </c>
      <c r="AV22" s="106" t="str">
        <f>IF(ISBLANK(Term1_Day_7[[#This Row],[Activity]]),"",IF(_xlfn.XLOOKUP(Term1_Day_7[[#This Row],[Activity]],Types_of_Activity[Type of Activity],Types_of_Activity[Classification])=1,Term1_Day_7[[#This Row],[Elapsed]],0))</f>
        <v/>
      </c>
      <c r="AW22" s="106" t="str">
        <f>IF(ISBLANK(Term1_Day_7[[#This Row],[Activity]]),"",IF(_xlfn.XLOOKUP(Term1_Day_7[[#This Row],[Activity]],Types_of_Activity[Type of Activity],Types_of_Activity[Classification])=2,Term1_Day_7[[#This Row],[Elapsed]],0))</f>
        <v/>
      </c>
      <c r="AX22" s="107"/>
      <c r="AY22" s="136"/>
      <c r="AZ22" s="136"/>
      <c r="BA22" s="103"/>
      <c r="BB22" s="106" t="str">
        <f>IF(OR(ISBLANK(Term1_Day_8[[#This Row],[Start]]),ISBLANK(Term1_Day_8[[#This Row],[End]])),"",(Term1_Day_8[[#This Row],[End]]-Term1_Day_8[[#This Row],[Start]])*1440)</f>
        <v/>
      </c>
      <c r="BC22" s="106" t="str">
        <f>IF(ISBLANK(Term1_Day_8[[#This Row],[Activity]]),"",IF(_xlfn.XLOOKUP(Term1_Day_8[[#This Row],[Activity]],Types_of_Activity[Type of Activity],Types_of_Activity[Classification])=1,Term1_Day_8[[#This Row],[Elapsed]],0))</f>
        <v/>
      </c>
      <c r="BD22" s="106" t="str">
        <f>IF(ISBLANK(Term1_Day_8[[#This Row],[Activity]]),"",IF(_xlfn.XLOOKUP(Term1_Day_8[[#This Row],[Activity]],Types_of_Activity[Type of Activity],Types_of_Activity[Classification])=2,Term1_Day_8[[#This Row],[Elapsed]],0))</f>
        <v/>
      </c>
      <c r="BE22" s="107"/>
      <c r="BF22" s="136"/>
      <c r="BG22" s="136"/>
      <c r="BH22" s="103"/>
      <c r="BI22" s="106" t="str">
        <f>IF(OR(ISBLANK(Term1_Day_9[[#This Row],[Start]]),ISBLANK(Term1_Day_9[[#This Row],[End]])),"",(Term1_Day_9[[#This Row],[End]]-Term1_Day_9[[#This Row],[Start]])*1440)</f>
        <v/>
      </c>
      <c r="BJ22" s="106" t="str">
        <f>IF(ISBLANK(Term1_Day_9[[#This Row],[Activity]]),"",IF(_xlfn.XLOOKUP(Term1_Day_9[[#This Row],[Activity]],Types_of_Activity[Type of Activity],Types_of_Activity[Classification])=1,Term1_Day_9[[#This Row],[Elapsed]],0))</f>
        <v/>
      </c>
      <c r="BK22" s="106" t="str">
        <f>IF(ISBLANK(Term1_Day_9[[#This Row],[Activity]]),"",IF(_xlfn.XLOOKUP(Term1_Day_9[[#This Row],[Activity]],Types_of_Activity[Type of Activity],Types_of_Activity[Classification])=2,Term1_Day_9[[#This Row],[Elapsed]],0))</f>
        <v/>
      </c>
      <c r="BL22" s="107"/>
      <c r="BM22" s="136"/>
      <c r="BN22" s="136"/>
      <c r="BO22" s="103"/>
      <c r="BP22" s="106" t="str">
        <f>IF(OR(ISBLANK(Term1_Day_10[[#This Row],[Start]]),ISBLANK(Term1_Day_10[[#This Row],[End]])),"",(Term1_Day_10[[#This Row],[End]]-Term1_Day_10[[#This Row],[Start]])*1440)</f>
        <v/>
      </c>
      <c r="BQ22" s="106" t="str">
        <f>IF(ISBLANK(Term1_Day_10[[#This Row],[Activity]]),"",IF(_xlfn.XLOOKUP(Term1_Day_10[[#This Row],[Activity]],Types_of_Activity[Type of Activity],Types_of_Activity[Classification])=1,Term1_Day_10[[#This Row],[Elapsed]],0))</f>
        <v/>
      </c>
      <c r="BR22" s="106" t="str">
        <f>IF(ISBLANK(Term1_Day_10[[#This Row],[Activity]]),"",IF(_xlfn.XLOOKUP(Term1_Day_10[[#This Row],[Activity]],Types_of_Activity[Type of Activity],Types_of_Activity[Classification])=2,Term1_Day_10[[#This Row],[Elapsed]],0))</f>
        <v/>
      </c>
      <c r="BS22" s="107"/>
    </row>
    <row r="23" spans="2:71" x14ac:dyDescent="0.3">
      <c r="B23" s="136"/>
      <c r="C23" s="136"/>
      <c r="D23" s="103"/>
      <c r="E23" s="106" t="str">
        <f>IF(OR(ISBLANK(Term1_Day_1[[#This Row],[Start]]),ISBLANK(Term1_Day_1[[#This Row],[End]])),"",(Term1_Day_1[[#This Row],[End]]-Term1_Day_1[[#This Row],[Start]])*1440)</f>
        <v/>
      </c>
      <c r="F23" s="106" t="str">
        <f>IF(ISBLANK(Term1_Day_1[[#This Row],[Activity]]),"",IF(_xlfn.XLOOKUP(Term1_Day_1[[#This Row],[Activity]],Types_of_Activity[Type of Activity],Types_of_Activity[Classification])=1,Term1_Day_1[[#This Row],[Elapsed]],0))</f>
        <v/>
      </c>
      <c r="G23" s="106" t="str">
        <f>IF(ISBLANK(Term1_Day_1[[#This Row],[Activity]]),"",IF(_xlfn.XLOOKUP(Term1_Day_1[[#This Row],[Activity]],Types_of_Activity[Type of Activity],Types_of_Activity[Classification])=2,Term1_Day_1[[#This Row],[Elapsed]],0))</f>
        <v/>
      </c>
      <c r="I23" s="136"/>
      <c r="J23" s="136"/>
      <c r="K23" s="103"/>
      <c r="L23" s="106" t="str">
        <f>IF(OR(ISBLANK(Term1_Day_2[[#This Row],[Start]]),ISBLANK(Term1_Day_2[[#This Row],[End]])),"",(Term1_Day_2[[#This Row],[End]]-Term1_Day_2[[#This Row],[Start]])*1440)</f>
        <v/>
      </c>
      <c r="M23" s="106" t="str">
        <f>IF(ISBLANK(Term1_Day_2[[#This Row],[Activity]]),"",IF(_xlfn.XLOOKUP(Term1_Day_2[[#This Row],[Activity]],Types_of_Activity[Type of Activity],Types_of_Activity[Classification])=1,Term1_Day_2[[#This Row],[Elapsed]],0))</f>
        <v/>
      </c>
      <c r="N23" s="106" t="str">
        <f>IF(ISBLANK(Term1_Day_2[[#This Row],[Activity]]),"",IF(_xlfn.XLOOKUP(Term1_Day_2[[#This Row],[Activity]],Types_of_Activity[Type of Activity],Types_of_Activity[Classification])=2,Term1_Day_2[[#This Row],[Elapsed]],0))</f>
        <v/>
      </c>
      <c r="P23" s="136"/>
      <c r="Q23" s="136"/>
      <c r="R23" s="103"/>
      <c r="S23" s="106" t="str">
        <f>IF(OR(ISBLANK(Term1_Day_3[[#This Row],[Start]]),ISBLANK(Term1_Day_3[[#This Row],[End]])),"",(Term1_Day_3[[#This Row],[End]]-Term1_Day_3[[#This Row],[Start]])*1440)</f>
        <v/>
      </c>
      <c r="T23" s="106" t="str">
        <f>IF(ISBLANK(Term1_Day_3[[#This Row],[Activity]]),"",IF(_xlfn.XLOOKUP(Term1_Day_3[[#This Row],[Activity]],Types_of_Activity[Type of Activity],Types_of_Activity[Classification])=1,Term1_Day_3[[#This Row],[Elapsed]],0))</f>
        <v/>
      </c>
      <c r="U23" s="106" t="str">
        <f>IF(ISBLANK(Term1_Day_3[[#This Row],[Activity]]),"",IF(_xlfn.XLOOKUP(Term1_Day_3[[#This Row],[Activity]],Types_of_Activity[Type of Activity],Types_of_Activity[Classification])=2,Term1_Day_3[[#This Row],[Elapsed]],0))</f>
        <v/>
      </c>
      <c r="W23" s="136"/>
      <c r="X23" s="136"/>
      <c r="Y23" s="103"/>
      <c r="Z23" s="106" t="str">
        <f>IF(OR(ISBLANK(Term1_Day_4[[#This Row],[Start]]),ISBLANK(Term1_Day_4[[#This Row],[End]])),"",(Term1_Day_4[[#This Row],[End]]-Term1_Day_4[[#This Row],[Start]])*1440)</f>
        <v/>
      </c>
      <c r="AA23" s="106" t="str">
        <f>IF(ISBLANK(Term1_Day_4[[#This Row],[Activity]]),"",IF(_xlfn.XLOOKUP(Term1_Day_4[[#This Row],[Activity]],Types_of_Activity[Type of Activity],Types_of_Activity[Classification])=1,Term1_Day_4[[#This Row],[Elapsed]],0))</f>
        <v/>
      </c>
      <c r="AB23" s="106" t="str">
        <f>IF(ISBLANK(Term1_Day_4[[#This Row],[Activity]]),"",IF(_xlfn.XLOOKUP(Term1_Day_4[[#This Row],[Activity]],Types_of_Activity[Type of Activity],Types_of_Activity[Classification])=2,Term1_Day_4[[#This Row],[Elapsed]],0))</f>
        <v/>
      </c>
      <c r="AD23" s="136"/>
      <c r="AE23" s="136"/>
      <c r="AF23" s="103"/>
      <c r="AG23" s="106" t="str">
        <f>IF(OR(ISBLANK(Term1_Day_5[[#This Row],[Start]]),ISBLANK(Term1_Day_5[[#This Row],[End]])),"",(Term1_Day_5[[#This Row],[End]]-Term1_Day_5[[#This Row],[Start]])*1440)</f>
        <v/>
      </c>
      <c r="AH23" s="106" t="str">
        <f>IF(ISBLANK(Term1_Day_5[[#This Row],[Activity]]),"",IF(_xlfn.XLOOKUP(Term1_Day_5[[#This Row],[Activity]],Types_of_Activity[Type of Activity],Types_of_Activity[Classification])=1,Term1_Day_5[[#This Row],[Elapsed]],0))</f>
        <v/>
      </c>
      <c r="AI23" s="106" t="str">
        <f>IF(ISBLANK(Term1_Day_5[[#This Row],[Activity]]),"",IF(_xlfn.XLOOKUP(Term1_Day_5[[#This Row],[Activity]],Types_of_Activity[Type of Activity],Types_of_Activity[Classification])=2,Term1_Day_5[[#This Row],[Elapsed]],0))</f>
        <v/>
      </c>
      <c r="AJ23" s="107"/>
      <c r="AK23" s="136"/>
      <c r="AL23" s="136"/>
      <c r="AM23" s="103"/>
      <c r="AN23" s="106" t="str">
        <f>IF(OR(ISBLANK(Term1_Day_6[[#This Row],[Start]]),ISBLANK(Term1_Day_6[[#This Row],[End]])),"",(Term1_Day_6[[#This Row],[End]]-Term1_Day_6[[#This Row],[Start]])*1440)</f>
        <v/>
      </c>
      <c r="AO23" s="106" t="str">
        <f>IF(ISBLANK(Term1_Day_6[[#This Row],[Activity]]),"",IF(_xlfn.XLOOKUP(Term1_Day_6[[#This Row],[Activity]],Types_of_Activity[Type of Activity],Types_of_Activity[Classification])=1,Term1_Day_6[[#This Row],[Elapsed]],0))</f>
        <v/>
      </c>
      <c r="AP23" s="106" t="str">
        <f>IF(ISBLANK(Term1_Day_6[[#This Row],[Activity]]),"",IF(_xlfn.XLOOKUP(Term1_Day_6[[#This Row],[Activity]],Types_of_Activity[Type of Activity],Types_of_Activity[Classification])=2,Term1_Day_6[[#This Row],[Elapsed]],0))</f>
        <v/>
      </c>
      <c r="AQ23" s="107"/>
      <c r="AR23" s="136"/>
      <c r="AS23" s="136"/>
      <c r="AT23" s="103"/>
      <c r="AU23" s="106" t="str">
        <f>IF(OR(ISBLANK(Term1_Day_7[[#This Row],[Start]]),ISBLANK(Term1_Day_7[[#This Row],[End]])),"",(Term1_Day_7[[#This Row],[End]]-Term1_Day_7[[#This Row],[Start]])*1440)</f>
        <v/>
      </c>
      <c r="AV23" s="106" t="str">
        <f>IF(ISBLANK(Term1_Day_7[[#This Row],[Activity]]),"",IF(_xlfn.XLOOKUP(Term1_Day_7[[#This Row],[Activity]],Types_of_Activity[Type of Activity],Types_of_Activity[Classification])=1,Term1_Day_7[[#This Row],[Elapsed]],0))</f>
        <v/>
      </c>
      <c r="AW23" s="106" t="str">
        <f>IF(ISBLANK(Term1_Day_7[[#This Row],[Activity]]),"",IF(_xlfn.XLOOKUP(Term1_Day_7[[#This Row],[Activity]],Types_of_Activity[Type of Activity],Types_of_Activity[Classification])=2,Term1_Day_7[[#This Row],[Elapsed]],0))</f>
        <v/>
      </c>
      <c r="AX23" s="107"/>
      <c r="AY23" s="136"/>
      <c r="AZ23" s="136"/>
      <c r="BA23" s="103"/>
      <c r="BB23" s="106" t="str">
        <f>IF(OR(ISBLANK(Term1_Day_8[[#This Row],[Start]]),ISBLANK(Term1_Day_8[[#This Row],[End]])),"",(Term1_Day_8[[#This Row],[End]]-Term1_Day_8[[#This Row],[Start]])*1440)</f>
        <v/>
      </c>
      <c r="BC23" s="106" t="str">
        <f>IF(ISBLANK(Term1_Day_8[[#This Row],[Activity]]),"",IF(_xlfn.XLOOKUP(Term1_Day_8[[#This Row],[Activity]],Types_of_Activity[Type of Activity],Types_of_Activity[Classification])=1,Term1_Day_8[[#This Row],[Elapsed]],0))</f>
        <v/>
      </c>
      <c r="BD23" s="106" t="str">
        <f>IF(ISBLANK(Term1_Day_8[[#This Row],[Activity]]),"",IF(_xlfn.XLOOKUP(Term1_Day_8[[#This Row],[Activity]],Types_of_Activity[Type of Activity],Types_of_Activity[Classification])=2,Term1_Day_8[[#This Row],[Elapsed]],0))</f>
        <v/>
      </c>
      <c r="BE23" s="107"/>
      <c r="BF23" s="136"/>
      <c r="BG23" s="136"/>
      <c r="BH23" s="103"/>
      <c r="BI23" s="106" t="str">
        <f>IF(OR(ISBLANK(Term1_Day_9[[#This Row],[Start]]),ISBLANK(Term1_Day_9[[#This Row],[End]])),"",(Term1_Day_9[[#This Row],[End]]-Term1_Day_9[[#This Row],[Start]])*1440)</f>
        <v/>
      </c>
      <c r="BJ23" s="106" t="str">
        <f>IF(ISBLANK(Term1_Day_9[[#This Row],[Activity]]),"",IF(_xlfn.XLOOKUP(Term1_Day_9[[#This Row],[Activity]],Types_of_Activity[Type of Activity],Types_of_Activity[Classification])=1,Term1_Day_9[[#This Row],[Elapsed]],0))</f>
        <v/>
      </c>
      <c r="BK23" s="106" t="str">
        <f>IF(ISBLANK(Term1_Day_9[[#This Row],[Activity]]),"",IF(_xlfn.XLOOKUP(Term1_Day_9[[#This Row],[Activity]],Types_of_Activity[Type of Activity],Types_of_Activity[Classification])=2,Term1_Day_9[[#This Row],[Elapsed]],0))</f>
        <v/>
      </c>
      <c r="BL23" s="107"/>
      <c r="BM23" s="136"/>
      <c r="BN23" s="136"/>
      <c r="BO23" s="103"/>
      <c r="BP23" s="106" t="str">
        <f>IF(OR(ISBLANK(Term1_Day_10[[#This Row],[Start]]),ISBLANK(Term1_Day_10[[#This Row],[End]])),"",(Term1_Day_10[[#This Row],[End]]-Term1_Day_10[[#This Row],[Start]])*1440)</f>
        <v/>
      </c>
      <c r="BQ23" s="106" t="str">
        <f>IF(ISBLANK(Term1_Day_10[[#This Row],[Activity]]),"",IF(_xlfn.XLOOKUP(Term1_Day_10[[#This Row],[Activity]],Types_of_Activity[Type of Activity],Types_of_Activity[Classification])=1,Term1_Day_10[[#This Row],[Elapsed]],0))</f>
        <v/>
      </c>
      <c r="BR23" s="106" t="str">
        <f>IF(ISBLANK(Term1_Day_10[[#This Row],[Activity]]),"",IF(_xlfn.XLOOKUP(Term1_Day_10[[#This Row],[Activity]],Types_of_Activity[Type of Activity],Types_of_Activity[Classification])=2,Term1_Day_10[[#This Row],[Elapsed]],0))</f>
        <v/>
      </c>
      <c r="BS23" s="107"/>
    </row>
    <row r="24" spans="2:71" x14ac:dyDescent="0.3">
      <c r="B24" s="136"/>
      <c r="C24" s="136"/>
      <c r="D24" s="103"/>
      <c r="E24" s="106" t="str">
        <f>IF(OR(ISBLANK(Term1_Day_1[[#This Row],[Start]]),ISBLANK(Term1_Day_1[[#This Row],[End]])),"",(Term1_Day_1[[#This Row],[End]]-Term1_Day_1[[#This Row],[Start]])*1440)</f>
        <v/>
      </c>
      <c r="F24" s="106" t="str">
        <f>IF(ISBLANK(Term1_Day_1[[#This Row],[Activity]]),"",IF(_xlfn.XLOOKUP(Term1_Day_1[[#This Row],[Activity]],Types_of_Activity[Type of Activity],Types_of_Activity[Classification])=1,Term1_Day_1[[#This Row],[Elapsed]],0))</f>
        <v/>
      </c>
      <c r="G24" s="106" t="str">
        <f>IF(ISBLANK(Term1_Day_1[[#This Row],[Activity]]),"",IF(_xlfn.XLOOKUP(Term1_Day_1[[#This Row],[Activity]],Types_of_Activity[Type of Activity],Types_of_Activity[Classification])=2,Term1_Day_1[[#This Row],[Elapsed]],0))</f>
        <v/>
      </c>
      <c r="I24" s="136"/>
      <c r="J24" s="136"/>
      <c r="K24" s="103"/>
      <c r="L24" s="106" t="str">
        <f>IF(OR(ISBLANK(Term1_Day_2[[#This Row],[Start]]),ISBLANK(Term1_Day_2[[#This Row],[End]])),"",(Term1_Day_2[[#This Row],[End]]-Term1_Day_2[[#This Row],[Start]])*1440)</f>
        <v/>
      </c>
      <c r="M24" s="106" t="str">
        <f>IF(ISBLANK(Term1_Day_2[[#This Row],[Activity]]),"",IF(_xlfn.XLOOKUP(Term1_Day_2[[#This Row],[Activity]],Types_of_Activity[Type of Activity],Types_of_Activity[Classification])=1,Term1_Day_2[[#This Row],[Elapsed]],0))</f>
        <v/>
      </c>
      <c r="N24" s="106" t="str">
        <f>IF(ISBLANK(Term1_Day_2[[#This Row],[Activity]]),"",IF(_xlfn.XLOOKUP(Term1_Day_2[[#This Row],[Activity]],Types_of_Activity[Type of Activity],Types_of_Activity[Classification])=2,Term1_Day_2[[#This Row],[Elapsed]],0))</f>
        <v/>
      </c>
      <c r="P24" s="136"/>
      <c r="Q24" s="136"/>
      <c r="R24" s="103"/>
      <c r="S24" s="106" t="str">
        <f>IF(OR(ISBLANK(Term1_Day_3[[#This Row],[Start]]),ISBLANK(Term1_Day_3[[#This Row],[End]])),"",(Term1_Day_3[[#This Row],[End]]-Term1_Day_3[[#This Row],[Start]])*1440)</f>
        <v/>
      </c>
      <c r="T24" s="106" t="str">
        <f>IF(ISBLANK(Term1_Day_3[[#This Row],[Activity]]),"",IF(_xlfn.XLOOKUP(Term1_Day_3[[#This Row],[Activity]],Types_of_Activity[Type of Activity],Types_of_Activity[Classification])=1,Term1_Day_3[[#This Row],[Elapsed]],0))</f>
        <v/>
      </c>
      <c r="U24" s="106" t="str">
        <f>IF(ISBLANK(Term1_Day_3[[#This Row],[Activity]]),"",IF(_xlfn.XLOOKUP(Term1_Day_3[[#This Row],[Activity]],Types_of_Activity[Type of Activity],Types_of_Activity[Classification])=2,Term1_Day_3[[#This Row],[Elapsed]],0))</f>
        <v/>
      </c>
      <c r="W24" s="136"/>
      <c r="X24" s="136"/>
      <c r="Y24" s="103"/>
      <c r="Z24" s="106" t="str">
        <f>IF(OR(ISBLANK(Term1_Day_4[[#This Row],[Start]]),ISBLANK(Term1_Day_4[[#This Row],[End]])),"",(Term1_Day_4[[#This Row],[End]]-Term1_Day_4[[#This Row],[Start]])*1440)</f>
        <v/>
      </c>
      <c r="AA24" s="106" t="str">
        <f>IF(ISBLANK(Term1_Day_4[[#This Row],[Activity]]),"",IF(_xlfn.XLOOKUP(Term1_Day_4[[#This Row],[Activity]],Types_of_Activity[Type of Activity],Types_of_Activity[Classification])=1,Term1_Day_4[[#This Row],[Elapsed]],0))</f>
        <v/>
      </c>
      <c r="AB24" s="106" t="str">
        <f>IF(ISBLANK(Term1_Day_4[[#This Row],[Activity]]),"",IF(_xlfn.XLOOKUP(Term1_Day_4[[#This Row],[Activity]],Types_of_Activity[Type of Activity],Types_of_Activity[Classification])=2,Term1_Day_4[[#This Row],[Elapsed]],0))</f>
        <v/>
      </c>
      <c r="AD24" s="136"/>
      <c r="AE24" s="136"/>
      <c r="AF24" s="103"/>
      <c r="AG24" s="106" t="str">
        <f>IF(OR(ISBLANK(Term1_Day_5[[#This Row],[Start]]),ISBLANK(Term1_Day_5[[#This Row],[End]])),"",(Term1_Day_5[[#This Row],[End]]-Term1_Day_5[[#This Row],[Start]])*1440)</f>
        <v/>
      </c>
      <c r="AH24" s="106" t="str">
        <f>IF(ISBLANK(Term1_Day_5[[#This Row],[Activity]]),"",IF(_xlfn.XLOOKUP(Term1_Day_5[[#This Row],[Activity]],Types_of_Activity[Type of Activity],Types_of_Activity[Classification])=1,Term1_Day_5[[#This Row],[Elapsed]],0))</f>
        <v/>
      </c>
      <c r="AI24" s="106" t="str">
        <f>IF(ISBLANK(Term1_Day_5[[#This Row],[Activity]]),"",IF(_xlfn.XLOOKUP(Term1_Day_5[[#This Row],[Activity]],Types_of_Activity[Type of Activity],Types_of_Activity[Classification])=2,Term1_Day_5[[#This Row],[Elapsed]],0))</f>
        <v/>
      </c>
      <c r="AJ24" s="107"/>
      <c r="AK24" s="136"/>
      <c r="AL24" s="136"/>
      <c r="AM24" s="103"/>
      <c r="AN24" s="106" t="str">
        <f>IF(OR(ISBLANK(Term1_Day_6[[#This Row],[Start]]),ISBLANK(Term1_Day_6[[#This Row],[End]])),"",(Term1_Day_6[[#This Row],[End]]-Term1_Day_6[[#This Row],[Start]])*1440)</f>
        <v/>
      </c>
      <c r="AO24" s="106" t="str">
        <f>IF(ISBLANK(Term1_Day_6[[#This Row],[Activity]]),"",IF(_xlfn.XLOOKUP(Term1_Day_6[[#This Row],[Activity]],Types_of_Activity[Type of Activity],Types_of_Activity[Classification])=1,Term1_Day_6[[#This Row],[Elapsed]],0))</f>
        <v/>
      </c>
      <c r="AP24" s="106" t="str">
        <f>IF(ISBLANK(Term1_Day_6[[#This Row],[Activity]]),"",IF(_xlfn.XLOOKUP(Term1_Day_6[[#This Row],[Activity]],Types_of_Activity[Type of Activity],Types_of_Activity[Classification])=2,Term1_Day_6[[#This Row],[Elapsed]],0))</f>
        <v/>
      </c>
      <c r="AQ24" s="107"/>
      <c r="AR24" s="136"/>
      <c r="AS24" s="136"/>
      <c r="AT24" s="103"/>
      <c r="AU24" s="106" t="str">
        <f>IF(OR(ISBLANK(Term1_Day_7[[#This Row],[Start]]),ISBLANK(Term1_Day_7[[#This Row],[End]])),"",(Term1_Day_7[[#This Row],[End]]-Term1_Day_7[[#This Row],[Start]])*1440)</f>
        <v/>
      </c>
      <c r="AV24" s="106" t="str">
        <f>IF(ISBLANK(Term1_Day_7[[#This Row],[Activity]]),"",IF(_xlfn.XLOOKUP(Term1_Day_7[[#This Row],[Activity]],Types_of_Activity[Type of Activity],Types_of_Activity[Classification])=1,Term1_Day_7[[#This Row],[Elapsed]],0))</f>
        <v/>
      </c>
      <c r="AW24" s="106" t="str">
        <f>IF(ISBLANK(Term1_Day_7[[#This Row],[Activity]]),"",IF(_xlfn.XLOOKUP(Term1_Day_7[[#This Row],[Activity]],Types_of_Activity[Type of Activity],Types_of_Activity[Classification])=2,Term1_Day_7[[#This Row],[Elapsed]],0))</f>
        <v/>
      </c>
      <c r="AX24" s="107"/>
      <c r="AY24" s="136"/>
      <c r="AZ24" s="136"/>
      <c r="BA24" s="103"/>
      <c r="BB24" s="106" t="str">
        <f>IF(OR(ISBLANK(Term1_Day_8[[#This Row],[Start]]),ISBLANK(Term1_Day_8[[#This Row],[End]])),"",(Term1_Day_8[[#This Row],[End]]-Term1_Day_8[[#This Row],[Start]])*1440)</f>
        <v/>
      </c>
      <c r="BC24" s="106" t="str">
        <f>IF(ISBLANK(Term1_Day_8[[#This Row],[Activity]]),"",IF(_xlfn.XLOOKUP(Term1_Day_8[[#This Row],[Activity]],Types_of_Activity[Type of Activity],Types_of_Activity[Classification])=1,Term1_Day_8[[#This Row],[Elapsed]],0))</f>
        <v/>
      </c>
      <c r="BD24" s="106" t="str">
        <f>IF(ISBLANK(Term1_Day_8[[#This Row],[Activity]]),"",IF(_xlfn.XLOOKUP(Term1_Day_8[[#This Row],[Activity]],Types_of_Activity[Type of Activity],Types_of_Activity[Classification])=2,Term1_Day_8[[#This Row],[Elapsed]],0))</f>
        <v/>
      </c>
      <c r="BE24" s="107"/>
      <c r="BF24" s="136"/>
      <c r="BG24" s="136"/>
      <c r="BH24" s="103"/>
      <c r="BI24" s="106" t="str">
        <f>IF(OR(ISBLANK(Term1_Day_9[[#This Row],[Start]]),ISBLANK(Term1_Day_9[[#This Row],[End]])),"",(Term1_Day_9[[#This Row],[End]]-Term1_Day_9[[#This Row],[Start]])*1440)</f>
        <v/>
      </c>
      <c r="BJ24" s="106" t="str">
        <f>IF(ISBLANK(Term1_Day_9[[#This Row],[Activity]]),"",IF(_xlfn.XLOOKUP(Term1_Day_9[[#This Row],[Activity]],Types_of_Activity[Type of Activity],Types_of_Activity[Classification])=1,Term1_Day_9[[#This Row],[Elapsed]],0))</f>
        <v/>
      </c>
      <c r="BK24" s="106" t="str">
        <f>IF(ISBLANK(Term1_Day_9[[#This Row],[Activity]]),"",IF(_xlfn.XLOOKUP(Term1_Day_9[[#This Row],[Activity]],Types_of_Activity[Type of Activity],Types_of_Activity[Classification])=2,Term1_Day_9[[#This Row],[Elapsed]],0))</f>
        <v/>
      </c>
      <c r="BL24" s="107"/>
      <c r="BM24" s="136"/>
      <c r="BN24" s="136"/>
      <c r="BO24" s="103"/>
      <c r="BP24" s="106" t="str">
        <f>IF(OR(ISBLANK(Term1_Day_10[[#This Row],[Start]]),ISBLANK(Term1_Day_10[[#This Row],[End]])),"",(Term1_Day_10[[#This Row],[End]]-Term1_Day_10[[#This Row],[Start]])*1440)</f>
        <v/>
      </c>
      <c r="BQ24" s="106" t="str">
        <f>IF(ISBLANK(Term1_Day_10[[#This Row],[Activity]]),"",IF(_xlfn.XLOOKUP(Term1_Day_10[[#This Row],[Activity]],Types_of_Activity[Type of Activity],Types_of_Activity[Classification])=1,Term1_Day_10[[#This Row],[Elapsed]],0))</f>
        <v/>
      </c>
      <c r="BR24" s="106" t="str">
        <f>IF(ISBLANK(Term1_Day_10[[#This Row],[Activity]]),"",IF(_xlfn.XLOOKUP(Term1_Day_10[[#This Row],[Activity]],Types_of_Activity[Type of Activity],Types_of_Activity[Classification])=2,Term1_Day_10[[#This Row],[Elapsed]],0))</f>
        <v/>
      </c>
      <c r="BS24" s="107"/>
    </row>
    <row r="25" spans="2:71" x14ac:dyDescent="0.3">
      <c r="B25" s="136"/>
      <c r="C25" s="136"/>
      <c r="D25" s="103"/>
      <c r="E25" s="106" t="str">
        <f>IF(OR(ISBLANK(Term1_Day_1[[#This Row],[Start]]),ISBLANK(Term1_Day_1[[#This Row],[End]])),"",(Term1_Day_1[[#This Row],[End]]-Term1_Day_1[[#This Row],[Start]])*1440)</f>
        <v/>
      </c>
      <c r="F25" s="106" t="str">
        <f>IF(ISBLANK(Term1_Day_1[[#This Row],[Activity]]),"",IF(_xlfn.XLOOKUP(Term1_Day_1[[#This Row],[Activity]],Types_of_Activity[Type of Activity],Types_of_Activity[Classification])=1,Term1_Day_1[[#This Row],[Elapsed]],0))</f>
        <v/>
      </c>
      <c r="G25" s="106" t="str">
        <f>IF(ISBLANK(Term1_Day_1[[#This Row],[Activity]]),"",IF(_xlfn.XLOOKUP(Term1_Day_1[[#This Row],[Activity]],Types_of_Activity[Type of Activity],Types_of_Activity[Classification])=2,Term1_Day_1[[#This Row],[Elapsed]],0))</f>
        <v/>
      </c>
      <c r="I25" s="136"/>
      <c r="J25" s="136"/>
      <c r="K25" s="103"/>
      <c r="L25" s="106" t="str">
        <f>IF(OR(ISBLANK(Term1_Day_2[[#This Row],[Start]]),ISBLANK(Term1_Day_2[[#This Row],[End]])),"",(Term1_Day_2[[#This Row],[End]]-Term1_Day_2[[#This Row],[Start]])*1440)</f>
        <v/>
      </c>
      <c r="M25" s="106" t="str">
        <f>IF(ISBLANK(Term1_Day_2[[#This Row],[Activity]]),"",IF(_xlfn.XLOOKUP(Term1_Day_2[[#This Row],[Activity]],Types_of_Activity[Type of Activity],Types_of_Activity[Classification])=1,Term1_Day_2[[#This Row],[Elapsed]],0))</f>
        <v/>
      </c>
      <c r="N25" s="106" t="str">
        <f>IF(ISBLANK(Term1_Day_2[[#This Row],[Activity]]),"",IF(_xlfn.XLOOKUP(Term1_Day_2[[#This Row],[Activity]],Types_of_Activity[Type of Activity],Types_of_Activity[Classification])=2,Term1_Day_2[[#This Row],[Elapsed]],0))</f>
        <v/>
      </c>
      <c r="P25" s="136"/>
      <c r="Q25" s="136"/>
      <c r="R25" s="103"/>
      <c r="S25" s="106" t="str">
        <f>IF(OR(ISBLANK(Term1_Day_3[[#This Row],[Start]]),ISBLANK(Term1_Day_3[[#This Row],[End]])),"",(Term1_Day_3[[#This Row],[End]]-Term1_Day_3[[#This Row],[Start]])*1440)</f>
        <v/>
      </c>
      <c r="T25" s="106" t="str">
        <f>IF(ISBLANK(Term1_Day_3[[#This Row],[Activity]]),"",IF(_xlfn.XLOOKUP(Term1_Day_3[[#This Row],[Activity]],Types_of_Activity[Type of Activity],Types_of_Activity[Classification])=1,Term1_Day_3[[#This Row],[Elapsed]],0))</f>
        <v/>
      </c>
      <c r="U25" s="106" t="str">
        <f>IF(ISBLANK(Term1_Day_3[[#This Row],[Activity]]),"",IF(_xlfn.XLOOKUP(Term1_Day_3[[#This Row],[Activity]],Types_of_Activity[Type of Activity],Types_of_Activity[Classification])=2,Term1_Day_3[[#This Row],[Elapsed]],0))</f>
        <v/>
      </c>
      <c r="W25" s="136"/>
      <c r="X25" s="136"/>
      <c r="Y25" s="103"/>
      <c r="Z25" s="106" t="str">
        <f>IF(OR(ISBLANK(Term1_Day_4[[#This Row],[Start]]),ISBLANK(Term1_Day_4[[#This Row],[End]])),"",(Term1_Day_4[[#This Row],[End]]-Term1_Day_4[[#This Row],[Start]])*1440)</f>
        <v/>
      </c>
      <c r="AA25" s="106" t="str">
        <f>IF(ISBLANK(Term1_Day_4[[#This Row],[Activity]]),"",IF(_xlfn.XLOOKUP(Term1_Day_4[[#This Row],[Activity]],Types_of_Activity[Type of Activity],Types_of_Activity[Classification])=1,Term1_Day_4[[#This Row],[Elapsed]],0))</f>
        <v/>
      </c>
      <c r="AB25" s="106" t="str">
        <f>IF(ISBLANK(Term1_Day_4[[#This Row],[Activity]]),"",IF(_xlfn.XLOOKUP(Term1_Day_4[[#This Row],[Activity]],Types_of_Activity[Type of Activity],Types_of_Activity[Classification])=2,Term1_Day_4[[#This Row],[Elapsed]],0))</f>
        <v/>
      </c>
      <c r="AD25" s="136"/>
      <c r="AE25" s="136"/>
      <c r="AF25" s="103"/>
      <c r="AG25" s="106" t="str">
        <f>IF(OR(ISBLANK(Term1_Day_5[[#This Row],[Start]]),ISBLANK(Term1_Day_5[[#This Row],[End]])),"",(Term1_Day_5[[#This Row],[End]]-Term1_Day_5[[#This Row],[Start]])*1440)</f>
        <v/>
      </c>
      <c r="AH25" s="106" t="str">
        <f>IF(ISBLANK(Term1_Day_5[[#This Row],[Activity]]),"",IF(_xlfn.XLOOKUP(Term1_Day_5[[#This Row],[Activity]],Types_of_Activity[Type of Activity],Types_of_Activity[Classification])=1,Term1_Day_5[[#This Row],[Elapsed]],0))</f>
        <v/>
      </c>
      <c r="AI25" s="106" t="str">
        <f>IF(ISBLANK(Term1_Day_5[[#This Row],[Activity]]),"",IF(_xlfn.XLOOKUP(Term1_Day_5[[#This Row],[Activity]],Types_of_Activity[Type of Activity],Types_of_Activity[Classification])=2,Term1_Day_5[[#This Row],[Elapsed]],0))</f>
        <v/>
      </c>
      <c r="AJ25" s="107"/>
      <c r="AK25" s="136"/>
      <c r="AL25" s="136"/>
      <c r="AM25" s="103"/>
      <c r="AN25" s="106" t="str">
        <f>IF(OR(ISBLANK(Term1_Day_6[[#This Row],[Start]]),ISBLANK(Term1_Day_6[[#This Row],[End]])),"",(Term1_Day_6[[#This Row],[End]]-Term1_Day_6[[#This Row],[Start]])*1440)</f>
        <v/>
      </c>
      <c r="AO25" s="106" t="str">
        <f>IF(ISBLANK(Term1_Day_6[[#This Row],[Activity]]),"",IF(_xlfn.XLOOKUP(Term1_Day_6[[#This Row],[Activity]],Types_of_Activity[Type of Activity],Types_of_Activity[Classification])=1,Term1_Day_6[[#This Row],[Elapsed]],0))</f>
        <v/>
      </c>
      <c r="AP25" s="106" t="str">
        <f>IF(ISBLANK(Term1_Day_6[[#This Row],[Activity]]),"",IF(_xlfn.XLOOKUP(Term1_Day_6[[#This Row],[Activity]],Types_of_Activity[Type of Activity],Types_of_Activity[Classification])=2,Term1_Day_6[[#This Row],[Elapsed]],0))</f>
        <v/>
      </c>
      <c r="AQ25" s="107"/>
      <c r="AR25" s="136"/>
      <c r="AS25" s="136"/>
      <c r="AT25" s="103"/>
      <c r="AU25" s="106" t="str">
        <f>IF(OR(ISBLANK(Term1_Day_7[[#This Row],[Start]]),ISBLANK(Term1_Day_7[[#This Row],[End]])),"",(Term1_Day_7[[#This Row],[End]]-Term1_Day_7[[#This Row],[Start]])*1440)</f>
        <v/>
      </c>
      <c r="AV25" s="106" t="str">
        <f>IF(ISBLANK(Term1_Day_7[[#This Row],[Activity]]),"",IF(_xlfn.XLOOKUP(Term1_Day_7[[#This Row],[Activity]],Types_of_Activity[Type of Activity],Types_of_Activity[Classification])=1,Term1_Day_7[[#This Row],[Elapsed]],0))</f>
        <v/>
      </c>
      <c r="AW25" s="106" t="str">
        <f>IF(ISBLANK(Term1_Day_7[[#This Row],[Activity]]),"",IF(_xlfn.XLOOKUP(Term1_Day_7[[#This Row],[Activity]],Types_of_Activity[Type of Activity],Types_of_Activity[Classification])=2,Term1_Day_7[[#This Row],[Elapsed]],0))</f>
        <v/>
      </c>
      <c r="AX25" s="107"/>
      <c r="AY25" s="136"/>
      <c r="AZ25" s="136"/>
      <c r="BA25" s="103"/>
      <c r="BB25" s="106" t="str">
        <f>IF(OR(ISBLANK(Term1_Day_8[[#This Row],[Start]]),ISBLANK(Term1_Day_8[[#This Row],[End]])),"",(Term1_Day_8[[#This Row],[End]]-Term1_Day_8[[#This Row],[Start]])*1440)</f>
        <v/>
      </c>
      <c r="BC25" s="106" t="str">
        <f>IF(ISBLANK(Term1_Day_8[[#This Row],[Activity]]),"",IF(_xlfn.XLOOKUP(Term1_Day_8[[#This Row],[Activity]],Types_of_Activity[Type of Activity],Types_of_Activity[Classification])=1,Term1_Day_8[[#This Row],[Elapsed]],0))</f>
        <v/>
      </c>
      <c r="BD25" s="106" t="str">
        <f>IF(ISBLANK(Term1_Day_8[[#This Row],[Activity]]),"",IF(_xlfn.XLOOKUP(Term1_Day_8[[#This Row],[Activity]],Types_of_Activity[Type of Activity],Types_of_Activity[Classification])=2,Term1_Day_8[[#This Row],[Elapsed]],0))</f>
        <v/>
      </c>
      <c r="BE25" s="107"/>
      <c r="BF25" s="136"/>
      <c r="BG25" s="136"/>
      <c r="BH25" s="103"/>
      <c r="BI25" s="106" t="str">
        <f>IF(OR(ISBLANK(Term1_Day_9[[#This Row],[Start]]),ISBLANK(Term1_Day_9[[#This Row],[End]])),"",(Term1_Day_9[[#This Row],[End]]-Term1_Day_9[[#This Row],[Start]])*1440)</f>
        <v/>
      </c>
      <c r="BJ25" s="106" t="str">
        <f>IF(ISBLANK(Term1_Day_9[[#This Row],[Activity]]),"",IF(_xlfn.XLOOKUP(Term1_Day_9[[#This Row],[Activity]],Types_of_Activity[Type of Activity],Types_of_Activity[Classification])=1,Term1_Day_9[[#This Row],[Elapsed]],0))</f>
        <v/>
      </c>
      <c r="BK25" s="106" t="str">
        <f>IF(ISBLANK(Term1_Day_9[[#This Row],[Activity]]),"",IF(_xlfn.XLOOKUP(Term1_Day_9[[#This Row],[Activity]],Types_of_Activity[Type of Activity],Types_of_Activity[Classification])=2,Term1_Day_9[[#This Row],[Elapsed]],0))</f>
        <v/>
      </c>
      <c r="BL25" s="107"/>
      <c r="BM25" s="136"/>
      <c r="BN25" s="136"/>
      <c r="BO25" s="103"/>
      <c r="BP25" s="106" t="str">
        <f>IF(OR(ISBLANK(Term1_Day_10[[#This Row],[Start]]),ISBLANK(Term1_Day_10[[#This Row],[End]])),"",(Term1_Day_10[[#This Row],[End]]-Term1_Day_10[[#This Row],[Start]])*1440)</f>
        <v/>
      </c>
      <c r="BQ25" s="106" t="str">
        <f>IF(ISBLANK(Term1_Day_10[[#This Row],[Activity]]),"",IF(_xlfn.XLOOKUP(Term1_Day_10[[#This Row],[Activity]],Types_of_Activity[Type of Activity],Types_of_Activity[Classification])=1,Term1_Day_10[[#This Row],[Elapsed]],0))</f>
        <v/>
      </c>
      <c r="BR25" s="106" t="str">
        <f>IF(ISBLANK(Term1_Day_10[[#This Row],[Activity]]),"",IF(_xlfn.XLOOKUP(Term1_Day_10[[#This Row],[Activity]],Types_of_Activity[Type of Activity],Types_of_Activity[Classification])=2,Term1_Day_10[[#This Row],[Elapsed]],0))</f>
        <v/>
      </c>
      <c r="BS25" s="107"/>
    </row>
    <row r="26" spans="2:71" x14ac:dyDescent="0.3">
      <c r="B26" s="136"/>
      <c r="C26" s="136"/>
      <c r="D26" s="103"/>
      <c r="E26" s="106" t="str">
        <f>IF(OR(ISBLANK(Term1_Day_1[[#This Row],[Start]]),ISBLANK(Term1_Day_1[[#This Row],[End]])),"",(Term1_Day_1[[#This Row],[End]]-Term1_Day_1[[#This Row],[Start]])*1440)</f>
        <v/>
      </c>
      <c r="F26" s="106" t="str">
        <f>IF(ISBLANK(Term1_Day_1[[#This Row],[Activity]]),"",IF(_xlfn.XLOOKUP(Term1_Day_1[[#This Row],[Activity]],Types_of_Activity[Type of Activity],Types_of_Activity[Classification])=1,Term1_Day_1[[#This Row],[Elapsed]],0))</f>
        <v/>
      </c>
      <c r="G26" s="106" t="str">
        <f>IF(ISBLANK(Term1_Day_1[[#This Row],[Activity]]),"",IF(_xlfn.XLOOKUP(Term1_Day_1[[#This Row],[Activity]],Types_of_Activity[Type of Activity],Types_of_Activity[Classification])=2,Term1_Day_1[[#This Row],[Elapsed]],0))</f>
        <v/>
      </c>
      <c r="I26" s="136"/>
      <c r="J26" s="136"/>
      <c r="K26" s="103"/>
      <c r="L26" s="106" t="str">
        <f>IF(OR(ISBLANK(Term1_Day_2[[#This Row],[Start]]),ISBLANK(Term1_Day_2[[#This Row],[End]])),"",(Term1_Day_2[[#This Row],[End]]-Term1_Day_2[[#This Row],[Start]])*1440)</f>
        <v/>
      </c>
      <c r="M26" s="106" t="str">
        <f>IF(ISBLANK(Term1_Day_2[[#This Row],[Activity]]),"",IF(_xlfn.XLOOKUP(Term1_Day_2[[#This Row],[Activity]],Types_of_Activity[Type of Activity],Types_of_Activity[Classification])=1,Term1_Day_2[[#This Row],[Elapsed]],0))</f>
        <v/>
      </c>
      <c r="N26" s="106" t="str">
        <f>IF(ISBLANK(Term1_Day_2[[#This Row],[Activity]]),"",IF(_xlfn.XLOOKUP(Term1_Day_2[[#This Row],[Activity]],Types_of_Activity[Type of Activity],Types_of_Activity[Classification])=2,Term1_Day_2[[#This Row],[Elapsed]],0))</f>
        <v/>
      </c>
      <c r="P26" s="136"/>
      <c r="Q26" s="136"/>
      <c r="R26" s="103"/>
      <c r="S26" s="106" t="str">
        <f>IF(OR(ISBLANK(Term1_Day_3[[#This Row],[Start]]),ISBLANK(Term1_Day_3[[#This Row],[End]])),"",(Term1_Day_3[[#This Row],[End]]-Term1_Day_3[[#This Row],[Start]])*1440)</f>
        <v/>
      </c>
      <c r="T26" s="106" t="str">
        <f>IF(ISBLANK(Term1_Day_3[[#This Row],[Activity]]),"",IF(_xlfn.XLOOKUP(Term1_Day_3[[#This Row],[Activity]],Types_of_Activity[Type of Activity],Types_of_Activity[Classification])=1,Term1_Day_3[[#This Row],[Elapsed]],0))</f>
        <v/>
      </c>
      <c r="U26" s="106" t="str">
        <f>IF(ISBLANK(Term1_Day_3[[#This Row],[Activity]]),"",IF(_xlfn.XLOOKUP(Term1_Day_3[[#This Row],[Activity]],Types_of_Activity[Type of Activity],Types_of_Activity[Classification])=2,Term1_Day_3[[#This Row],[Elapsed]],0))</f>
        <v/>
      </c>
      <c r="W26" s="136"/>
      <c r="X26" s="136"/>
      <c r="Y26" s="103"/>
      <c r="Z26" s="106" t="str">
        <f>IF(OR(ISBLANK(Term1_Day_4[[#This Row],[Start]]),ISBLANK(Term1_Day_4[[#This Row],[End]])),"",(Term1_Day_4[[#This Row],[End]]-Term1_Day_4[[#This Row],[Start]])*1440)</f>
        <v/>
      </c>
      <c r="AA26" s="106" t="str">
        <f>IF(ISBLANK(Term1_Day_4[[#This Row],[Activity]]),"",IF(_xlfn.XLOOKUP(Term1_Day_4[[#This Row],[Activity]],Types_of_Activity[Type of Activity],Types_of_Activity[Classification])=1,Term1_Day_4[[#This Row],[Elapsed]],0))</f>
        <v/>
      </c>
      <c r="AB26" s="106" t="str">
        <f>IF(ISBLANK(Term1_Day_4[[#This Row],[Activity]]),"",IF(_xlfn.XLOOKUP(Term1_Day_4[[#This Row],[Activity]],Types_of_Activity[Type of Activity],Types_of_Activity[Classification])=2,Term1_Day_4[[#This Row],[Elapsed]],0))</f>
        <v/>
      </c>
      <c r="AD26" s="136"/>
      <c r="AE26" s="136"/>
      <c r="AF26" s="103"/>
      <c r="AG26" s="106" t="str">
        <f>IF(OR(ISBLANK(Term1_Day_5[[#This Row],[Start]]),ISBLANK(Term1_Day_5[[#This Row],[End]])),"",(Term1_Day_5[[#This Row],[End]]-Term1_Day_5[[#This Row],[Start]])*1440)</f>
        <v/>
      </c>
      <c r="AH26" s="106" t="str">
        <f>IF(ISBLANK(Term1_Day_5[[#This Row],[Activity]]),"",IF(_xlfn.XLOOKUP(Term1_Day_5[[#This Row],[Activity]],Types_of_Activity[Type of Activity],Types_of_Activity[Classification])=1,Term1_Day_5[[#This Row],[Elapsed]],0))</f>
        <v/>
      </c>
      <c r="AI26" s="106" t="str">
        <f>IF(ISBLANK(Term1_Day_5[[#This Row],[Activity]]),"",IF(_xlfn.XLOOKUP(Term1_Day_5[[#This Row],[Activity]],Types_of_Activity[Type of Activity],Types_of_Activity[Classification])=2,Term1_Day_5[[#This Row],[Elapsed]],0))</f>
        <v/>
      </c>
      <c r="AJ26" s="107"/>
      <c r="AK26" s="136"/>
      <c r="AL26" s="136"/>
      <c r="AM26" s="103"/>
      <c r="AN26" s="106" t="str">
        <f>IF(OR(ISBLANK(Term1_Day_6[[#This Row],[Start]]),ISBLANK(Term1_Day_6[[#This Row],[End]])),"",(Term1_Day_6[[#This Row],[End]]-Term1_Day_6[[#This Row],[Start]])*1440)</f>
        <v/>
      </c>
      <c r="AO26" s="106" t="str">
        <f>IF(ISBLANK(Term1_Day_6[[#This Row],[Activity]]),"",IF(_xlfn.XLOOKUP(Term1_Day_6[[#This Row],[Activity]],Types_of_Activity[Type of Activity],Types_of_Activity[Classification])=1,Term1_Day_6[[#This Row],[Elapsed]],0))</f>
        <v/>
      </c>
      <c r="AP26" s="106" t="str">
        <f>IF(ISBLANK(Term1_Day_6[[#This Row],[Activity]]),"",IF(_xlfn.XLOOKUP(Term1_Day_6[[#This Row],[Activity]],Types_of_Activity[Type of Activity],Types_of_Activity[Classification])=2,Term1_Day_6[[#This Row],[Elapsed]],0))</f>
        <v/>
      </c>
      <c r="AQ26" s="107"/>
      <c r="AR26" s="136"/>
      <c r="AS26" s="136"/>
      <c r="AT26" s="103"/>
      <c r="AU26" s="106" t="str">
        <f>IF(OR(ISBLANK(Term1_Day_7[[#This Row],[Start]]),ISBLANK(Term1_Day_7[[#This Row],[End]])),"",(Term1_Day_7[[#This Row],[End]]-Term1_Day_7[[#This Row],[Start]])*1440)</f>
        <v/>
      </c>
      <c r="AV26" s="106" t="str">
        <f>IF(ISBLANK(Term1_Day_7[[#This Row],[Activity]]),"",IF(_xlfn.XLOOKUP(Term1_Day_7[[#This Row],[Activity]],Types_of_Activity[Type of Activity],Types_of_Activity[Classification])=1,Term1_Day_7[[#This Row],[Elapsed]],0))</f>
        <v/>
      </c>
      <c r="AW26" s="106" t="str">
        <f>IF(ISBLANK(Term1_Day_7[[#This Row],[Activity]]),"",IF(_xlfn.XLOOKUP(Term1_Day_7[[#This Row],[Activity]],Types_of_Activity[Type of Activity],Types_of_Activity[Classification])=2,Term1_Day_7[[#This Row],[Elapsed]],0))</f>
        <v/>
      </c>
      <c r="AX26" s="107"/>
      <c r="AY26" s="136"/>
      <c r="AZ26" s="136"/>
      <c r="BA26" s="103"/>
      <c r="BB26" s="106" t="str">
        <f>IF(OR(ISBLANK(Term1_Day_8[[#This Row],[Start]]),ISBLANK(Term1_Day_8[[#This Row],[End]])),"",(Term1_Day_8[[#This Row],[End]]-Term1_Day_8[[#This Row],[Start]])*1440)</f>
        <v/>
      </c>
      <c r="BC26" s="106" t="str">
        <f>IF(ISBLANK(Term1_Day_8[[#This Row],[Activity]]),"",IF(_xlfn.XLOOKUP(Term1_Day_8[[#This Row],[Activity]],Types_of_Activity[Type of Activity],Types_of_Activity[Classification])=1,Term1_Day_8[[#This Row],[Elapsed]],0))</f>
        <v/>
      </c>
      <c r="BD26" s="106" t="str">
        <f>IF(ISBLANK(Term1_Day_8[[#This Row],[Activity]]),"",IF(_xlfn.XLOOKUP(Term1_Day_8[[#This Row],[Activity]],Types_of_Activity[Type of Activity],Types_of_Activity[Classification])=2,Term1_Day_8[[#This Row],[Elapsed]],0))</f>
        <v/>
      </c>
      <c r="BE26" s="107"/>
      <c r="BF26" s="136"/>
      <c r="BG26" s="136"/>
      <c r="BH26" s="103"/>
      <c r="BI26" s="106" t="str">
        <f>IF(OR(ISBLANK(Term1_Day_9[[#This Row],[Start]]),ISBLANK(Term1_Day_9[[#This Row],[End]])),"",(Term1_Day_9[[#This Row],[End]]-Term1_Day_9[[#This Row],[Start]])*1440)</f>
        <v/>
      </c>
      <c r="BJ26" s="106" t="str">
        <f>IF(ISBLANK(Term1_Day_9[[#This Row],[Activity]]),"",IF(_xlfn.XLOOKUP(Term1_Day_9[[#This Row],[Activity]],Types_of_Activity[Type of Activity],Types_of_Activity[Classification])=1,Term1_Day_9[[#This Row],[Elapsed]],0))</f>
        <v/>
      </c>
      <c r="BK26" s="106" t="str">
        <f>IF(ISBLANK(Term1_Day_9[[#This Row],[Activity]]),"",IF(_xlfn.XLOOKUP(Term1_Day_9[[#This Row],[Activity]],Types_of_Activity[Type of Activity],Types_of_Activity[Classification])=2,Term1_Day_9[[#This Row],[Elapsed]],0))</f>
        <v/>
      </c>
      <c r="BL26" s="107"/>
      <c r="BM26" s="136"/>
      <c r="BN26" s="136"/>
      <c r="BO26" s="103"/>
      <c r="BP26" s="106" t="str">
        <f>IF(OR(ISBLANK(Term1_Day_10[[#This Row],[Start]]),ISBLANK(Term1_Day_10[[#This Row],[End]])),"",(Term1_Day_10[[#This Row],[End]]-Term1_Day_10[[#This Row],[Start]])*1440)</f>
        <v/>
      </c>
      <c r="BQ26" s="106" t="str">
        <f>IF(ISBLANK(Term1_Day_10[[#This Row],[Activity]]),"",IF(_xlfn.XLOOKUP(Term1_Day_10[[#This Row],[Activity]],Types_of_Activity[Type of Activity],Types_of_Activity[Classification])=1,Term1_Day_10[[#This Row],[Elapsed]],0))</f>
        <v/>
      </c>
      <c r="BR26" s="106" t="str">
        <f>IF(ISBLANK(Term1_Day_10[[#This Row],[Activity]]),"",IF(_xlfn.XLOOKUP(Term1_Day_10[[#This Row],[Activity]],Types_of_Activity[Type of Activity],Types_of_Activity[Classification])=2,Term1_Day_10[[#This Row],[Elapsed]],0))</f>
        <v/>
      </c>
      <c r="BS26" s="107"/>
    </row>
    <row r="27" spans="2:71" x14ac:dyDescent="0.3">
      <c r="B27" s="136"/>
      <c r="C27" s="136"/>
      <c r="D27" s="103"/>
      <c r="E27" s="106" t="str">
        <f>IF(OR(ISBLANK(Term1_Day_1[[#This Row],[Start]]),ISBLANK(Term1_Day_1[[#This Row],[End]])),"",(Term1_Day_1[[#This Row],[End]]-Term1_Day_1[[#This Row],[Start]])*1440)</f>
        <v/>
      </c>
      <c r="F27" s="106" t="str">
        <f>IF(ISBLANK(Term1_Day_1[[#This Row],[Activity]]),"",IF(_xlfn.XLOOKUP(Term1_Day_1[[#This Row],[Activity]],Types_of_Activity[Type of Activity],Types_of_Activity[Classification])=1,Term1_Day_1[[#This Row],[Elapsed]],0))</f>
        <v/>
      </c>
      <c r="G27" s="106" t="str">
        <f>IF(ISBLANK(Term1_Day_1[[#This Row],[Activity]]),"",IF(_xlfn.XLOOKUP(Term1_Day_1[[#This Row],[Activity]],Types_of_Activity[Type of Activity],Types_of_Activity[Classification])=2,Term1_Day_1[[#This Row],[Elapsed]],0))</f>
        <v/>
      </c>
      <c r="I27" s="136"/>
      <c r="J27" s="136"/>
      <c r="K27" s="103"/>
      <c r="L27" s="106" t="str">
        <f>IF(OR(ISBLANK(Term1_Day_2[[#This Row],[Start]]),ISBLANK(Term1_Day_2[[#This Row],[End]])),"",(Term1_Day_2[[#This Row],[End]]-Term1_Day_2[[#This Row],[Start]])*1440)</f>
        <v/>
      </c>
      <c r="M27" s="106" t="str">
        <f>IF(ISBLANK(Term1_Day_2[[#This Row],[Activity]]),"",IF(_xlfn.XLOOKUP(Term1_Day_2[[#This Row],[Activity]],Types_of_Activity[Type of Activity],Types_of_Activity[Classification])=1,Term1_Day_2[[#This Row],[Elapsed]],0))</f>
        <v/>
      </c>
      <c r="N27" s="106" t="str">
        <f>IF(ISBLANK(Term1_Day_2[[#This Row],[Activity]]),"",IF(_xlfn.XLOOKUP(Term1_Day_2[[#This Row],[Activity]],Types_of_Activity[Type of Activity],Types_of_Activity[Classification])=2,Term1_Day_2[[#This Row],[Elapsed]],0))</f>
        <v/>
      </c>
      <c r="P27" s="136"/>
      <c r="Q27" s="136"/>
      <c r="R27" s="103"/>
      <c r="S27" s="106" t="str">
        <f>IF(OR(ISBLANK(Term1_Day_3[[#This Row],[Start]]),ISBLANK(Term1_Day_3[[#This Row],[End]])),"",(Term1_Day_3[[#This Row],[End]]-Term1_Day_3[[#This Row],[Start]])*1440)</f>
        <v/>
      </c>
      <c r="T27" s="106" t="str">
        <f>IF(ISBLANK(Term1_Day_3[[#This Row],[Activity]]),"",IF(_xlfn.XLOOKUP(Term1_Day_3[[#This Row],[Activity]],Types_of_Activity[Type of Activity],Types_of_Activity[Classification])=1,Term1_Day_3[[#This Row],[Elapsed]],0))</f>
        <v/>
      </c>
      <c r="U27" s="106" t="str">
        <f>IF(ISBLANK(Term1_Day_3[[#This Row],[Activity]]),"",IF(_xlfn.XLOOKUP(Term1_Day_3[[#This Row],[Activity]],Types_of_Activity[Type of Activity],Types_of_Activity[Classification])=2,Term1_Day_3[[#This Row],[Elapsed]],0))</f>
        <v/>
      </c>
      <c r="W27" s="136"/>
      <c r="X27" s="136"/>
      <c r="Y27" s="103"/>
      <c r="Z27" s="106" t="str">
        <f>IF(OR(ISBLANK(Term1_Day_4[[#This Row],[Start]]),ISBLANK(Term1_Day_4[[#This Row],[End]])),"",(Term1_Day_4[[#This Row],[End]]-Term1_Day_4[[#This Row],[Start]])*1440)</f>
        <v/>
      </c>
      <c r="AA27" s="106" t="str">
        <f>IF(ISBLANK(Term1_Day_4[[#This Row],[Activity]]),"",IF(_xlfn.XLOOKUP(Term1_Day_4[[#This Row],[Activity]],Types_of_Activity[Type of Activity],Types_of_Activity[Classification])=1,Term1_Day_4[[#This Row],[Elapsed]],0))</f>
        <v/>
      </c>
      <c r="AB27" s="106" t="str">
        <f>IF(ISBLANK(Term1_Day_4[[#This Row],[Activity]]),"",IF(_xlfn.XLOOKUP(Term1_Day_4[[#This Row],[Activity]],Types_of_Activity[Type of Activity],Types_of_Activity[Classification])=2,Term1_Day_4[[#This Row],[Elapsed]],0))</f>
        <v/>
      </c>
      <c r="AD27" s="136"/>
      <c r="AE27" s="136"/>
      <c r="AF27" s="103"/>
      <c r="AG27" s="106" t="str">
        <f>IF(OR(ISBLANK(Term1_Day_5[[#This Row],[Start]]),ISBLANK(Term1_Day_5[[#This Row],[End]])),"",(Term1_Day_5[[#This Row],[End]]-Term1_Day_5[[#This Row],[Start]])*1440)</f>
        <v/>
      </c>
      <c r="AH27" s="106" t="str">
        <f>IF(ISBLANK(Term1_Day_5[[#This Row],[Activity]]),"",IF(_xlfn.XLOOKUP(Term1_Day_5[[#This Row],[Activity]],Types_of_Activity[Type of Activity],Types_of_Activity[Classification])=1,Term1_Day_5[[#This Row],[Elapsed]],0))</f>
        <v/>
      </c>
      <c r="AI27" s="106" t="str">
        <f>IF(ISBLANK(Term1_Day_5[[#This Row],[Activity]]),"",IF(_xlfn.XLOOKUP(Term1_Day_5[[#This Row],[Activity]],Types_of_Activity[Type of Activity],Types_of_Activity[Classification])=2,Term1_Day_5[[#This Row],[Elapsed]],0))</f>
        <v/>
      </c>
      <c r="AJ27" s="107"/>
      <c r="AK27" s="136"/>
      <c r="AL27" s="136"/>
      <c r="AM27" s="103"/>
      <c r="AN27" s="106" t="str">
        <f>IF(OR(ISBLANK(Term1_Day_6[[#This Row],[Start]]),ISBLANK(Term1_Day_6[[#This Row],[End]])),"",(Term1_Day_6[[#This Row],[End]]-Term1_Day_6[[#This Row],[Start]])*1440)</f>
        <v/>
      </c>
      <c r="AO27" s="106" t="str">
        <f>IF(ISBLANK(Term1_Day_6[[#This Row],[Activity]]),"",IF(_xlfn.XLOOKUP(Term1_Day_6[[#This Row],[Activity]],Types_of_Activity[Type of Activity],Types_of_Activity[Classification])=1,Term1_Day_6[[#This Row],[Elapsed]],0))</f>
        <v/>
      </c>
      <c r="AP27" s="106" t="str">
        <f>IF(ISBLANK(Term1_Day_6[[#This Row],[Activity]]),"",IF(_xlfn.XLOOKUP(Term1_Day_6[[#This Row],[Activity]],Types_of_Activity[Type of Activity],Types_of_Activity[Classification])=2,Term1_Day_6[[#This Row],[Elapsed]],0))</f>
        <v/>
      </c>
      <c r="AQ27" s="107"/>
      <c r="AR27" s="136"/>
      <c r="AS27" s="136"/>
      <c r="AT27" s="103"/>
      <c r="AU27" s="106" t="str">
        <f>IF(OR(ISBLANK(Term1_Day_7[[#This Row],[Start]]),ISBLANK(Term1_Day_7[[#This Row],[End]])),"",(Term1_Day_7[[#This Row],[End]]-Term1_Day_7[[#This Row],[Start]])*1440)</f>
        <v/>
      </c>
      <c r="AV27" s="106" t="str">
        <f>IF(ISBLANK(Term1_Day_7[[#This Row],[Activity]]),"",IF(_xlfn.XLOOKUP(Term1_Day_7[[#This Row],[Activity]],Types_of_Activity[Type of Activity],Types_of_Activity[Classification])=1,Term1_Day_7[[#This Row],[Elapsed]],0))</f>
        <v/>
      </c>
      <c r="AW27" s="106" t="str">
        <f>IF(ISBLANK(Term1_Day_7[[#This Row],[Activity]]),"",IF(_xlfn.XLOOKUP(Term1_Day_7[[#This Row],[Activity]],Types_of_Activity[Type of Activity],Types_of_Activity[Classification])=2,Term1_Day_7[[#This Row],[Elapsed]],0))</f>
        <v/>
      </c>
      <c r="AX27" s="107"/>
      <c r="AY27" s="136"/>
      <c r="AZ27" s="136"/>
      <c r="BA27" s="103"/>
      <c r="BB27" s="106" t="str">
        <f>IF(OR(ISBLANK(Term1_Day_8[[#This Row],[Start]]),ISBLANK(Term1_Day_8[[#This Row],[End]])),"",(Term1_Day_8[[#This Row],[End]]-Term1_Day_8[[#This Row],[Start]])*1440)</f>
        <v/>
      </c>
      <c r="BC27" s="106" t="str">
        <f>IF(ISBLANK(Term1_Day_8[[#This Row],[Activity]]),"",IF(_xlfn.XLOOKUP(Term1_Day_8[[#This Row],[Activity]],Types_of_Activity[Type of Activity],Types_of_Activity[Classification])=1,Term1_Day_8[[#This Row],[Elapsed]],0))</f>
        <v/>
      </c>
      <c r="BD27" s="106" t="str">
        <f>IF(ISBLANK(Term1_Day_8[[#This Row],[Activity]]),"",IF(_xlfn.XLOOKUP(Term1_Day_8[[#This Row],[Activity]],Types_of_Activity[Type of Activity],Types_of_Activity[Classification])=2,Term1_Day_8[[#This Row],[Elapsed]],0))</f>
        <v/>
      </c>
      <c r="BE27" s="107"/>
      <c r="BF27" s="136"/>
      <c r="BG27" s="136"/>
      <c r="BH27" s="103"/>
      <c r="BI27" s="106" t="str">
        <f>IF(OR(ISBLANK(Term1_Day_9[[#This Row],[Start]]),ISBLANK(Term1_Day_9[[#This Row],[End]])),"",(Term1_Day_9[[#This Row],[End]]-Term1_Day_9[[#This Row],[Start]])*1440)</f>
        <v/>
      </c>
      <c r="BJ27" s="106" t="str">
        <f>IF(ISBLANK(Term1_Day_9[[#This Row],[Activity]]),"",IF(_xlfn.XLOOKUP(Term1_Day_9[[#This Row],[Activity]],Types_of_Activity[Type of Activity],Types_of_Activity[Classification])=1,Term1_Day_9[[#This Row],[Elapsed]],0))</f>
        <v/>
      </c>
      <c r="BK27" s="106" t="str">
        <f>IF(ISBLANK(Term1_Day_9[[#This Row],[Activity]]),"",IF(_xlfn.XLOOKUP(Term1_Day_9[[#This Row],[Activity]],Types_of_Activity[Type of Activity],Types_of_Activity[Classification])=2,Term1_Day_9[[#This Row],[Elapsed]],0))</f>
        <v/>
      </c>
      <c r="BL27" s="107"/>
      <c r="BM27" s="136"/>
      <c r="BN27" s="136"/>
      <c r="BO27" s="103"/>
      <c r="BP27" s="106" t="str">
        <f>IF(OR(ISBLANK(Term1_Day_10[[#This Row],[Start]]),ISBLANK(Term1_Day_10[[#This Row],[End]])),"",(Term1_Day_10[[#This Row],[End]]-Term1_Day_10[[#This Row],[Start]])*1440)</f>
        <v/>
      </c>
      <c r="BQ27" s="106" t="str">
        <f>IF(ISBLANK(Term1_Day_10[[#This Row],[Activity]]),"",IF(_xlfn.XLOOKUP(Term1_Day_10[[#This Row],[Activity]],Types_of_Activity[Type of Activity],Types_of_Activity[Classification])=1,Term1_Day_10[[#This Row],[Elapsed]],0))</f>
        <v/>
      </c>
      <c r="BR27" s="106" t="str">
        <f>IF(ISBLANK(Term1_Day_10[[#This Row],[Activity]]),"",IF(_xlfn.XLOOKUP(Term1_Day_10[[#This Row],[Activity]],Types_of_Activity[Type of Activity],Types_of_Activity[Classification])=2,Term1_Day_10[[#This Row],[Elapsed]],0))</f>
        <v/>
      </c>
      <c r="BS27" s="107"/>
    </row>
    <row r="28" spans="2:71" x14ac:dyDescent="0.3">
      <c r="B28" s="136"/>
      <c r="C28" s="136"/>
      <c r="D28" s="103"/>
      <c r="E28" s="106" t="str">
        <f>IF(OR(ISBLANK(Term1_Day_1[[#This Row],[Start]]),ISBLANK(Term1_Day_1[[#This Row],[End]])),"",(Term1_Day_1[[#This Row],[End]]-Term1_Day_1[[#This Row],[Start]])*1440)</f>
        <v/>
      </c>
      <c r="F28" s="106" t="str">
        <f>IF(ISBLANK(Term1_Day_1[[#This Row],[Activity]]),"",IF(_xlfn.XLOOKUP(Term1_Day_1[[#This Row],[Activity]],Types_of_Activity[Type of Activity],Types_of_Activity[Classification])=1,Term1_Day_1[[#This Row],[Elapsed]],0))</f>
        <v/>
      </c>
      <c r="G28" s="106" t="str">
        <f>IF(ISBLANK(Term1_Day_1[[#This Row],[Activity]]),"",IF(_xlfn.XLOOKUP(Term1_Day_1[[#This Row],[Activity]],Types_of_Activity[Type of Activity],Types_of_Activity[Classification])=2,Term1_Day_1[[#This Row],[Elapsed]],0))</f>
        <v/>
      </c>
      <c r="I28" s="136"/>
      <c r="J28" s="136"/>
      <c r="K28" s="103"/>
      <c r="L28" s="106" t="str">
        <f>IF(OR(ISBLANK(Term1_Day_2[[#This Row],[Start]]),ISBLANK(Term1_Day_2[[#This Row],[End]])),"",(Term1_Day_2[[#This Row],[End]]-Term1_Day_2[[#This Row],[Start]])*1440)</f>
        <v/>
      </c>
      <c r="M28" s="106" t="str">
        <f>IF(ISBLANK(Term1_Day_2[[#This Row],[Activity]]),"",IF(_xlfn.XLOOKUP(Term1_Day_2[[#This Row],[Activity]],Types_of_Activity[Type of Activity],Types_of_Activity[Classification])=1,Term1_Day_2[[#This Row],[Elapsed]],0))</f>
        <v/>
      </c>
      <c r="N28" s="106" t="str">
        <f>IF(ISBLANK(Term1_Day_2[[#This Row],[Activity]]),"",IF(_xlfn.XLOOKUP(Term1_Day_2[[#This Row],[Activity]],Types_of_Activity[Type of Activity],Types_of_Activity[Classification])=2,Term1_Day_2[[#This Row],[Elapsed]],0))</f>
        <v/>
      </c>
      <c r="P28" s="136"/>
      <c r="Q28" s="136"/>
      <c r="R28" s="103"/>
      <c r="S28" s="106" t="str">
        <f>IF(OR(ISBLANK(Term1_Day_3[[#This Row],[Start]]),ISBLANK(Term1_Day_3[[#This Row],[End]])),"",(Term1_Day_3[[#This Row],[End]]-Term1_Day_3[[#This Row],[Start]])*1440)</f>
        <v/>
      </c>
      <c r="T28" s="106" t="str">
        <f>IF(ISBLANK(Term1_Day_3[[#This Row],[Activity]]),"",IF(_xlfn.XLOOKUP(Term1_Day_3[[#This Row],[Activity]],Types_of_Activity[Type of Activity],Types_of_Activity[Classification])=1,Term1_Day_3[[#This Row],[Elapsed]],0))</f>
        <v/>
      </c>
      <c r="U28" s="106" t="str">
        <f>IF(ISBLANK(Term1_Day_3[[#This Row],[Activity]]),"",IF(_xlfn.XLOOKUP(Term1_Day_3[[#This Row],[Activity]],Types_of_Activity[Type of Activity],Types_of_Activity[Classification])=2,Term1_Day_3[[#This Row],[Elapsed]],0))</f>
        <v/>
      </c>
      <c r="W28" s="136"/>
      <c r="X28" s="136"/>
      <c r="Y28" s="103"/>
      <c r="Z28" s="106" t="str">
        <f>IF(OR(ISBLANK(Term1_Day_4[[#This Row],[Start]]),ISBLANK(Term1_Day_4[[#This Row],[End]])),"",(Term1_Day_4[[#This Row],[End]]-Term1_Day_4[[#This Row],[Start]])*1440)</f>
        <v/>
      </c>
      <c r="AA28" s="106" t="str">
        <f>IF(ISBLANK(Term1_Day_4[[#This Row],[Activity]]),"",IF(_xlfn.XLOOKUP(Term1_Day_4[[#This Row],[Activity]],Types_of_Activity[Type of Activity],Types_of_Activity[Classification])=1,Term1_Day_4[[#This Row],[Elapsed]],0))</f>
        <v/>
      </c>
      <c r="AB28" s="106" t="str">
        <f>IF(ISBLANK(Term1_Day_4[[#This Row],[Activity]]),"",IF(_xlfn.XLOOKUP(Term1_Day_4[[#This Row],[Activity]],Types_of_Activity[Type of Activity],Types_of_Activity[Classification])=2,Term1_Day_4[[#This Row],[Elapsed]],0))</f>
        <v/>
      </c>
      <c r="AD28" s="136"/>
      <c r="AE28" s="136"/>
      <c r="AF28" s="103"/>
      <c r="AG28" s="106" t="str">
        <f>IF(OR(ISBLANK(Term1_Day_5[[#This Row],[Start]]),ISBLANK(Term1_Day_5[[#This Row],[End]])),"",(Term1_Day_5[[#This Row],[End]]-Term1_Day_5[[#This Row],[Start]])*1440)</f>
        <v/>
      </c>
      <c r="AH28" s="106" t="str">
        <f>IF(ISBLANK(Term1_Day_5[[#This Row],[Activity]]),"",IF(_xlfn.XLOOKUP(Term1_Day_5[[#This Row],[Activity]],Types_of_Activity[Type of Activity],Types_of_Activity[Classification])=1,Term1_Day_5[[#This Row],[Elapsed]],0))</f>
        <v/>
      </c>
      <c r="AI28" s="106" t="str">
        <f>IF(ISBLANK(Term1_Day_5[[#This Row],[Activity]]),"",IF(_xlfn.XLOOKUP(Term1_Day_5[[#This Row],[Activity]],Types_of_Activity[Type of Activity],Types_of_Activity[Classification])=2,Term1_Day_5[[#This Row],[Elapsed]],0))</f>
        <v/>
      </c>
      <c r="AJ28" s="107"/>
      <c r="AK28" s="136"/>
      <c r="AL28" s="136"/>
      <c r="AM28" s="103"/>
      <c r="AN28" s="106" t="str">
        <f>IF(OR(ISBLANK(Term1_Day_6[[#This Row],[Start]]),ISBLANK(Term1_Day_6[[#This Row],[End]])),"",(Term1_Day_6[[#This Row],[End]]-Term1_Day_6[[#This Row],[Start]])*1440)</f>
        <v/>
      </c>
      <c r="AO28" s="106" t="str">
        <f>IF(ISBLANK(Term1_Day_6[[#This Row],[Activity]]),"",IF(_xlfn.XLOOKUP(Term1_Day_6[[#This Row],[Activity]],Types_of_Activity[Type of Activity],Types_of_Activity[Classification])=1,Term1_Day_6[[#This Row],[Elapsed]],0))</f>
        <v/>
      </c>
      <c r="AP28" s="106" t="str">
        <f>IF(ISBLANK(Term1_Day_6[[#This Row],[Activity]]),"",IF(_xlfn.XLOOKUP(Term1_Day_6[[#This Row],[Activity]],Types_of_Activity[Type of Activity],Types_of_Activity[Classification])=2,Term1_Day_6[[#This Row],[Elapsed]],0))</f>
        <v/>
      </c>
      <c r="AQ28" s="107"/>
      <c r="AR28" s="136"/>
      <c r="AS28" s="136"/>
      <c r="AT28" s="103"/>
      <c r="AU28" s="106" t="str">
        <f>IF(OR(ISBLANK(Term1_Day_7[[#This Row],[Start]]),ISBLANK(Term1_Day_7[[#This Row],[End]])),"",(Term1_Day_7[[#This Row],[End]]-Term1_Day_7[[#This Row],[Start]])*1440)</f>
        <v/>
      </c>
      <c r="AV28" s="106" t="str">
        <f>IF(ISBLANK(Term1_Day_7[[#This Row],[Activity]]),"",IF(_xlfn.XLOOKUP(Term1_Day_7[[#This Row],[Activity]],Types_of_Activity[Type of Activity],Types_of_Activity[Classification])=1,Term1_Day_7[[#This Row],[Elapsed]],0))</f>
        <v/>
      </c>
      <c r="AW28" s="106" t="str">
        <f>IF(ISBLANK(Term1_Day_7[[#This Row],[Activity]]),"",IF(_xlfn.XLOOKUP(Term1_Day_7[[#This Row],[Activity]],Types_of_Activity[Type of Activity],Types_of_Activity[Classification])=2,Term1_Day_7[[#This Row],[Elapsed]],0))</f>
        <v/>
      </c>
      <c r="AX28" s="107"/>
      <c r="AY28" s="136"/>
      <c r="AZ28" s="136"/>
      <c r="BA28" s="103"/>
      <c r="BB28" s="106" t="str">
        <f>IF(OR(ISBLANK(Term1_Day_8[[#This Row],[Start]]),ISBLANK(Term1_Day_8[[#This Row],[End]])),"",(Term1_Day_8[[#This Row],[End]]-Term1_Day_8[[#This Row],[Start]])*1440)</f>
        <v/>
      </c>
      <c r="BC28" s="106" t="str">
        <f>IF(ISBLANK(Term1_Day_8[[#This Row],[Activity]]),"",IF(_xlfn.XLOOKUP(Term1_Day_8[[#This Row],[Activity]],Types_of_Activity[Type of Activity],Types_of_Activity[Classification])=1,Term1_Day_8[[#This Row],[Elapsed]],0))</f>
        <v/>
      </c>
      <c r="BD28" s="106" t="str">
        <f>IF(ISBLANK(Term1_Day_8[[#This Row],[Activity]]),"",IF(_xlfn.XLOOKUP(Term1_Day_8[[#This Row],[Activity]],Types_of_Activity[Type of Activity],Types_of_Activity[Classification])=2,Term1_Day_8[[#This Row],[Elapsed]],0))</f>
        <v/>
      </c>
      <c r="BE28" s="107"/>
      <c r="BF28" s="136"/>
      <c r="BG28" s="136"/>
      <c r="BH28" s="103"/>
      <c r="BI28" s="106" t="str">
        <f>IF(OR(ISBLANK(Term1_Day_9[[#This Row],[Start]]),ISBLANK(Term1_Day_9[[#This Row],[End]])),"",(Term1_Day_9[[#This Row],[End]]-Term1_Day_9[[#This Row],[Start]])*1440)</f>
        <v/>
      </c>
      <c r="BJ28" s="106" t="str">
        <f>IF(ISBLANK(Term1_Day_9[[#This Row],[Activity]]),"",IF(_xlfn.XLOOKUP(Term1_Day_9[[#This Row],[Activity]],Types_of_Activity[Type of Activity],Types_of_Activity[Classification])=1,Term1_Day_9[[#This Row],[Elapsed]],0))</f>
        <v/>
      </c>
      <c r="BK28" s="106" t="str">
        <f>IF(ISBLANK(Term1_Day_9[[#This Row],[Activity]]),"",IF(_xlfn.XLOOKUP(Term1_Day_9[[#This Row],[Activity]],Types_of_Activity[Type of Activity],Types_of_Activity[Classification])=2,Term1_Day_9[[#This Row],[Elapsed]],0))</f>
        <v/>
      </c>
      <c r="BL28" s="107"/>
      <c r="BM28" s="136"/>
      <c r="BN28" s="136"/>
      <c r="BO28" s="103"/>
      <c r="BP28" s="106" t="str">
        <f>IF(OR(ISBLANK(Term1_Day_10[[#This Row],[Start]]),ISBLANK(Term1_Day_10[[#This Row],[End]])),"",(Term1_Day_10[[#This Row],[End]]-Term1_Day_10[[#This Row],[Start]])*1440)</f>
        <v/>
      </c>
      <c r="BQ28" s="106" t="str">
        <f>IF(ISBLANK(Term1_Day_10[[#This Row],[Activity]]),"",IF(_xlfn.XLOOKUP(Term1_Day_10[[#This Row],[Activity]],Types_of_Activity[Type of Activity],Types_of_Activity[Classification])=1,Term1_Day_10[[#This Row],[Elapsed]],0))</f>
        <v/>
      </c>
      <c r="BR28" s="106" t="str">
        <f>IF(ISBLANK(Term1_Day_10[[#This Row],[Activity]]),"",IF(_xlfn.XLOOKUP(Term1_Day_10[[#This Row],[Activity]],Types_of_Activity[Type of Activity],Types_of_Activity[Classification])=2,Term1_Day_10[[#This Row],[Elapsed]],0))</f>
        <v/>
      </c>
      <c r="BS28" s="107"/>
    </row>
    <row r="29" spans="2:71" x14ac:dyDescent="0.3">
      <c r="B29" s="136"/>
      <c r="C29" s="136"/>
      <c r="D29" s="103"/>
      <c r="E29" s="106" t="str">
        <f>IF(OR(ISBLANK(Term1_Day_1[[#This Row],[Start]]),ISBLANK(Term1_Day_1[[#This Row],[End]])),"",(Term1_Day_1[[#This Row],[End]]-Term1_Day_1[[#This Row],[Start]])*1440)</f>
        <v/>
      </c>
      <c r="F29" s="106" t="str">
        <f>IF(ISBLANK(Term1_Day_1[[#This Row],[Activity]]),"",IF(_xlfn.XLOOKUP(Term1_Day_1[[#This Row],[Activity]],Types_of_Activity[Type of Activity],Types_of_Activity[Classification])=1,Term1_Day_1[[#This Row],[Elapsed]],0))</f>
        <v/>
      </c>
      <c r="G29" s="106" t="str">
        <f>IF(ISBLANK(Term1_Day_1[[#This Row],[Activity]]),"",IF(_xlfn.XLOOKUP(Term1_Day_1[[#This Row],[Activity]],Types_of_Activity[Type of Activity],Types_of_Activity[Classification])=2,Term1_Day_1[[#This Row],[Elapsed]],0))</f>
        <v/>
      </c>
      <c r="I29" s="136"/>
      <c r="J29" s="136"/>
      <c r="K29" s="103"/>
      <c r="L29" s="106" t="str">
        <f>IF(OR(ISBLANK(Term1_Day_2[[#This Row],[Start]]),ISBLANK(Term1_Day_2[[#This Row],[End]])),"",(Term1_Day_2[[#This Row],[End]]-Term1_Day_2[[#This Row],[Start]])*1440)</f>
        <v/>
      </c>
      <c r="M29" s="106" t="str">
        <f>IF(ISBLANK(Term1_Day_2[[#This Row],[Activity]]),"",IF(_xlfn.XLOOKUP(Term1_Day_2[[#This Row],[Activity]],Types_of_Activity[Type of Activity],Types_of_Activity[Classification])=1,Term1_Day_2[[#This Row],[Elapsed]],0))</f>
        <v/>
      </c>
      <c r="N29" s="106" t="str">
        <f>IF(ISBLANK(Term1_Day_2[[#This Row],[Activity]]),"",IF(_xlfn.XLOOKUP(Term1_Day_2[[#This Row],[Activity]],Types_of_Activity[Type of Activity],Types_of_Activity[Classification])=2,Term1_Day_2[[#This Row],[Elapsed]],0))</f>
        <v/>
      </c>
      <c r="P29" s="136"/>
      <c r="Q29" s="136"/>
      <c r="R29" s="103"/>
      <c r="S29" s="106" t="str">
        <f>IF(OR(ISBLANK(Term1_Day_3[[#This Row],[Start]]),ISBLANK(Term1_Day_3[[#This Row],[End]])),"",(Term1_Day_3[[#This Row],[End]]-Term1_Day_3[[#This Row],[Start]])*1440)</f>
        <v/>
      </c>
      <c r="T29" s="106" t="str">
        <f>IF(ISBLANK(Term1_Day_3[[#This Row],[Activity]]),"",IF(_xlfn.XLOOKUP(Term1_Day_3[[#This Row],[Activity]],Types_of_Activity[Type of Activity],Types_of_Activity[Classification])=1,Term1_Day_3[[#This Row],[Elapsed]],0))</f>
        <v/>
      </c>
      <c r="U29" s="106" t="str">
        <f>IF(ISBLANK(Term1_Day_3[[#This Row],[Activity]]),"",IF(_xlfn.XLOOKUP(Term1_Day_3[[#This Row],[Activity]],Types_of_Activity[Type of Activity],Types_of_Activity[Classification])=2,Term1_Day_3[[#This Row],[Elapsed]],0))</f>
        <v/>
      </c>
      <c r="W29" s="136"/>
      <c r="X29" s="136"/>
      <c r="Y29" s="103"/>
      <c r="Z29" s="106" t="str">
        <f>IF(OR(ISBLANK(Term1_Day_4[[#This Row],[Start]]),ISBLANK(Term1_Day_4[[#This Row],[End]])),"",(Term1_Day_4[[#This Row],[End]]-Term1_Day_4[[#This Row],[Start]])*1440)</f>
        <v/>
      </c>
      <c r="AA29" s="106" t="str">
        <f>IF(ISBLANK(Term1_Day_4[[#This Row],[Activity]]),"",IF(_xlfn.XLOOKUP(Term1_Day_4[[#This Row],[Activity]],Types_of_Activity[Type of Activity],Types_of_Activity[Classification])=1,Term1_Day_4[[#This Row],[Elapsed]],0))</f>
        <v/>
      </c>
      <c r="AB29" s="106" t="str">
        <f>IF(ISBLANK(Term1_Day_4[[#This Row],[Activity]]),"",IF(_xlfn.XLOOKUP(Term1_Day_4[[#This Row],[Activity]],Types_of_Activity[Type of Activity],Types_of_Activity[Classification])=2,Term1_Day_4[[#This Row],[Elapsed]],0))</f>
        <v/>
      </c>
      <c r="AD29" s="136"/>
      <c r="AE29" s="136"/>
      <c r="AF29" s="103"/>
      <c r="AG29" s="106" t="str">
        <f>IF(OR(ISBLANK(Term1_Day_5[[#This Row],[Start]]),ISBLANK(Term1_Day_5[[#This Row],[End]])),"",(Term1_Day_5[[#This Row],[End]]-Term1_Day_5[[#This Row],[Start]])*1440)</f>
        <v/>
      </c>
      <c r="AH29" s="106" t="str">
        <f>IF(ISBLANK(Term1_Day_5[[#This Row],[Activity]]),"",IF(_xlfn.XLOOKUP(Term1_Day_5[[#This Row],[Activity]],Types_of_Activity[Type of Activity],Types_of_Activity[Classification])=1,Term1_Day_5[[#This Row],[Elapsed]],0))</f>
        <v/>
      </c>
      <c r="AI29" s="106" t="str">
        <f>IF(ISBLANK(Term1_Day_5[[#This Row],[Activity]]),"",IF(_xlfn.XLOOKUP(Term1_Day_5[[#This Row],[Activity]],Types_of_Activity[Type of Activity],Types_of_Activity[Classification])=2,Term1_Day_5[[#This Row],[Elapsed]],0))</f>
        <v/>
      </c>
      <c r="AJ29" s="107"/>
      <c r="AK29" s="136"/>
      <c r="AL29" s="136"/>
      <c r="AM29" s="103"/>
      <c r="AN29" s="106" t="str">
        <f>IF(OR(ISBLANK(Term1_Day_6[[#This Row],[Start]]),ISBLANK(Term1_Day_6[[#This Row],[End]])),"",(Term1_Day_6[[#This Row],[End]]-Term1_Day_6[[#This Row],[Start]])*1440)</f>
        <v/>
      </c>
      <c r="AO29" s="106" t="str">
        <f>IF(ISBLANK(Term1_Day_6[[#This Row],[Activity]]),"",IF(_xlfn.XLOOKUP(Term1_Day_6[[#This Row],[Activity]],Types_of_Activity[Type of Activity],Types_of_Activity[Classification])=1,Term1_Day_6[[#This Row],[Elapsed]],0))</f>
        <v/>
      </c>
      <c r="AP29" s="106" t="str">
        <f>IF(ISBLANK(Term1_Day_6[[#This Row],[Activity]]),"",IF(_xlfn.XLOOKUP(Term1_Day_6[[#This Row],[Activity]],Types_of_Activity[Type of Activity],Types_of_Activity[Classification])=2,Term1_Day_6[[#This Row],[Elapsed]],0))</f>
        <v/>
      </c>
      <c r="AQ29" s="107"/>
      <c r="AR29" s="136"/>
      <c r="AS29" s="136"/>
      <c r="AT29" s="103"/>
      <c r="AU29" s="106" t="str">
        <f>IF(OR(ISBLANK(Term1_Day_7[[#This Row],[Start]]),ISBLANK(Term1_Day_7[[#This Row],[End]])),"",(Term1_Day_7[[#This Row],[End]]-Term1_Day_7[[#This Row],[Start]])*1440)</f>
        <v/>
      </c>
      <c r="AV29" s="106" t="str">
        <f>IF(ISBLANK(Term1_Day_7[[#This Row],[Activity]]),"",IF(_xlfn.XLOOKUP(Term1_Day_7[[#This Row],[Activity]],Types_of_Activity[Type of Activity],Types_of_Activity[Classification])=1,Term1_Day_7[[#This Row],[Elapsed]],0))</f>
        <v/>
      </c>
      <c r="AW29" s="106" t="str">
        <f>IF(ISBLANK(Term1_Day_7[[#This Row],[Activity]]),"",IF(_xlfn.XLOOKUP(Term1_Day_7[[#This Row],[Activity]],Types_of_Activity[Type of Activity],Types_of_Activity[Classification])=2,Term1_Day_7[[#This Row],[Elapsed]],0))</f>
        <v/>
      </c>
      <c r="AX29" s="107"/>
      <c r="AY29" s="136"/>
      <c r="AZ29" s="136"/>
      <c r="BA29" s="103"/>
      <c r="BB29" s="106" t="str">
        <f>IF(OR(ISBLANK(Term1_Day_8[[#This Row],[Start]]),ISBLANK(Term1_Day_8[[#This Row],[End]])),"",(Term1_Day_8[[#This Row],[End]]-Term1_Day_8[[#This Row],[Start]])*1440)</f>
        <v/>
      </c>
      <c r="BC29" s="106" t="str">
        <f>IF(ISBLANK(Term1_Day_8[[#This Row],[Activity]]),"",IF(_xlfn.XLOOKUP(Term1_Day_8[[#This Row],[Activity]],Types_of_Activity[Type of Activity],Types_of_Activity[Classification])=1,Term1_Day_8[[#This Row],[Elapsed]],0))</f>
        <v/>
      </c>
      <c r="BD29" s="106" t="str">
        <f>IF(ISBLANK(Term1_Day_8[[#This Row],[Activity]]),"",IF(_xlfn.XLOOKUP(Term1_Day_8[[#This Row],[Activity]],Types_of_Activity[Type of Activity],Types_of_Activity[Classification])=2,Term1_Day_8[[#This Row],[Elapsed]],0))</f>
        <v/>
      </c>
      <c r="BE29" s="107"/>
      <c r="BF29" s="136"/>
      <c r="BG29" s="136"/>
      <c r="BH29" s="103"/>
      <c r="BI29" s="106" t="str">
        <f>IF(OR(ISBLANK(Term1_Day_9[[#This Row],[Start]]),ISBLANK(Term1_Day_9[[#This Row],[End]])),"",(Term1_Day_9[[#This Row],[End]]-Term1_Day_9[[#This Row],[Start]])*1440)</f>
        <v/>
      </c>
      <c r="BJ29" s="106" t="str">
        <f>IF(ISBLANK(Term1_Day_9[[#This Row],[Activity]]),"",IF(_xlfn.XLOOKUP(Term1_Day_9[[#This Row],[Activity]],Types_of_Activity[Type of Activity],Types_of_Activity[Classification])=1,Term1_Day_9[[#This Row],[Elapsed]],0))</f>
        <v/>
      </c>
      <c r="BK29" s="106" t="str">
        <f>IF(ISBLANK(Term1_Day_9[[#This Row],[Activity]]),"",IF(_xlfn.XLOOKUP(Term1_Day_9[[#This Row],[Activity]],Types_of_Activity[Type of Activity],Types_of_Activity[Classification])=2,Term1_Day_9[[#This Row],[Elapsed]],0))</f>
        <v/>
      </c>
      <c r="BL29" s="107"/>
      <c r="BM29" s="136"/>
      <c r="BN29" s="136"/>
      <c r="BO29" s="103"/>
      <c r="BP29" s="106" t="str">
        <f>IF(OR(ISBLANK(Term1_Day_10[[#This Row],[Start]]),ISBLANK(Term1_Day_10[[#This Row],[End]])),"",(Term1_Day_10[[#This Row],[End]]-Term1_Day_10[[#This Row],[Start]])*1440)</f>
        <v/>
      </c>
      <c r="BQ29" s="106" t="str">
        <f>IF(ISBLANK(Term1_Day_10[[#This Row],[Activity]]),"",IF(_xlfn.XLOOKUP(Term1_Day_10[[#This Row],[Activity]],Types_of_Activity[Type of Activity],Types_of_Activity[Classification])=1,Term1_Day_10[[#This Row],[Elapsed]],0))</f>
        <v/>
      </c>
      <c r="BR29" s="106" t="str">
        <f>IF(ISBLANK(Term1_Day_10[[#This Row],[Activity]]),"",IF(_xlfn.XLOOKUP(Term1_Day_10[[#This Row],[Activity]],Types_of_Activity[Type of Activity],Types_of_Activity[Classification])=2,Term1_Day_10[[#This Row],[Elapsed]],0))</f>
        <v/>
      </c>
      <c r="BS29" s="107"/>
    </row>
    <row r="30" spans="2:71" x14ac:dyDescent="0.3">
      <c r="B30" s="136"/>
      <c r="C30" s="136"/>
      <c r="D30" s="103"/>
      <c r="E30" s="106" t="str">
        <f>IF(OR(ISBLANK(Term1_Day_1[[#This Row],[Start]]),ISBLANK(Term1_Day_1[[#This Row],[End]])),"",(Term1_Day_1[[#This Row],[End]]-Term1_Day_1[[#This Row],[Start]])*1440)</f>
        <v/>
      </c>
      <c r="F30" s="106" t="str">
        <f>IF(ISBLANK(Term1_Day_1[[#This Row],[Activity]]),"",IF(_xlfn.XLOOKUP(Term1_Day_1[[#This Row],[Activity]],Types_of_Activity[Type of Activity],Types_of_Activity[Classification])=1,Term1_Day_1[[#This Row],[Elapsed]],0))</f>
        <v/>
      </c>
      <c r="G30" s="106" t="str">
        <f>IF(ISBLANK(Term1_Day_1[[#This Row],[Activity]]),"",IF(_xlfn.XLOOKUP(Term1_Day_1[[#This Row],[Activity]],Types_of_Activity[Type of Activity],Types_of_Activity[Classification])=2,Term1_Day_1[[#This Row],[Elapsed]],0))</f>
        <v/>
      </c>
      <c r="I30" s="136"/>
      <c r="J30" s="136"/>
      <c r="K30" s="103"/>
      <c r="L30" s="106" t="str">
        <f>IF(OR(ISBLANK(Term1_Day_2[[#This Row],[Start]]),ISBLANK(Term1_Day_2[[#This Row],[End]])),"",(Term1_Day_2[[#This Row],[End]]-Term1_Day_2[[#This Row],[Start]])*1440)</f>
        <v/>
      </c>
      <c r="M30" s="106" t="str">
        <f>IF(ISBLANK(Term1_Day_2[[#This Row],[Activity]]),"",IF(_xlfn.XLOOKUP(Term1_Day_2[[#This Row],[Activity]],Types_of_Activity[Type of Activity],Types_of_Activity[Classification])=1,Term1_Day_2[[#This Row],[Elapsed]],0))</f>
        <v/>
      </c>
      <c r="N30" s="106" t="str">
        <f>IF(ISBLANK(Term1_Day_2[[#This Row],[Activity]]),"",IF(_xlfn.XLOOKUP(Term1_Day_2[[#This Row],[Activity]],Types_of_Activity[Type of Activity],Types_of_Activity[Classification])=2,Term1_Day_2[[#This Row],[Elapsed]],0))</f>
        <v/>
      </c>
      <c r="P30" s="136"/>
      <c r="Q30" s="136"/>
      <c r="R30" s="103"/>
      <c r="S30" s="106" t="str">
        <f>IF(OR(ISBLANK(Term1_Day_3[[#This Row],[Start]]),ISBLANK(Term1_Day_3[[#This Row],[End]])),"",(Term1_Day_3[[#This Row],[End]]-Term1_Day_3[[#This Row],[Start]])*1440)</f>
        <v/>
      </c>
      <c r="T30" s="106" t="str">
        <f>IF(ISBLANK(Term1_Day_3[[#This Row],[Activity]]),"",IF(_xlfn.XLOOKUP(Term1_Day_3[[#This Row],[Activity]],Types_of_Activity[Type of Activity],Types_of_Activity[Classification])=1,Term1_Day_3[[#This Row],[Elapsed]],0))</f>
        <v/>
      </c>
      <c r="U30" s="106" t="str">
        <f>IF(ISBLANK(Term1_Day_3[[#This Row],[Activity]]),"",IF(_xlfn.XLOOKUP(Term1_Day_3[[#This Row],[Activity]],Types_of_Activity[Type of Activity],Types_of_Activity[Classification])=2,Term1_Day_3[[#This Row],[Elapsed]],0))</f>
        <v/>
      </c>
      <c r="W30" s="136"/>
      <c r="X30" s="136"/>
      <c r="Y30" s="103"/>
      <c r="Z30" s="106" t="str">
        <f>IF(OR(ISBLANK(Term1_Day_4[[#This Row],[Start]]),ISBLANK(Term1_Day_4[[#This Row],[End]])),"",(Term1_Day_4[[#This Row],[End]]-Term1_Day_4[[#This Row],[Start]])*1440)</f>
        <v/>
      </c>
      <c r="AA30" s="106" t="str">
        <f>IF(ISBLANK(Term1_Day_4[[#This Row],[Activity]]),"",IF(_xlfn.XLOOKUP(Term1_Day_4[[#This Row],[Activity]],Types_of_Activity[Type of Activity],Types_of_Activity[Classification])=1,Term1_Day_4[[#This Row],[Elapsed]],0))</f>
        <v/>
      </c>
      <c r="AB30" s="106" t="str">
        <f>IF(ISBLANK(Term1_Day_4[[#This Row],[Activity]]),"",IF(_xlfn.XLOOKUP(Term1_Day_4[[#This Row],[Activity]],Types_of_Activity[Type of Activity],Types_of_Activity[Classification])=2,Term1_Day_4[[#This Row],[Elapsed]],0))</f>
        <v/>
      </c>
      <c r="AD30" s="136"/>
      <c r="AE30" s="136"/>
      <c r="AF30" s="103"/>
      <c r="AG30" s="106" t="str">
        <f>IF(OR(ISBLANK(Term1_Day_5[[#This Row],[Start]]),ISBLANK(Term1_Day_5[[#This Row],[End]])),"",(Term1_Day_5[[#This Row],[End]]-Term1_Day_5[[#This Row],[Start]])*1440)</f>
        <v/>
      </c>
      <c r="AH30" s="106" t="str">
        <f>IF(ISBLANK(Term1_Day_5[[#This Row],[Activity]]),"",IF(_xlfn.XLOOKUP(Term1_Day_5[[#This Row],[Activity]],Types_of_Activity[Type of Activity],Types_of_Activity[Classification])=1,Term1_Day_5[[#This Row],[Elapsed]],0))</f>
        <v/>
      </c>
      <c r="AI30" s="106" t="str">
        <f>IF(ISBLANK(Term1_Day_5[[#This Row],[Activity]]),"",IF(_xlfn.XLOOKUP(Term1_Day_5[[#This Row],[Activity]],Types_of_Activity[Type of Activity],Types_of_Activity[Classification])=2,Term1_Day_5[[#This Row],[Elapsed]],0))</f>
        <v/>
      </c>
      <c r="AJ30" s="107"/>
      <c r="AK30" s="136"/>
      <c r="AL30" s="136"/>
      <c r="AM30" s="103"/>
      <c r="AN30" s="106" t="str">
        <f>IF(OR(ISBLANK(Term1_Day_6[[#This Row],[Start]]),ISBLANK(Term1_Day_6[[#This Row],[End]])),"",(Term1_Day_6[[#This Row],[End]]-Term1_Day_6[[#This Row],[Start]])*1440)</f>
        <v/>
      </c>
      <c r="AO30" s="106" t="str">
        <f>IF(ISBLANK(Term1_Day_6[[#This Row],[Activity]]),"",IF(_xlfn.XLOOKUP(Term1_Day_6[[#This Row],[Activity]],Types_of_Activity[Type of Activity],Types_of_Activity[Classification])=1,Term1_Day_6[[#This Row],[Elapsed]],0))</f>
        <v/>
      </c>
      <c r="AP30" s="106" t="str">
        <f>IF(ISBLANK(Term1_Day_6[[#This Row],[Activity]]),"",IF(_xlfn.XLOOKUP(Term1_Day_6[[#This Row],[Activity]],Types_of_Activity[Type of Activity],Types_of_Activity[Classification])=2,Term1_Day_6[[#This Row],[Elapsed]],0))</f>
        <v/>
      </c>
      <c r="AQ30" s="107"/>
      <c r="AR30" s="136"/>
      <c r="AS30" s="136"/>
      <c r="AT30" s="103"/>
      <c r="AU30" s="106" t="str">
        <f>IF(OR(ISBLANK(Term1_Day_7[[#This Row],[Start]]),ISBLANK(Term1_Day_7[[#This Row],[End]])),"",(Term1_Day_7[[#This Row],[End]]-Term1_Day_7[[#This Row],[Start]])*1440)</f>
        <v/>
      </c>
      <c r="AV30" s="106" t="str">
        <f>IF(ISBLANK(Term1_Day_7[[#This Row],[Activity]]),"",IF(_xlfn.XLOOKUP(Term1_Day_7[[#This Row],[Activity]],Types_of_Activity[Type of Activity],Types_of_Activity[Classification])=1,Term1_Day_7[[#This Row],[Elapsed]],0))</f>
        <v/>
      </c>
      <c r="AW30" s="106" t="str">
        <f>IF(ISBLANK(Term1_Day_7[[#This Row],[Activity]]),"",IF(_xlfn.XLOOKUP(Term1_Day_7[[#This Row],[Activity]],Types_of_Activity[Type of Activity],Types_of_Activity[Classification])=2,Term1_Day_7[[#This Row],[Elapsed]],0))</f>
        <v/>
      </c>
      <c r="AX30" s="107"/>
      <c r="AY30" s="136"/>
      <c r="AZ30" s="136"/>
      <c r="BA30" s="103"/>
      <c r="BB30" s="106" t="str">
        <f>IF(OR(ISBLANK(Term1_Day_8[[#This Row],[Start]]),ISBLANK(Term1_Day_8[[#This Row],[End]])),"",(Term1_Day_8[[#This Row],[End]]-Term1_Day_8[[#This Row],[Start]])*1440)</f>
        <v/>
      </c>
      <c r="BC30" s="106" t="str">
        <f>IF(ISBLANK(Term1_Day_8[[#This Row],[Activity]]),"",IF(_xlfn.XLOOKUP(Term1_Day_8[[#This Row],[Activity]],Types_of_Activity[Type of Activity],Types_of_Activity[Classification])=1,Term1_Day_8[[#This Row],[Elapsed]],0))</f>
        <v/>
      </c>
      <c r="BD30" s="106" t="str">
        <f>IF(ISBLANK(Term1_Day_8[[#This Row],[Activity]]),"",IF(_xlfn.XLOOKUP(Term1_Day_8[[#This Row],[Activity]],Types_of_Activity[Type of Activity],Types_of_Activity[Classification])=2,Term1_Day_8[[#This Row],[Elapsed]],0))</f>
        <v/>
      </c>
      <c r="BE30" s="107"/>
      <c r="BF30" s="136"/>
      <c r="BG30" s="136"/>
      <c r="BH30" s="103"/>
      <c r="BI30" s="106" t="str">
        <f>IF(OR(ISBLANK(Term1_Day_9[[#This Row],[Start]]),ISBLANK(Term1_Day_9[[#This Row],[End]])),"",(Term1_Day_9[[#This Row],[End]]-Term1_Day_9[[#This Row],[Start]])*1440)</f>
        <v/>
      </c>
      <c r="BJ30" s="106" t="str">
        <f>IF(ISBLANK(Term1_Day_9[[#This Row],[Activity]]),"",IF(_xlfn.XLOOKUP(Term1_Day_9[[#This Row],[Activity]],Types_of_Activity[Type of Activity],Types_of_Activity[Classification])=1,Term1_Day_9[[#This Row],[Elapsed]],0))</f>
        <v/>
      </c>
      <c r="BK30" s="106" t="str">
        <f>IF(ISBLANK(Term1_Day_9[[#This Row],[Activity]]),"",IF(_xlfn.XLOOKUP(Term1_Day_9[[#This Row],[Activity]],Types_of_Activity[Type of Activity],Types_of_Activity[Classification])=2,Term1_Day_9[[#This Row],[Elapsed]],0))</f>
        <v/>
      </c>
      <c r="BL30" s="107"/>
      <c r="BM30" s="136"/>
      <c r="BN30" s="136"/>
      <c r="BO30" s="103"/>
      <c r="BP30" s="106" t="str">
        <f>IF(OR(ISBLANK(Term1_Day_10[[#This Row],[Start]]),ISBLANK(Term1_Day_10[[#This Row],[End]])),"",(Term1_Day_10[[#This Row],[End]]-Term1_Day_10[[#This Row],[Start]])*1440)</f>
        <v/>
      </c>
      <c r="BQ30" s="106" t="str">
        <f>IF(ISBLANK(Term1_Day_10[[#This Row],[Activity]]),"",IF(_xlfn.XLOOKUP(Term1_Day_10[[#This Row],[Activity]],Types_of_Activity[Type of Activity],Types_of_Activity[Classification])=1,Term1_Day_10[[#This Row],[Elapsed]],0))</f>
        <v/>
      </c>
      <c r="BR30" s="106" t="str">
        <f>IF(ISBLANK(Term1_Day_10[[#This Row],[Activity]]),"",IF(_xlfn.XLOOKUP(Term1_Day_10[[#This Row],[Activity]],Types_of_Activity[Type of Activity],Types_of_Activity[Classification])=2,Term1_Day_10[[#This Row],[Elapsed]],0))</f>
        <v/>
      </c>
      <c r="BS30" s="107"/>
    </row>
    <row r="31" spans="2:71" x14ac:dyDescent="0.3">
      <c r="B31" s="136"/>
      <c r="C31" s="136"/>
      <c r="D31" s="103"/>
      <c r="E31" s="106" t="str">
        <f>IF(OR(ISBLANK(Term1_Day_1[[#This Row],[Start]]),ISBLANK(Term1_Day_1[[#This Row],[End]])),"",(Term1_Day_1[[#This Row],[End]]-Term1_Day_1[[#This Row],[Start]])*1440)</f>
        <v/>
      </c>
      <c r="F31" s="106" t="str">
        <f>IF(ISBLANK(Term1_Day_1[[#This Row],[Activity]]),"",IF(_xlfn.XLOOKUP(Term1_Day_1[[#This Row],[Activity]],Types_of_Activity[Type of Activity],Types_of_Activity[Classification])=1,Term1_Day_1[[#This Row],[Elapsed]],0))</f>
        <v/>
      </c>
      <c r="G31" s="106" t="str">
        <f>IF(ISBLANK(Term1_Day_1[[#This Row],[Activity]]),"",IF(_xlfn.XLOOKUP(Term1_Day_1[[#This Row],[Activity]],Types_of_Activity[Type of Activity],Types_of_Activity[Classification])=2,Term1_Day_1[[#This Row],[Elapsed]],0))</f>
        <v/>
      </c>
      <c r="I31" s="136"/>
      <c r="J31" s="136"/>
      <c r="K31" s="103"/>
      <c r="L31" s="106" t="str">
        <f>IF(OR(ISBLANK(Term1_Day_2[[#This Row],[Start]]),ISBLANK(Term1_Day_2[[#This Row],[End]])),"",(Term1_Day_2[[#This Row],[End]]-Term1_Day_2[[#This Row],[Start]])*1440)</f>
        <v/>
      </c>
      <c r="M31" s="106" t="str">
        <f>IF(ISBLANK(Term1_Day_2[[#This Row],[Activity]]),"",IF(_xlfn.XLOOKUP(Term1_Day_2[[#This Row],[Activity]],Types_of_Activity[Type of Activity],Types_of_Activity[Classification])=1,Term1_Day_2[[#This Row],[Elapsed]],0))</f>
        <v/>
      </c>
      <c r="N31" s="106" t="str">
        <f>IF(ISBLANK(Term1_Day_2[[#This Row],[Activity]]),"",IF(_xlfn.XLOOKUP(Term1_Day_2[[#This Row],[Activity]],Types_of_Activity[Type of Activity],Types_of_Activity[Classification])=2,Term1_Day_2[[#This Row],[Elapsed]],0))</f>
        <v/>
      </c>
      <c r="P31" s="136"/>
      <c r="Q31" s="136"/>
      <c r="R31" s="103"/>
      <c r="S31" s="106" t="str">
        <f>IF(OR(ISBLANK(Term1_Day_3[[#This Row],[Start]]),ISBLANK(Term1_Day_3[[#This Row],[End]])),"",(Term1_Day_3[[#This Row],[End]]-Term1_Day_3[[#This Row],[Start]])*1440)</f>
        <v/>
      </c>
      <c r="T31" s="106" t="str">
        <f>IF(ISBLANK(Term1_Day_3[[#This Row],[Activity]]),"",IF(_xlfn.XLOOKUP(Term1_Day_3[[#This Row],[Activity]],Types_of_Activity[Type of Activity],Types_of_Activity[Classification])=1,Term1_Day_3[[#This Row],[Elapsed]],0))</f>
        <v/>
      </c>
      <c r="U31" s="106" t="str">
        <f>IF(ISBLANK(Term1_Day_3[[#This Row],[Activity]]),"",IF(_xlfn.XLOOKUP(Term1_Day_3[[#This Row],[Activity]],Types_of_Activity[Type of Activity],Types_of_Activity[Classification])=2,Term1_Day_3[[#This Row],[Elapsed]],0))</f>
        <v/>
      </c>
      <c r="W31" s="136"/>
      <c r="X31" s="136"/>
      <c r="Y31" s="103"/>
      <c r="Z31" s="106" t="str">
        <f>IF(OR(ISBLANK(Term1_Day_4[[#This Row],[Start]]),ISBLANK(Term1_Day_4[[#This Row],[End]])),"",(Term1_Day_4[[#This Row],[End]]-Term1_Day_4[[#This Row],[Start]])*1440)</f>
        <v/>
      </c>
      <c r="AA31" s="106" t="str">
        <f>IF(ISBLANK(Term1_Day_4[[#This Row],[Activity]]),"",IF(_xlfn.XLOOKUP(Term1_Day_4[[#This Row],[Activity]],Types_of_Activity[Type of Activity],Types_of_Activity[Classification])=1,Term1_Day_4[[#This Row],[Elapsed]],0))</f>
        <v/>
      </c>
      <c r="AB31" s="106" t="str">
        <f>IF(ISBLANK(Term1_Day_4[[#This Row],[Activity]]),"",IF(_xlfn.XLOOKUP(Term1_Day_4[[#This Row],[Activity]],Types_of_Activity[Type of Activity],Types_of_Activity[Classification])=2,Term1_Day_4[[#This Row],[Elapsed]],0))</f>
        <v/>
      </c>
      <c r="AD31" s="136"/>
      <c r="AE31" s="136"/>
      <c r="AF31" s="103"/>
      <c r="AG31" s="106" t="str">
        <f>IF(OR(ISBLANK(Term1_Day_5[[#This Row],[Start]]),ISBLANK(Term1_Day_5[[#This Row],[End]])),"",(Term1_Day_5[[#This Row],[End]]-Term1_Day_5[[#This Row],[Start]])*1440)</f>
        <v/>
      </c>
      <c r="AH31" s="106" t="str">
        <f>IF(ISBLANK(Term1_Day_5[[#This Row],[Activity]]),"",IF(_xlfn.XLOOKUP(Term1_Day_5[[#This Row],[Activity]],Types_of_Activity[Type of Activity],Types_of_Activity[Classification])=1,Term1_Day_5[[#This Row],[Elapsed]],0))</f>
        <v/>
      </c>
      <c r="AI31" s="106" t="str">
        <f>IF(ISBLANK(Term1_Day_5[[#This Row],[Activity]]),"",IF(_xlfn.XLOOKUP(Term1_Day_5[[#This Row],[Activity]],Types_of_Activity[Type of Activity],Types_of_Activity[Classification])=2,Term1_Day_5[[#This Row],[Elapsed]],0))</f>
        <v/>
      </c>
      <c r="AJ31" s="107"/>
      <c r="AK31" s="136"/>
      <c r="AL31" s="136"/>
      <c r="AM31" s="103"/>
      <c r="AN31" s="106" t="str">
        <f>IF(OR(ISBLANK(Term1_Day_6[[#This Row],[Start]]),ISBLANK(Term1_Day_6[[#This Row],[End]])),"",(Term1_Day_6[[#This Row],[End]]-Term1_Day_6[[#This Row],[Start]])*1440)</f>
        <v/>
      </c>
      <c r="AO31" s="106" t="str">
        <f>IF(ISBLANK(Term1_Day_6[[#This Row],[Activity]]),"",IF(_xlfn.XLOOKUP(Term1_Day_6[[#This Row],[Activity]],Types_of_Activity[Type of Activity],Types_of_Activity[Classification])=1,Term1_Day_6[[#This Row],[Elapsed]],0))</f>
        <v/>
      </c>
      <c r="AP31" s="106" t="str">
        <f>IF(ISBLANK(Term1_Day_6[[#This Row],[Activity]]),"",IF(_xlfn.XLOOKUP(Term1_Day_6[[#This Row],[Activity]],Types_of_Activity[Type of Activity],Types_of_Activity[Classification])=2,Term1_Day_6[[#This Row],[Elapsed]],0))</f>
        <v/>
      </c>
      <c r="AQ31" s="107"/>
      <c r="AR31" s="136"/>
      <c r="AS31" s="136"/>
      <c r="AT31" s="103"/>
      <c r="AU31" s="106" t="str">
        <f>IF(OR(ISBLANK(Term1_Day_7[[#This Row],[Start]]),ISBLANK(Term1_Day_7[[#This Row],[End]])),"",(Term1_Day_7[[#This Row],[End]]-Term1_Day_7[[#This Row],[Start]])*1440)</f>
        <v/>
      </c>
      <c r="AV31" s="106" t="str">
        <f>IF(ISBLANK(Term1_Day_7[[#This Row],[Activity]]),"",IF(_xlfn.XLOOKUP(Term1_Day_7[[#This Row],[Activity]],Types_of_Activity[Type of Activity],Types_of_Activity[Classification])=1,Term1_Day_7[[#This Row],[Elapsed]],0))</f>
        <v/>
      </c>
      <c r="AW31" s="106" t="str">
        <f>IF(ISBLANK(Term1_Day_7[[#This Row],[Activity]]),"",IF(_xlfn.XLOOKUP(Term1_Day_7[[#This Row],[Activity]],Types_of_Activity[Type of Activity],Types_of_Activity[Classification])=2,Term1_Day_7[[#This Row],[Elapsed]],0))</f>
        <v/>
      </c>
      <c r="AX31" s="107"/>
      <c r="AY31" s="136"/>
      <c r="AZ31" s="136"/>
      <c r="BA31" s="103"/>
      <c r="BB31" s="106" t="str">
        <f>IF(OR(ISBLANK(Term1_Day_8[[#This Row],[Start]]),ISBLANK(Term1_Day_8[[#This Row],[End]])),"",(Term1_Day_8[[#This Row],[End]]-Term1_Day_8[[#This Row],[Start]])*1440)</f>
        <v/>
      </c>
      <c r="BC31" s="106" t="str">
        <f>IF(ISBLANK(Term1_Day_8[[#This Row],[Activity]]),"",IF(_xlfn.XLOOKUP(Term1_Day_8[[#This Row],[Activity]],Types_of_Activity[Type of Activity],Types_of_Activity[Classification])=1,Term1_Day_8[[#This Row],[Elapsed]],0))</f>
        <v/>
      </c>
      <c r="BD31" s="106" t="str">
        <f>IF(ISBLANK(Term1_Day_8[[#This Row],[Activity]]),"",IF(_xlfn.XLOOKUP(Term1_Day_8[[#This Row],[Activity]],Types_of_Activity[Type of Activity],Types_of_Activity[Classification])=2,Term1_Day_8[[#This Row],[Elapsed]],0))</f>
        <v/>
      </c>
      <c r="BE31" s="107"/>
      <c r="BF31" s="136"/>
      <c r="BG31" s="136"/>
      <c r="BH31" s="103"/>
      <c r="BI31" s="106" t="str">
        <f>IF(OR(ISBLANK(Term1_Day_9[[#This Row],[Start]]),ISBLANK(Term1_Day_9[[#This Row],[End]])),"",(Term1_Day_9[[#This Row],[End]]-Term1_Day_9[[#This Row],[Start]])*1440)</f>
        <v/>
      </c>
      <c r="BJ31" s="106" t="str">
        <f>IF(ISBLANK(Term1_Day_9[[#This Row],[Activity]]),"",IF(_xlfn.XLOOKUP(Term1_Day_9[[#This Row],[Activity]],Types_of_Activity[Type of Activity],Types_of_Activity[Classification])=1,Term1_Day_9[[#This Row],[Elapsed]],0))</f>
        <v/>
      </c>
      <c r="BK31" s="106" t="str">
        <f>IF(ISBLANK(Term1_Day_9[[#This Row],[Activity]]),"",IF(_xlfn.XLOOKUP(Term1_Day_9[[#This Row],[Activity]],Types_of_Activity[Type of Activity],Types_of_Activity[Classification])=2,Term1_Day_9[[#This Row],[Elapsed]],0))</f>
        <v/>
      </c>
      <c r="BL31" s="107"/>
      <c r="BM31" s="136"/>
      <c r="BN31" s="136"/>
      <c r="BO31" s="103"/>
      <c r="BP31" s="106" t="str">
        <f>IF(OR(ISBLANK(Term1_Day_10[[#This Row],[Start]]),ISBLANK(Term1_Day_10[[#This Row],[End]])),"",(Term1_Day_10[[#This Row],[End]]-Term1_Day_10[[#This Row],[Start]])*1440)</f>
        <v/>
      </c>
      <c r="BQ31" s="106" t="str">
        <f>IF(ISBLANK(Term1_Day_10[[#This Row],[Activity]]),"",IF(_xlfn.XLOOKUP(Term1_Day_10[[#This Row],[Activity]],Types_of_Activity[Type of Activity],Types_of_Activity[Classification])=1,Term1_Day_10[[#This Row],[Elapsed]],0))</f>
        <v/>
      </c>
      <c r="BR31" s="106" t="str">
        <f>IF(ISBLANK(Term1_Day_10[[#This Row],[Activity]]),"",IF(_xlfn.XLOOKUP(Term1_Day_10[[#This Row],[Activity]],Types_of_Activity[Type of Activity],Types_of_Activity[Classification])=2,Term1_Day_10[[#This Row],[Elapsed]],0))</f>
        <v/>
      </c>
      <c r="BS31" s="107"/>
    </row>
    <row r="32" spans="2:71" x14ac:dyDescent="0.3">
      <c r="B32" s="136"/>
      <c r="C32" s="136"/>
      <c r="D32" s="103"/>
      <c r="E32" s="106" t="str">
        <f>IF(OR(ISBLANK(Term1_Day_1[[#This Row],[Start]]),ISBLANK(Term1_Day_1[[#This Row],[End]])),"",(Term1_Day_1[[#This Row],[End]]-Term1_Day_1[[#This Row],[Start]])*1440)</f>
        <v/>
      </c>
      <c r="F32" s="106" t="str">
        <f>IF(ISBLANK(Term1_Day_1[[#This Row],[Activity]]),"",IF(_xlfn.XLOOKUP(Term1_Day_1[[#This Row],[Activity]],Types_of_Activity[Type of Activity],Types_of_Activity[Classification])=1,Term1_Day_1[[#This Row],[Elapsed]],0))</f>
        <v/>
      </c>
      <c r="G32" s="106" t="str">
        <f>IF(ISBLANK(Term1_Day_1[[#This Row],[Activity]]),"",IF(_xlfn.XLOOKUP(Term1_Day_1[[#This Row],[Activity]],Types_of_Activity[Type of Activity],Types_of_Activity[Classification])=2,Term1_Day_1[[#This Row],[Elapsed]],0))</f>
        <v/>
      </c>
      <c r="I32" s="136"/>
      <c r="J32" s="136"/>
      <c r="K32" s="103"/>
      <c r="L32" s="106" t="str">
        <f>IF(OR(ISBLANK(Term1_Day_2[[#This Row],[Start]]),ISBLANK(Term1_Day_2[[#This Row],[End]])),"",(Term1_Day_2[[#This Row],[End]]-Term1_Day_2[[#This Row],[Start]])*1440)</f>
        <v/>
      </c>
      <c r="M32" s="106" t="str">
        <f>IF(ISBLANK(Term1_Day_2[[#This Row],[Activity]]),"",IF(_xlfn.XLOOKUP(Term1_Day_2[[#This Row],[Activity]],Types_of_Activity[Type of Activity],Types_of_Activity[Classification])=1,Term1_Day_2[[#This Row],[Elapsed]],0))</f>
        <v/>
      </c>
      <c r="N32" s="106" t="str">
        <f>IF(ISBLANK(Term1_Day_2[[#This Row],[Activity]]),"",IF(_xlfn.XLOOKUP(Term1_Day_2[[#This Row],[Activity]],Types_of_Activity[Type of Activity],Types_of_Activity[Classification])=2,Term1_Day_2[[#This Row],[Elapsed]],0))</f>
        <v/>
      </c>
      <c r="P32" s="136"/>
      <c r="Q32" s="136"/>
      <c r="R32" s="103"/>
      <c r="S32" s="106" t="str">
        <f>IF(OR(ISBLANK(Term1_Day_3[[#This Row],[Start]]),ISBLANK(Term1_Day_3[[#This Row],[End]])),"",(Term1_Day_3[[#This Row],[End]]-Term1_Day_3[[#This Row],[Start]])*1440)</f>
        <v/>
      </c>
      <c r="T32" s="106" t="str">
        <f>IF(ISBLANK(Term1_Day_3[[#This Row],[Activity]]),"",IF(_xlfn.XLOOKUP(Term1_Day_3[[#This Row],[Activity]],Types_of_Activity[Type of Activity],Types_of_Activity[Classification])=1,Term1_Day_3[[#This Row],[Elapsed]],0))</f>
        <v/>
      </c>
      <c r="U32" s="106" t="str">
        <f>IF(ISBLANK(Term1_Day_3[[#This Row],[Activity]]),"",IF(_xlfn.XLOOKUP(Term1_Day_3[[#This Row],[Activity]],Types_of_Activity[Type of Activity],Types_of_Activity[Classification])=2,Term1_Day_3[[#This Row],[Elapsed]],0))</f>
        <v/>
      </c>
      <c r="W32" s="136"/>
      <c r="X32" s="136"/>
      <c r="Y32" s="103"/>
      <c r="Z32" s="106" t="str">
        <f>IF(OR(ISBLANK(Term1_Day_4[[#This Row],[Start]]),ISBLANK(Term1_Day_4[[#This Row],[End]])),"",(Term1_Day_4[[#This Row],[End]]-Term1_Day_4[[#This Row],[Start]])*1440)</f>
        <v/>
      </c>
      <c r="AA32" s="106" t="str">
        <f>IF(ISBLANK(Term1_Day_4[[#This Row],[Activity]]),"",IF(_xlfn.XLOOKUP(Term1_Day_4[[#This Row],[Activity]],Types_of_Activity[Type of Activity],Types_of_Activity[Classification])=1,Term1_Day_4[[#This Row],[Elapsed]],0))</f>
        <v/>
      </c>
      <c r="AB32" s="106" t="str">
        <f>IF(ISBLANK(Term1_Day_4[[#This Row],[Activity]]),"",IF(_xlfn.XLOOKUP(Term1_Day_4[[#This Row],[Activity]],Types_of_Activity[Type of Activity],Types_of_Activity[Classification])=2,Term1_Day_4[[#This Row],[Elapsed]],0))</f>
        <v/>
      </c>
      <c r="AD32" s="136"/>
      <c r="AE32" s="136"/>
      <c r="AF32" s="103"/>
      <c r="AG32" s="106" t="str">
        <f>IF(OR(ISBLANK(Term1_Day_5[[#This Row],[Start]]),ISBLANK(Term1_Day_5[[#This Row],[End]])),"",(Term1_Day_5[[#This Row],[End]]-Term1_Day_5[[#This Row],[Start]])*1440)</f>
        <v/>
      </c>
      <c r="AH32" s="106" t="str">
        <f>IF(ISBLANK(Term1_Day_5[[#This Row],[Activity]]),"",IF(_xlfn.XLOOKUP(Term1_Day_5[[#This Row],[Activity]],Types_of_Activity[Type of Activity],Types_of_Activity[Classification])=1,Term1_Day_5[[#This Row],[Elapsed]],0))</f>
        <v/>
      </c>
      <c r="AI32" s="106" t="str">
        <f>IF(ISBLANK(Term1_Day_5[[#This Row],[Activity]]),"",IF(_xlfn.XLOOKUP(Term1_Day_5[[#This Row],[Activity]],Types_of_Activity[Type of Activity],Types_of_Activity[Classification])=2,Term1_Day_5[[#This Row],[Elapsed]],0))</f>
        <v/>
      </c>
      <c r="AJ32" s="107"/>
      <c r="AK32" s="136"/>
      <c r="AL32" s="136"/>
      <c r="AM32" s="103"/>
      <c r="AN32" s="106" t="str">
        <f>IF(OR(ISBLANK(Term1_Day_6[[#This Row],[Start]]),ISBLANK(Term1_Day_6[[#This Row],[End]])),"",(Term1_Day_6[[#This Row],[End]]-Term1_Day_6[[#This Row],[Start]])*1440)</f>
        <v/>
      </c>
      <c r="AO32" s="106" t="str">
        <f>IF(ISBLANK(Term1_Day_6[[#This Row],[Activity]]),"",IF(_xlfn.XLOOKUP(Term1_Day_6[[#This Row],[Activity]],Types_of_Activity[Type of Activity],Types_of_Activity[Classification])=1,Term1_Day_6[[#This Row],[Elapsed]],0))</f>
        <v/>
      </c>
      <c r="AP32" s="106" t="str">
        <f>IF(ISBLANK(Term1_Day_6[[#This Row],[Activity]]),"",IF(_xlfn.XLOOKUP(Term1_Day_6[[#This Row],[Activity]],Types_of_Activity[Type of Activity],Types_of_Activity[Classification])=2,Term1_Day_6[[#This Row],[Elapsed]],0))</f>
        <v/>
      </c>
      <c r="AQ32" s="107"/>
      <c r="AR32" s="136"/>
      <c r="AS32" s="136"/>
      <c r="AT32" s="103"/>
      <c r="AU32" s="106" t="str">
        <f>IF(OR(ISBLANK(Term1_Day_7[[#This Row],[Start]]),ISBLANK(Term1_Day_7[[#This Row],[End]])),"",(Term1_Day_7[[#This Row],[End]]-Term1_Day_7[[#This Row],[Start]])*1440)</f>
        <v/>
      </c>
      <c r="AV32" s="106" t="str">
        <f>IF(ISBLANK(Term1_Day_7[[#This Row],[Activity]]),"",IF(_xlfn.XLOOKUP(Term1_Day_7[[#This Row],[Activity]],Types_of_Activity[Type of Activity],Types_of_Activity[Classification])=1,Term1_Day_7[[#This Row],[Elapsed]],0))</f>
        <v/>
      </c>
      <c r="AW32" s="106" t="str">
        <f>IF(ISBLANK(Term1_Day_7[[#This Row],[Activity]]),"",IF(_xlfn.XLOOKUP(Term1_Day_7[[#This Row],[Activity]],Types_of_Activity[Type of Activity],Types_of_Activity[Classification])=2,Term1_Day_7[[#This Row],[Elapsed]],0))</f>
        <v/>
      </c>
      <c r="AX32" s="107"/>
      <c r="AY32" s="136"/>
      <c r="AZ32" s="136"/>
      <c r="BA32" s="103"/>
      <c r="BB32" s="106" t="str">
        <f>IF(OR(ISBLANK(Term1_Day_8[[#This Row],[Start]]),ISBLANK(Term1_Day_8[[#This Row],[End]])),"",(Term1_Day_8[[#This Row],[End]]-Term1_Day_8[[#This Row],[Start]])*1440)</f>
        <v/>
      </c>
      <c r="BC32" s="106" t="str">
        <f>IF(ISBLANK(Term1_Day_8[[#This Row],[Activity]]),"",IF(_xlfn.XLOOKUP(Term1_Day_8[[#This Row],[Activity]],Types_of_Activity[Type of Activity],Types_of_Activity[Classification])=1,Term1_Day_8[[#This Row],[Elapsed]],0))</f>
        <v/>
      </c>
      <c r="BD32" s="106" t="str">
        <f>IF(ISBLANK(Term1_Day_8[[#This Row],[Activity]]),"",IF(_xlfn.XLOOKUP(Term1_Day_8[[#This Row],[Activity]],Types_of_Activity[Type of Activity],Types_of_Activity[Classification])=2,Term1_Day_8[[#This Row],[Elapsed]],0))</f>
        <v/>
      </c>
      <c r="BE32" s="107"/>
      <c r="BF32" s="136"/>
      <c r="BG32" s="136"/>
      <c r="BH32" s="103"/>
      <c r="BI32" s="106" t="str">
        <f>IF(OR(ISBLANK(Term1_Day_9[[#This Row],[Start]]),ISBLANK(Term1_Day_9[[#This Row],[End]])),"",(Term1_Day_9[[#This Row],[End]]-Term1_Day_9[[#This Row],[Start]])*1440)</f>
        <v/>
      </c>
      <c r="BJ32" s="106" t="str">
        <f>IF(ISBLANK(Term1_Day_9[[#This Row],[Activity]]),"",IF(_xlfn.XLOOKUP(Term1_Day_9[[#This Row],[Activity]],Types_of_Activity[Type of Activity],Types_of_Activity[Classification])=1,Term1_Day_9[[#This Row],[Elapsed]],0))</f>
        <v/>
      </c>
      <c r="BK32" s="106" t="str">
        <f>IF(ISBLANK(Term1_Day_9[[#This Row],[Activity]]),"",IF(_xlfn.XLOOKUP(Term1_Day_9[[#This Row],[Activity]],Types_of_Activity[Type of Activity],Types_of_Activity[Classification])=2,Term1_Day_9[[#This Row],[Elapsed]],0))</f>
        <v/>
      </c>
      <c r="BL32" s="107"/>
      <c r="BM32" s="136"/>
      <c r="BN32" s="136"/>
      <c r="BO32" s="103"/>
      <c r="BP32" s="106" t="str">
        <f>IF(OR(ISBLANK(Term1_Day_10[[#This Row],[Start]]),ISBLANK(Term1_Day_10[[#This Row],[End]])),"",(Term1_Day_10[[#This Row],[End]]-Term1_Day_10[[#This Row],[Start]])*1440)</f>
        <v/>
      </c>
      <c r="BQ32" s="106" t="str">
        <f>IF(ISBLANK(Term1_Day_10[[#This Row],[Activity]]),"",IF(_xlfn.XLOOKUP(Term1_Day_10[[#This Row],[Activity]],Types_of_Activity[Type of Activity],Types_of_Activity[Classification])=1,Term1_Day_10[[#This Row],[Elapsed]],0))</f>
        <v/>
      </c>
      <c r="BR32" s="106" t="str">
        <f>IF(ISBLANK(Term1_Day_10[[#This Row],[Activity]]),"",IF(_xlfn.XLOOKUP(Term1_Day_10[[#This Row],[Activity]],Types_of_Activity[Type of Activity],Types_of_Activity[Classification])=2,Term1_Day_10[[#This Row],[Elapsed]],0))</f>
        <v/>
      </c>
      <c r="BS32" s="107"/>
    </row>
    <row r="33" spans="2:71" x14ac:dyDescent="0.3">
      <c r="B33" s="136"/>
      <c r="C33" s="136"/>
      <c r="D33" s="103"/>
      <c r="E33" s="106" t="str">
        <f>IF(OR(ISBLANK(Term1_Day_1[[#This Row],[Start]]),ISBLANK(Term1_Day_1[[#This Row],[End]])),"",(Term1_Day_1[[#This Row],[End]]-Term1_Day_1[[#This Row],[Start]])*1440)</f>
        <v/>
      </c>
      <c r="F33" s="106" t="str">
        <f>IF(ISBLANK(Term1_Day_1[[#This Row],[Activity]]),"",IF(_xlfn.XLOOKUP(Term1_Day_1[[#This Row],[Activity]],Types_of_Activity[Type of Activity],Types_of_Activity[Classification])=1,Term1_Day_1[[#This Row],[Elapsed]],0))</f>
        <v/>
      </c>
      <c r="G33" s="106" t="str">
        <f>IF(ISBLANK(Term1_Day_1[[#This Row],[Activity]]),"",IF(_xlfn.XLOOKUP(Term1_Day_1[[#This Row],[Activity]],Types_of_Activity[Type of Activity],Types_of_Activity[Classification])=2,Term1_Day_1[[#This Row],[Elapsed]],0))</f>
        <v/>
      </c>
      <c r="I33" s="136"/>
      <c r="J33" s="136"/>
      <c r="K33" s="103"/>
      <c r="L33" s="106" t="str">
        <f>IF(OR(ISBLANK(Term1_Day_2[[#This Row],[Start]]),ISBLANK(Term1_Day_2[[#This Row],[End]])),"",(Term1_Day_2[[#This Row],[End]]-Term1_Day_2[[#This Row],[Start]])*1440)</f>
        <v/>
      </c>
      <c r="M33" s="106" t="str">
        <f>IF(ISBLANK(Term1_Day_2[[#This Row],[Activity]]),"",IF(_xlfn.XLOOKUP(Term1_Day_2[[#This Row],[Activity]],Types_of_Activity[Type of Activity],Types_of_Activity[Classification])=1,Term1_Day_2[[#This Row],[Elapsed]],0))</f>
        <v/>
      </c>
      <c r="N33" s="106" t="str">
        <f>IF(ISBLANK(Term1_Day_2[[#This Row],[Activity]]),"",IF(_xlfn.XLOOKUP(Term1_Day_2[[#This Row],[Activity]],Types_of_Activity[Type of Activity],Types_of_Activity[Classification])=2,Term1_Day_2[[#This Row],[Elapsed]],0))</f>
        <v/>
      </c>
      <c r="P33" s="136"/>
      <c r="Q33" s="136"/>
      <c r="R33" s="103"/>
      <c r="S33" s="106" t="str">
        <f>IF(OR(ISBLANK(Term1_Day_3[[#This Row],[Start]]),ISBLANK(Term1_Day_3[[#This Row],[End]])),"",(Term1_Day_3[[#This Row],[End]]-Term1_Day_3[[#This Row],[Start]])*1440)</f>
        <v/>
      </c>
      <c r="T33" s="106" t="str">
        <f>IF(ISBLANK(Term1_Day_3[[#This Row],[Activity]]),"",IF(_xlfn.XLOOKUP(Term1_Day_3[[#This Row],[Activity]],Types_of_Activity[Type of Activity],Types_of_Activity[Classification])=1,Term1_Day_3[[#This Row],[Elapsed]],0))</f>
        <v/>
      </c>
      <c r="U33" s="106" t="str">
        <f>IF(ISBLANK(Term1_Day_3[[#This Row],[Activity]]),"",IF(_xlfn.XLOOKUP(Term1_Day_3[[#This Row],[Activity]],Types_of_Activity[Type of Activity],Types_of_Activity[Classification])=2,Term1_Day_3[[#This Row],[Elapsed]],0))</f>
        <v/>
      </c>
      <c r="W33" s="136"/>
      <c r="X33" s="136"/>
      <c r="Y33" s="103"/>
      <c r="Z33" s="106" t="str">
        <f>IF(OR(ISBLANK(Term1_Day_4[[#This Row],[Start]]),ISBLANK(Term1_Day_4[[#This Row],[End]])),"",(Term1_Day_4[[#This Row],[End]]-Term1_Day_4[[#This Row],[Start]])*1440)</f>
        <v/>
      </c>
      <c r="AA33" s="106" t="str">
        <f>IF(ISBLANK(Term1_Day_4[[#This Row],[Activity]]),"",IF(_xlfn.XLOOKUP(Term1_Day_4[[#This Row],[Activity]],Types_of_Activity[Type of Activity],Types_of_Activity[Classification])=1,Term1_Day_4[[#This Row],[Elapsed]],0))</f>
        <v/>
      </c>
      <c r="AB33" s="106" t="str">
        <f>IF(ISBLANK(Term1_Day_4[[#This Row],[Activity]]),"",IF(_xlfn.XLOOKUP(Term1_Day_4[[#This Row],[Activity]],Types_of_Activity[Type of Activity],Types_of_Activity[Classification])=2,Term1_Day_4[[#This Row],[Elapsed]],0))</f>
        <v/>
      </c>
      <c r="AD33" s="136"/>
      <c r="AE33" s="136"/>
      <c r="AF33" s="103"/>
      <c r="AG33" s="106" t="str">
        <f>IF(OR(ISBLANK(Term1_Day_5[[#This Row],[Start]]),ISBLANK(Term1_Day_5[[#This Row],[End]])),"",(Term1_Day_5[[#This Row],[End]]-Term1_Day_5[[#This Row],[Start]])*1440)</f>
        <v/>
      </c>
      <c r="AH33" s="106" t="str">
        <f>IF(ISBLANK(Term1_Day_5[[#This Row],[Activity]]),"",IF(_xlfn.XLOOKUP(Term1_Day_5[[#This Row],[Activity]],Types_of_Activity[Type of Activity],Types_of_Activity[Classification])=1,Term1_Day_5[[#This Row],[Elapsed]],0))</f>
        <v/>
      </c>
      <c r="AI33" s="106" t="str">
        <f>IF(ISBLANK(Term1_Day_5[[#This Row],[Activity]]),"",IF(_xlfn.XLOOKUP(Term1_Day_5[[#This Row],[Activity]],Types_of_Activity[Type of Activity],Types_of_Activity[Classification])=2,Term1_Day_5[[#This Row],[Elapsed]],0))</f>
        <v/>
      </c>
      <c r="AJ33" s="107"/>
      <c r="AK33" s="136"/>
      <c r="AL33" s="136"/>
      <c r="AM33" s="103"/>
      <c r="AN33" s="106" t="str">
        <f>IF(OR(ISBLANK(Term1_Day_6[[#This Row],[Start]]),ISBLANK(Term1_Day_6[[#This Row],[End]])),"",(Term1_Day_6[[#This Row],[End]]-Term1_Day_6[[#This Row],[Start]])*1440)</f>
        <v/>
      </c>
      <c r="AO33" s="106" t="str">
        <f>IF(ISBLANK(Term1_Day_6[[#This Row],[Activity]]),"",IF(_xlfn.XLOOKUP(Term1_Day_6[[#This Row],[Activity]],Types_of_Activity[Type of Activity],Types_of_Activity[Classification])=1,Term1_Day_6[[#This Row],[Elapsed]],0))</f>
        <v/>
      </c>
      <c r="AP33" s="106" t="str">
        <f>IF(ISBLANK(Term1_Day_6[[#This Row],[Activity]]),"",IF(_xlfn.XLOOKUP(Term1_Day_6[[#This Row],[Activity]],Types_of_Activity[Type of Activity],Types_of_Activity[Classification])=2,Term1_Day_6[[#This Row],[Elapsed]],0))</f>
        <v/>
      </c>
      <c r="AQ33" s="107"/>
      <c r="AR33" s="136"/>
      <c r="AS33" s="136"/>
      <c r="AT33" s="103"/>
      <c r="AU33" s="106" t="str">
        <f>IF(OR(ISBLANK(Term1_Day_7[[#This Row],[Start]]),ISBLANK(Term1_Day_7[[#This Row],[End]])),"",(Term1_Day_7[[#This Row],[End]]-Term1_Day_7[[#This Row],[Start]])*1440)</f>
        <v/>
      </c>
      <c r="AV33" s="106" t="str">
        <f>IF(ISBLANK(Term1_Day_7[[#This Row],[Activity]]),"",IF(_xlfn.XLOOKUP(Term1_Day_7[[#This Row],[Activity]],Types_of_Activity[Type of Activity],Types_of_Activity[Classification])=1,Term1_Day_7[[#This Row],[Elapsed]],0))</f>
        <v/>
      </c>
      <c r="AW33" s="106" t="str">
        <f>IF(ISBLANK(Term1_Day_7[[#This Row],[Activity]]),"",IF(_xlfn.XLOOKUP(Term1_Day_7[[#This Row],[Activity]],Types_of_Activity[Type of Activity],Types_of_Activity[Classification])=2,Term1_Day_7[[#This Row],[Elapsed]],0))</f>
        <v/>
      </c>
      <c r="AX33" s="107"/>
      <c r="AY33" s="136"/>
      <c r="AZ33" s="136"/>
      <c r="BA33" s="103"/>
      <c r="BB33" s="106" t="str">
        <f>IF(OR(ISBLANK(Term1_Day_8[[#This Row],[Start]]),ISBLANK(Term1_Day_8[[#This Row],[End]])),"",(Term1_Day_8[[#This Row],[End]]-Term1_Day_8[[#This Row],[Start]])*1440)</f>
        <v/>
      </c>
      <c r="BC33" s="106" t="str">
        <f>IF(ISBLANK(Term1_Day_8[[#This Row],[Activity]]),"",IF(_xlfn.XLOOKUP(Term1_Day_8[[#This Row],[Activity]],Types_of_Activity[Type of Activity],Types_of_Activity[Classification])=1,Term1_Day_8[[#This Row],[Elapsed]],0))</f>
        <v/>
      </c>
      <c r="BD33" s="106" t="str">
        <f>IF(ISBLANK(Term1_Day_8[[#This Row],[Activity]]),"",IF(_xlfn.XLOOKUP(Term1_Day_8[[#This Row],[Activity]],Types_of_Activity[Type of Activity],Types_of_Activity[Classification])=2,Term1_Day_8[[#This Row],[Elapsed]],0))</f>
        <v/>
      </c>
      <c r="BE33" s="107"/>
      <c r="BF33" s="136"/>
      <c r="BG33" s="136"/>
      <c r="BH33" s="103"/>
      <c r="BI33" s="106" t="str">
        <f>IF(OR(ISBLANK(Term1_Day_9[[#This Row],[Start]]),ISBLANK(Term1_Day_9[[#This Row],[End]])),"",(Term1_Day_9[[#This Row],[End]]-Term1_Day_9[[#This Row],[Start]])*1440)</f>
        <v/>
      </c>
      <c r="BJ33" s="106" t="str">
        <f>IF(ISBLANK(Term1_Day_9[[#This Row],[Activity]]),"",IF(_xlfn.XLOOKUP(Term1_Day_9[[#This Row],[Activity]],Types_of_Activity[Type of Activity],Types_of_Activity[Classification])=1,Term1_Day_9[[#This Row],[Elapsed]],0))</f>
        <v/>
      </c>
      <c r="BK33" s="106" t="str">
        <f>IF(ISBLANK(Term1_Day_9[[#This Row],[Activity]]),"",IF(_xlfn.XLOOKUP(Term1_Day_9[[#This Row],[Activity]],Types_of_Activity[Type of Activity],Types_of_Activity[Classification])=2,Term1_Day_9[[#This Row],[Elapsed]],0))</f>
        <v/>
      </c>
      <c r="BL33" s="107"/>
      <c r="BM33" s="136"/>
      <c r="BN33" s="136"/>
      <c r="BO33" s="103"/>
      <c r="BP33" s="106" t="str">
        <f>IF(OR(ISBLANK(Term1_Day_10[[#This Row],[Start]]),ISBLANK(Term1_Day_10[[#This Row],[End]])),"",(Term1_Day_10[[#This Row],[End]]-Term1_Day_10[[#This Row],[Start]])*1440)</f>
        <v/>
      </c>
      <c r="BQ33" s="106" t="str">
        <f>IF(ISBLANK(Term1_Day_10[[#This Row],[Activity]]),"",IF(_xlfn.XLOOKUP(Term1_Day_10[[#This Row],[Activity]],Types_of_Activity[Type of Activity],Types_of_Activity[Classification])=1,Term1_Day_10[[#This Row],[Elapsed]],0))</f>
        <v/>
      </c>
      <c r="BR33" s="106" t="str">
        <f>IF(ISBLANK(Term1_Day_10[[#This Row],[Activity]]),"",IF(_xlfn.XLOOKUP(Term1_Day_10[[#This Row],[Activity]],Types_of_Activity[Type of Activity],Types_of_Activity[Classification])=2,Term1_Day_10[[#This Row],[Elapsed]],0))</f>
        <v/>
      </c>
      <c r="BS33" s="107"/>
    </row>
    <row r="34" spans="2:71" x14ac:dyDescent="0.3">
      <c r="B34" s="136"/>
      <c r="C34" s="136"/>
      <c r="D34" s="103"/>
      <c r="E34" s="106" t="str">
        <f>IF(OR(ISBLANK(Term1_Day_1[[#This Row],[Start]]),ISBLANK(Term1_Day_1[[#This Row],[End]])),"",(Term1_Day_1[[#This Row],[End]]-Term1_Day_1[[#This Row],[Start]])*1440)</f>
        <v/>
      </c>
      <c r="F34" s="106" t="str">
        <f>IF(ISBLANK(Term1_Day_1[[#This Row],[Activity]]),"",IF(_xlfn.XLOOKUP(Term1_Day_1[[#This Row],[Activity]],Types_of_Activity[Type of Activity],Types_of_Activity[Classification])=1,Term1_Day_1[[#This Row],[Elapsed]],0))</f>
        <v/>
      </c>
      <c r="G34" s="106" t="str">
        <f>IF(ISBLANK(Term1_Day_1[[#This Row],[Activity]]),"",IF(_xlfn.XLOOKUP(Term1_Day_1[[#This Row],[Activity]],Types_of_Activity[Type of Activity],Types_of_Activity[Classification])=2,Term1_Day_1[[#This Row],[Elapsed]],0))</f>
        <v/>
      </c>
      <c r="I34" s="136"/>
      <c r="J34" s="136"/>
      <c r="K34" s="103"/>
      <c r="L34" s="106" t="str">
        <f>IF(OR(ISBLANK(Term1_Day_2[[#This Row],[Start]]),ISBLANK(Term1_Day_2[[#This Row],[End]])),"",(Term1_Day_2[[#This Row],[End]]-Term1_Day_2[[#This Row],[Start]])*1440)</f>
        <v/>
      </c>
      <c r="M34" s="106" t="str">
        <f>IF(ISBLANK(Term1_Day_2[[#This Row],[Activity]]),"",IF(_xlfn.XLOOKUP(Term1_Day_2[[#This Row],[Activity]],Types_of_Activity[Type of Activity],Types_of_Activity[Classification])=1,Term1_Day_2[[#This Row],[Elapsed]],0))</f>
        <v/>
      </c>
      <c r="N34" s="106" t="str">
        <f>IF(ISBLANK(Term1_Day_2[[#This Row],[Activity]]),"",IF(_xlfn.XLOOKUP(Term1_Day_2[[#This Row],[Activity]],Types_of_Activity[Type of Activity],Types_of_Activity[Classification])=2,Term1_Day_2[[#This Row],[Elapsed]],0))</f>
        <v/>
      </c>
      <c r="P34" s="136"/>
      <c r="Q34" s="136"/>
      <c r="R34" s="103"/>
      <c r="S34" s="106" t="str">
        <f>IF(OR(ISBLANK(Term1_Day_3[[#This Row],[Start]]),ISBLANK(Term1_Day_3[[#This Row],[End]])),"",(Term1_Day_3[[#This Row],[End]]-Term1_Day_3[[#This Row],[Start]])*1440)</f>
        <v/>
      </c>
      <c r="T34" s="106" t="str">
        <f>IF(ISBLANK(Term1_Day_3[[#This Row],[Activity]]),"",IF(_xlfn.XLOOKUP(Term1_Day_3[[#This Row],[Activity]],Types_of_Activity[Type of Activity],Types_of_Activity[Classification])=1,Term1_Day_3[[#This Row],[Elapsed]],0))</f>
        <v/>
      </c>
      <c r="U34" s="106" t="str">
        <f>IF(ISBLANK(Term1_Day_3[[#This Row],[Activity]]),"",IF(_xlfn.XLOOKUP(Term1_Day_3[[#This Row],[Activity]],Types_of_Activity[Type of Activity],Types_of_Activity[Classification])=2,Term1_Day_3[[#This Row],[Elapsed]],0))</f>
        <v/>
      </c>
      <c r="W34" s="136"/>
      <c r="X34" s="136"/>
      <c r="Y34" s="103"/>
      <c r="Z34" s="106" t="str">
        <f>IF(OR(ISBLANK(Term1_Day_4[[#This Row],[Start]]),ISBLANK(Term1_Day_4[[#This Row],[End]])),"",(Term1_Day_4[[#This Row],[End]]-Term1_Day_4[[#This Row],[Start]])*1440)</f>
        <v/>
      </c>
      <c r="AA34" s="106" t="str">
        <f>IF(ISBLANK(Term1_Day_4[[#This Row],[Activity]]),"",IF(_xlfn.XLOOKUP(Term1_Day_4[[#This Row],[Activity]],Types_of_Activity[Type of Activity],Types_of_Activity[Classification])=1,Term1_Day_4[[#This Row],[Elapsed]],0))</f>
        <v/>
      </c>
      <c r="AB34" s="106" t="str">
        <f>IF(ISBLANK(Term1_Day_4[[#This Row],[Activity]]),"",IF(_xlfn.XLOOKUP(Term1_Day_4[[#This Row],[Activity]],Types_of_Activity[Type of Activity],Types_of_Activity[Classification])=2,Term1_Day_4[[#This Row],[Elapsed]],0))</f>
        <v/>
      </c>
      <c r="AD34" s="136"/>
      <c r="AE34" s="136"/>
      <c r="AF34" s="103"/>
      <c r="AG34" s="106" t="str">
        <f>IF(OR(ISBLANK(Term1_Day_5[[#This Row],[Start]]),ISBLANK(Term1_Day_5[[#This Row],[End]])),"",(Term1_Day_5[[#This Row],[End]]-Term1_Day_5[[#This Row],[Start]])*1440)</f>
        <v/>
      </c>
      <c r="AH34" s="106" t="str">
        <f>IF(ISBLANK(Term1_Day_5[[#This Row],[Activity]]),"",IF(_xlfn.XLOOKUP(Term1_Day_5[[#This Row],[Activity]],Types_of_Activity[Type of Activity],Types_of_Activity[Classification])=1,Term1_Day_5[[#This Row],[Elapsed]],0))</f>
        <v/>
      </c>
      <c r="AI34" s="106" t="str">
        <f>IF(ISBLANK(Term1_Day_5[[#This Row],[Activity]]),"",IF(_xlfn.XLOOKUP(Term1_Day_5[[#This Row],[Activity]],Types_of_Activity[Type of Activity],Types_of_Activity[Classification])=2,Term1_Day_5[[#This Row],[Elapsed]],0))</f>
        <v/>
      </c>
      <c r="AJ34" s="107"/>
      <c r="AK34" s="136"/>
      <c r="AL34" s="136"/>
      <c r="AM34" s="103"/>
      <c r="AN34" s="106" t="str">
        <f>IF(OR(ISBLANK(Term1_Day_6[[#This Row],[Start]]),ISBLANK(Term1_Day_6[[#This Row],[End]])),"",(Term1_Day_6[[#This Row],[End]]-Term1_Day_6[[#This Row],[Start]])*1440)</f>
        <v/>
      </c>
      <c r="AO34" s="106" t="str">
        <f>IF(ISBLANK(Term1_Day_6[[#This Row],[Activity]]),"",IF(_xlfn.XLOOKUP(Term1_Day_6[[#This Row],[Activity]],Types_of_Activity[Type of Activity],Types_of_Activity[Classification])=1,Term1_Day_6[[#This Row],[Elapsed]],0))</f>
        <v/>
      </c>
      <c r="AP34" s="106" t="str">
        <f>IF(ISBLANK(Term1_Day_6[[#This Row],[Activity]]),"",IF(_xlfn.XLOOKUP(Term1_Day_6[[#This Row],[Activity]],Types_of_Activity[Type of Activity],Types_of_Activity[Classification])=2,Term1_Day_6[[#This Row],[Elapsed]],0))</f>
        <v/>
      </c>
      <c r="AQ34" s="107"/>
      <c r="AR34" s="136"/>
      <c r="AS34" s="136"/>
      <c r="AT34" s="103"/>
      <c r="AU34" s="106" t="str">
        <f>IF(OR(ISBLANK(Term1_Day_7[[#This Row],[Start]]),ISBLANK(Term1_Day_7[[#This Row],[End]])),"",(Term1_Day_7[[#This Row],[End]]-Term1_Day_7[[#This Row],[Start]])*1440)</f>
        <v/>
      </c>
      <c r="AV34" s="106" t="str">
        <f>IF(ISBLANK(Term1_Day_7[[#This Row],[Activity]]),"",IF(_xlfn.XLOOKUP(Term1_Day_7[[#This Row],[Activity]],Types_of_Activity[Type of Activity],Types_of_Activity[Classification])=1,Term1_Day_7[[#This Row],[Elapsed]],0))</f>
        <v/>
      </c>
      <c r="AW34" s="106" t="str">
        <f>IF(ISBLANK(Term1_Day_7[[#This Row],[Activity]]),"",IF(_xlfn.XLOOKUP(Term1_Day_7[[#This Row],[Activity]],Types_of_Activity[Type of Activity],Types_of_Activity[Classification])=2,Term1_Day_7[[#This Row],[Elapsed]],0))</f>
        <v/>
      </c>
      <c r="AX34" s="107"/>
      <c r="AY34" s="136"/>
      <c r="AZ34" s="136"/>
      <c r="BA34" s="103"/>
      <c r="BB34" s="106" t="str">
        <f>IF(OR(ISBLANK(Term1_Day_8[[#This Row],[Start]]),ISBLANK(Term1_Day_8[[#This Row],[End]])),"",(Term1_Day_8[[#This Row],[End]]-Term1_Day_8[[#This Row],[Start]])*1440)</f>
        <v/>
      </c>
      <c r="BC34" s="106" t="str">
        <f>IF(ISBLANK(Term1_Day_8[[#This Row],[Activity]]),"",IF(_xlfn.XLOOKUP(Term1_Day_8[[#This Row],[Activity]],Types_of_Activity[Type of Activity],Types_of_Activity[Classification])=1,Term1_Day_8[[#This Row],[Elapsed]],0))</f>
        <v/>
      </c>
      <c r="BD34" s="106" t="str">
        <f>IF(ISBLANK(Term1_Day_8[[#This Row],[Activity]]),"",IF(_xlfn.XLOOKUP(Term1_Day_8[[#This Row],[Activity]],Types_of_Activity[Type of Activity],Types_of_Activity[Classification])=2,Term1_Day_8[[#This Row],[Elapsed]],0))</f>
        <v/>
      </c>
      <c r="BE34" s="107"/>
      <c r="BF34" s="136"/>
      <c r="BG34" s="136"/>
      <c r="BH34" s="103"/>
      <c r="BI34" s="106" t="str">
        <f>IF(OR(ISBLANK(Term1_Day_9[[#This Row],[Start]]),ISBLANK(Term1_Day_9[[#This Row],[End]])),"",(Term1_Day_9[[#This Row],[End]]-Term1_Day_9[[#This Row],[Start]])*1440)</f>
        <v/>
      </c>
      <c r="BJ34" s="106" t="str">
        <f>IF(ISBLANK(Term1_Day_9[[#This Row],[Activity]]),"",IF(_xlfn.XLOOKUP(Term1_Day_9[[#This Row],[Activity]],Types_of_Activity[Type of Activity],Types_of_Activity[Classification])=1,Term1_Day_9[[#This Row],[Elapsed]],0))</f>
        <v/>
      </c>
      <c r="BK34" s="106" t="str">
        <f>IF(ISBLANK(Term1_Day_9[[#This Row],[Activity]]),"",IF(_xlfn.XLOOKUP(Term1_Day_9[[#This Row],[Activity]],Types_of_Activity[Type of Activity],Types_of_Activity[Classification])=2,Term1_Day_9[[#This Row],[Elapsed]],0))</f>
        <v/>
      </c>
      <c r="BL34" s="107"/>
      <c r="BM34" s="136"/>
      <c r="BN34" s="136"/>
      <c r="BO34" s="103"/>
      <c r="BP34" s="106" t="str">
        <f>IF(OR(ISBLANK(Term1_Day_10[[#This Row],[Start]]),ISBLANK(Term1_Day_10[[#This Row],[End]])),"",(Term1_Day_10[[#This Row],[End]]-Term1_Day_10[[#This Row],[Start]])*1440)</f>
        <v/>
      </c>
      <c r="BQ34" s="106" t="str">
        <f>IF(ISBLANK(Term1_Day_10[[#This Row],[Activity]]),"",IF(_xlfn.XLOOKUP(Term1_Day_10[[#This Row],[Activity]],Types_of_Activity[Type of Activity],Types_of_Activity[Classification])=1,Term1_Day_10[[#This Row],[Elapsed]],0))</f>
        <v/>
      </c>
      <c r="BR34" s="106" t="str">
        <f>IF(ISBLANK(Term1_Day_10[[#This Row],[Activity]]),"",IF(_xlfn.XLOOKUP(Term1_Day_10[[#This Row],[Activity]],Types_of_Activity[Type of Activity],Types_of_Activity[Classification])=2,Term1_Day_10[[#This Row],[Elapsed]],0))</f>
        <v/>
      </c>
      <c r="BS34" s="107"/>
    </row>
    <row r="35" spans="2:71" x14ac:dyDescent="0.3">
      <c r="B35" s="136"/>
      <c r="C35" s="136"/>
      <c r="D35" s="103"/>
      <c r="E35" s="106" t="str">
        <f>IF(OR(ISBLANK(Term1_Day_1[[#This Row],[Start]]),ISBLANK(Term1_Day_1[[#This Row],[End]])),"",(Term1_Day_1[[#This Row],[End]]-Term1_Day_1[[#This Row],[Start]])*1440)</f>
        <v/>
      </c>
      <c r="F35" s="106" t="str">
        <f>IF(ISBLANK(Term1_Day_1[[#This Row],[Activity]]),"",IF(_xlfn.XLOOKUP(Term1_Day_1[[#This Row],[Activity]],Types_of_Activity[Type of Activity],Types_of_Activity[Classification])=1,Term1_Day_1[[#This Row],[Elapsed]],0))</f>
        <v/>
      </c>
      <c r="G35" s="106" t="str">
        <f>IF(ISBLANK(Term1_Day_1[[#This Row],[Activity]]),"",IF(_xlfn.XLOOKUP(Term1_Day_1[[#This Row],[Activity]],Types_of_Activity[Type of Activity],Types_of_Activity[Classification])=2,Term1_Day_1[[#This Row],[Elapsed]],0))</f>
        <v/>
      </c>
      <c r="I35" s="136"/>
      <c r="J35" s="136"/>
      <c r="K35" s="103"/>
      <c r="L35" s="106" t="str">
        <f>IF(OR(ISBLANK(Term1_Day_2[[#This Row],[Start]]),ISBLANK(Term1_Day_2[[#This Row],[End]])),"",(Term1_Day_2[[#This Row],[End]]-Term1_Day_2[[#This Row],[Start]])*1440)</f>
        <v/>
      </c>
      <c r="M35" s="106" t="str">
        <f>IF(ISBLANK(Term1_Day_2[[#This Row],[Activity]]),"",IF(_xlfn.XLOOKUP(Term1_Day_2[[#This Row],[Activity]],Types_of_Activity[Type of Activity],Types_of_Activity[Classification])=1,Term1_Day_2[[#This Row],[Elapsed]],0))</f>
        <v/>
      </c>
      <c r="N35" s="106" t="str">
        <f>IF(ISBLANK(Term1_Day_2[[#This Row],[Activity]]),"",IF(_xlfn.XLOOKUP(Term1_Day_2[[#This Row],[Activity]],Types_of_Activity[Type of Activity],Types_of_Activity[Classification])=2,Term1_Day_2[[#This Row],[Elapsed]],0))</f>
        <v/>
      </c>
      <c r="P35" s="136"/>
      <c r="Q35" s="136"/>
      <c r="R35" s="103"/>
      <c r="S35" s="106" t="str">
        <f>IF(OR(ISBLANK(Term1_Day_3[[#This Row],[Start]]),ISBLANK(Term1_Day_3[[#This Row],[End]])),"",(Term1_Day_3[[#This Row],[End]]-Term1_Day_3[[#This Row],[Start]])*1440)</f>
        <v/>
      </c>
      <c r="T35" s="106" t="str">
        <f>IF(ISBLANK(Term1_Day_3[[#This Row],[Activity]]),"",IF(_xlfn.XLOOKUP(Term1_Day_3[[#This Row],[Activity]],Types_of_Activity[Type of Activity],Types_of_Activity[Classification])=1,Term1_Day_3[[#This Row],[Elapsed]],0))</f>
        <v/>
      </c>
      <c r="U35" s="106" t="str">
        <f>IF(ISBLANK(Term1_Day_3[[#This Row],[Activity]]),"",IF(_xlfn.XLOOKUP(Term1_Day_3[[#This Row],[Activity]],Types_of_Activity[Type of Activity],Types_of_Activity[Classification])=2,Term1_Day_3[[#This Row],[Elapsed]],0))</f>
        <v/>
      </c>
      <c r="W35" s="136"/>
      <c r="X35" s="136"/>
      <c r="Y35" s="103"/>
      <c r="Z35" s="106" t="str">
        <f>IF(OR(ISBLANK(Term1_Day_4[[#This Row],[Start]]),ISBLANK(Term1_Day_4[[#This Row],[End]])),"",(Term1_Day_4[[#This Row],[End]]-Term1_Day_4[[#This Row],[Start]])*1440)</f>
        <v/>
      </c>
      <c r="AA35" s="106" t="str">
        <f>IF(ISBLANK(Term1_Day_4[[#This Row],[Activity]]),"",IF(_xlfn.XLOOKUP(Term1_Day_4[[#This Row],[Activity]],Types_of_Activity[Type of Activity],Types_of_Activity[Classification])=1,Term1_Day_4[[#This Row],[Elapsed]],0))</f>
        <v/>
      </c>
      <c r="AB35" s="106" t="str">
        <f>IF(ISBLANK(Term1_Day_4[[#This Row],[Activity]]),"",IF(_xlfn.XLOOKUP(Term1_Day_4[[#This Row],[Activity]],Types_of_Activity[Type of Activity],Types_of_Activity[Classification])=2,Term1_Day_4[[#This Row],[Elapsed]],0))</f>
        <v/>
      </c>
      <c r="AD35" s="136"/>
      <c r="AE35" s="136"/>
      <c r="AF35" s="103"/>
      <c r="AG35" s="106" t="str">
        <f>IF(OR(ISBLANK(Term1_Day_5[[#This Row],[Start]]),ISBLANK(Term1_Day_5[[#This Row],[End]])),"",(Term1_Day_5[[#This Row],[End]]-Term1_Day_5[[#This Row],[Start]])*1440)</f>
        <v/>
      </c>
      <c r="AH35" s="106" t="str">
        <f>IF(ISBLANK(Term1_Day_5[[#This Row],[Activity]]),"",IF(_xlfn.XLOOKUP(Term1_Day_5[[#This Row],[Activity]],Types_of_Activity[Type of Activity],Types_of_Activity[Classification])=1,Term1_Day_5[[#This Row],[Elapsed]],0))</f>
        <v/>
      </c>
      <c r="AI35" s="106" t="str">
        <f>IF(ISBLANK(Term1_Day_5[[#This Row],[Activity]]),"",IF(_xlfn.XLOOKUP(Term1_Day_5[[#This Row],[Activity]],Types_of_Activity[Type of Activity],Types_of_Activity[Classification])=2,Term1_Day_5[[#This Row],[Elapsed]],0))</f>
        <v/>
      </c>
      <c r="AJ35" s="107"/>
      <c r="AK35" s="136"/>
      <c r="AL35" s="136"/>
      <c r="AM35" s="103"/>
      <c r="AN35" s="106" t="str">
        <f>IF(OR(ISBLANK(Term1_Day_6[[#This Row],[Start]]),ISBLANK(Term1_Day_6[[#This Row],[End]])),"",(Term1_Day_6[[#This Row],[End]]-Term1_Day_6[[#This Row],[Start]])*1440)</f>
        <v/>
      </c>
      <c r="AO35" s="106" t="str">
        <f>IF(ISBLANK(Term1_Day_6[[#This Row],[Activity]]),"",IF(_xlfn.XLOOKUP(Term1_Day_6[[#This Row],[Activity]],Types_of_Activity[Type of Activity],Types_of_Activity[Classification])=1,Term1_Day_6[[#This Row],[Elapsed]],0))</f>
        <v/>
      </c>
      <c r="AP35" s="106" t="str">
        <f>IF(ISBLANK(Term1_Day_6[[#This Row],[Activity]]),"",IF(_xlfn.XLOOKUP(Term1_Day_6[[#This Row],[Activity]],Types_of_Activity[Type of Activity],Types_of_Activity[Classification])=2,Term1_Day_6[[#This Row],[Elapsed]],0))</f>
        <v/>
      </c>
      <c r="AQ35" s="107"/>
      <c r="AR35" s="136"/>
      <c r="AS35" s="136"/>
      <c r="AT35" s="103"/>
      <c r="AU35" s="106" t="str">
        <f>IF(OR(ISBLANK(Term1_Day_7[[#This Row],[Start]]),ISBLANK(Term1_Day_7[[#This Row],[End]])),"",(Term1_Day_7[[#This Row],[End]]-Term1_Day_7[[#This Row],[Start]])*1440)</f>
        <v/>
      </c>
      <c r="AV35" s="106" t="str">
        <f>IF(ISBLANK(Term1_Day_7[[#This Row],[Activity]]),"",IF(_xlfn.XLOOKUP(Term1_Day_7[[#This Row],[Activity]],Types_of_Activity[Type of Activity],Types_of_Activity[Classification])=1,Term1_Day_7[[#This Row],[Elapsed]],0))</f>
        <v/>
      </c>
      <c r="AW35" s="106" t="str">
        <f>IF(ISBLANK(Term1_Day_7[[#This Row],[Activity]]),"",IF(_xlfn.XLOOKUP(Term1_Day_7[[#This Row],[Activity]],Types_of_Activity[Type of Activity],Types_of_Activity[Classification])=2,Term1_Day_7[[#This Row],[Elapsed]],0))</f>
        <v/>
      </c>
      <c r="AX35" s="107"/>
      <c r="AY35" s="136"/>
      <c r="AZ35" s="136"/>
      <c r="BA35" s="103"/>
      <c r="BB35" s="106" t="str">
        <f>IF(OR(ISBLANK(Term1_Day_8[[#This Row],[Start]]),ISBLANK(Term1_Day_8[[#This Row],[End]])),"",(Term1_Day_8[[#This Row],[End]]-Term1_Day_8[[#This Row],[Start]])*1440)</f>
        <v/>
      </c>
      <c r="BC35" s="106" t="str">
        <f>IF(ISBLANK(Term1_Day_8[[#This Row],[Activity]]),"",IF(_xlfn.XLOOKUP(Term1_Day_8[[#This Row],[Activity]],Types_of_Activity[Type of Activity],Types_of_Activity[Classification])=1,Term1_Day_8[[#This Row],[Elapsed]],0))</f>
        <v/>
      </c>
      <c r="BD35" s="106" t="str">
        <f>IF(ISBLANK(Term1_Day_8[[#This Row],[Activity]]),"",IF(_xlfn.XLOOKUP(Term1_Day_8[[#This Row],[Activity]],Types_of_Activity[Type of Activity],Types_of_Activity[Classification])=2,Term1_Day_8[[#This Row],[Elapsed]],0))</f>
        <v/>
      </c>
      <c r="BE35" s="107"/>
      <c r="BF35" s="136"/>
      <c r="BG35" s="136"/>
      <c r="BH35" s="103"/>
      <c r="BI35" s="106" t="str">
        <f>IF(OR(ISBLANK(Term1_Day_9[[#This Row],[Start]]),ISBLANK(Term1_Day_9[[#This Row],[End]])),"",(Term1_Day_9[[#This Row],[End]]-Term1_Day_9[[#This Row],[Start]])*1440)</f>
        <v/>
      </c>
      <c r="BJ35" s="106" t="str">
        <f>IF(ISBLANK(Term1_Day_9[[#This Row],[Activity]]),"",IF(_xlfn.XLOOKUP(Term1_Day_9[[#This Row],[Activity]],Types_of_Activity[Type of Activity],Types_of_Activity[Classification])=1,Term1_Day_9[[#This Row],[Elapsed]],0))</f>
        <v/>
      </c>
      <c r="BK35" s="106" t="str">
        <f>IF(ISBLANK(Term1_Day_9[[#This Row],[Activity]]),"",IF(_xlfn.XLOOKUP(Term1_Day_9[[#This Row],[Activity]],Types_of_Activity[Type of Activity],Types_of_Activity[Classification])=2,Term1_Day_9[[#This Row],[Elapsed]],0))</f>
        <v/>
      </c>
      <c r="BL35" s="107"/>
      <c r="BM35" s="136"/>
      <c r="BN35" s="136"/>
      <c r="BO35" s="103"/>
      <c r="BP35" s="106" t="str">
        <f>IF(OR(ISBLANK(Term1_Day_10[[#This Row],[Start]]),ISBLANK(Term1_Day_10[[#This Row],[End]])),"",(Term1_Day_10[[#This Row],[End]]-Term1_Day_10[[#This Row],[Start]])*1440)</f>
        <v/>
      </c>
      <c r="BQ35" s="106" t="str">
        <f>IF(ISBLANK(Term1_Day_10[[#This Row],[Activity]]),"",IF(_xlfn.XLOOKUP(Term1_Day_10[[#This Row],[Activity]],Types_of_Activity[Type of Activity],Types_of_Activity[Classification])=1,Term1_Day_10[[#This Row],[Elapsed]],0))</f>
        <v/>
      </c>
      <c r="BR35" s="106" t="str">
        <f>IF(ISBLANK(Term1_Day_10[[#This Row],[Activity]]),"",IF(_xlfn.XLOOKUP(Term1_Day_10[[#This Row],[Activity]],Types_of_Activity[Type of Activity],Types_of_Activity[Classification])=2,Term1_Day_10[[#This Row],[Elapsed]],0))</f>
        <v/>
      </c>
      <c r="BS35" s="107"/>
    </row>
    <row r="36" spans="2:71" x14ac:dyDescent="0.3">
      <c r="B36" s="136"/>
      <c r="C36" s="136"/>
      <c r="D36" s="103"/>
      <c r="E36" s="106" t="str">
        <f>IF(OR(ISBLANK(Term1_Day_1[[#This Row],[Start]]),ISBLANK(Term1_Day_1[[#This Row],[End]])),"",(Term1_Day_1[[#This Row],[End]]-Term1_Day_1[[#This Row],[Start]])*1440)</f>
        <v/>
      </c>
      <c r="F36" s="106" t="str">
        <f>IF(ISBLANK(Term1_Day_1[[#This Row],[Activity]]),"",IF(_xlfn.XLOOKUP(Term1_Day_1[[#This Row],[Activity]],Types_of_Activity[Type of Activity],Types_of_Activity[Classification])=1,Term1_Day_1[[#This Row],[Elapsed]],0))</f>
        <v/>
      </c>
      <c r="G36" s="106" t="str">
        <f>IF(ISBLANK(Term1_Day_1[[#This Row],[Activity]]),"",IF(_xlfn.XLOOKUP(Term1_Day_1[[#This Row],[Activity]],Types_of_Activity[Type of Activity],Types_of_Activity[Classification])=2,Term1_Day_1[[#This Row],[Elapsed]],0))</f>
        <v/>
      </c>
      <c r="I36" s="136"/>
      <c r="J36" s="136"/>
      <c r="K36" s="103"/>
      <c r="L36" s="106" t="str">
        <f>IF(OR(ISBLANK(Term1_Day_2[[#This Row],[Start]]),ISBLANK(Term1_Day_2[[#This Row],[End]])),"",(Term1_Day_2[[#This Row],[End]]-Term1_Day_2[[#This Row],[Start]])*1440)</f>
        <v/>
      </c>
      <c r="M36" s="106" t="str">
        <f>IF(ISBLANK(Term1_Day_2[[#This Row],[Activity]]),"",IF(_xlfn.XLOOKUP(Term1_Day_2[[#This Row],[Activity]],Types_of_Activity[Type of Activity],Types_of_Activity[Classification])=1,Term1_Day_2[[#This Row],[Elapsed]],0))</f>
        <v/>
      </c>
      <c r="N36" s="106" t="str">
        <f>IF(ISBLANK(Term1_Day_2[[#This Row],[Activity]]),"",IF(_xlfn.XLOOKUP(Term1_Day_2[[#This Row],[Activity]],Types_of_Activity[Type of Activity],Types_of_Activity[Classification])=2,Term1_Day_2[[#This Row],[Elapsed]],0))</f>
        <v/>
      </c>
      <c r="P36" s="136"/>
      <c r="Q36" s="136"/>
      <c r="R36" s="103"/>
      <c r="S36" s="106" t="str">
        <f>IF(OR(ISBLANK(Term1_Day_3[[#This Row],[Start]]),ISBLANK(Term1_Day_3[[#This Row],[End]])),"",(Term1_Day_3[[#This Row],[End]]-Term1_Day_3[[#This Row],[Start]])*1440)</f>
        <v/>
      </c>
      <c r="T36" s="106" t="str">
        <f>IF(ISBLANK(Term1_Day_3[[#This Row],[Activity]]),"",IF(_xlfn.XLOOKUP(Term1_Day_3[[#This Row],[Activity]],Types_of_Activity[Type of Activity],Types_of_Activity[Classification])=1,Term1_Day_3[[#This Row],[Elapsed]],0))</f>
        <v/>
      </c>
      <c r="U36" s="106" t="str">
        <f>IF(ISBLANK(Term1_Day_3[[#This Row],[Activity]]),"",IF(_xlfn.XLOOKUP(Term1_Day_3[[#This Row],[Activity]],Types_of_Activity[Type of Activity],Types_of_Activity[Classification])=2,Term1_Day_3[[#This Row],[Elapsed]],0))</f>
        <v/>
      </c>
      <c r="W36" s="136"/>
      <c r="X36" s="136"/>
      <c r="Y36" s="103"/>
      <c r="Z36" s="106" t="str">
        <f>IF(OR(ISBLANK(Term1_Day_4[[#This Row],[Start]]),ISBLANK(Term1_Day_4[[#This Row],[End]])),"",(Term1_Day_4[[#This Row],[End]]-Term1_Day_4[[#This Row],[Start]])*1440)</f>
        <v/>
      </c>
      <c r="AA36" s="106" t="str">
        <f>IF(ISBLANK(Term1_Day_4[[#This Row],[Activity]]),"",IF(_xlfn.XLOOKUP(Term1_Day_4[[#This Row],[Activity]],Types_of_Activity[Type of Activity],Types_of_Activity[Classification])=1,Term1_Day_4[[#This Row],[Elapsed]],0))</f>
        <v/>
      </c>
      <c r="AB36" s="106" t="str">
        <f>IF(ISBLANK(Term1_Day_4[[#This Row],[Activity]]),"",IF(_xlfn.XLOOKUP(Term1_Day_4[[#This Row],[Activity]],Types_of_Activity[Type of Activity],Types_of_Activity[Classification])=2,Term1_Day_4[[#This Row],[Elapsed]],0))</f>
        <v/>
      </c>
      <c r="AD36" s="136"/>
      <c r="AE36" s="136"/>
      <c r="AF36" s="103"/>
      <c r="AG36" s="106" t="str">
        <f>IF(OR(ISBLANK(Term1_Day_5[[#This Row],[Start]]),ISBLANK(Term1_Day_5[[#This Row],[End]])),"",(Term1_Day_5[[#This Row],[End]]-Term1_Day_5[[#This Row],[Start]])*1440)</f>
        <v/>
      </c>
      <c r="AH36" s="106" t="str">
        <f>IF(ISBLANK(Term1_Day_5[[#This Row],[Activity]]),"",IF(_xlfn.XLOOKUP(Term1_Day_5[[#This Row],[Activity]],Types_of_Activity[Type of Activity],Types_of_Activity[Classification])=1,Term1_Day_5[[#This Row],[Elapsed]],0))</f>
        <v/>
      </c>
      <c r="AI36" s="106" t="str">
        <f>IF(ISBLANK(Term1_Day_5[[#This Row],[Activity]]),"",IF(_xlfn.XLOOKUP(Term1_Day_5[[#This Row],[Activity]],Types_of_Activity[Type of Activity],Types_of_Activity[Classification])=2,Term1_Day_5[[#This Row],[Elapsed]],0))</f>
        <v/>
      </c>
      <c r="AJ36" s="107"/>
      <c r="AK36" s="136"/>
      <c r="AL36" s="136"/>
      <c r="AM36" s="103"/>
      <c r="AN36" s="106" t="str">
        <f>IF(OR(ISBLANK(Term1_Day_6[[#This Row],[Start]]),ISBLANK(Term1_Day_6[[#This Row],[End]])),"",(Term1_Day_6[[#This Row],[End]]-Term1_Day_6[[#This Row],[Start]])*1440)</f>
        <v/>
      </c>
      <c r="AO36" s="106" t="str">
        <f>IF(ISBLANK(Term1_Day_6[[#This Row],[Activity]]),"",IF(_xlfn.XLOOKUP(Term1_Day_6[[#This Row],[Activity]],Types_of_Activity[Type of Activity],Types_of_Activity[Classification])=1,Term1_Day_6[[#This Row],[Elapsed]],0))</f>
        <v/>
      </c>
      <c r="AP36" s="106" t="str">
        <f>IF(ISBLANK(Term1_Day_6[[#This Row],[Activity]]),"",IF(_xlfn.XLOOKUP(Term1_Day_6[[#This Row],[Activity]],Types_of_Activity[Type of Activity],Types_of_Activity[Classification])=2,Term1_Day_6[[#This Row],[Elapsed]],0))</f>
        <v/>
      </c>
      <c r="AQ36" s="107"/>
      <c r="AR36" s="136"/>
      <c r="AS36" s="136"/>
      <c r="AT36" s="103"/>
      <c r="AU36" s="106" t="str">
        <f>IF(OR(ISBLANK(Term1_Day_7[[#This Row],[Start]]),ISBLANK(Term1_Day_7[[#This Row],[End]])),"",(Term1_Day_7[[#This Row],[End]]-Term1_Day_7[[#This Row],[Start]])*1440)</f>
        <v/>
      </c>
      <c r="AV36" s="106" t="str">
        <f>IF(ISBLANK(Term1_Day_7[[#This Row],[Activity]]),"",IF(_xlfn.XLOOKUP(Term1_Day_7[[#This Row],[Activity]],Types_of_Activity[Type of Activity],Types_of_Activity[Classification])=1,Term1_Day_7[[#This Row],[Elapsed]],0))</f>
        <v/>
      </c>
      <c r="AW36" s="106" t="str">
        <f>IF(ISBLANK(Term1_Day_7[[#This Row],[Activity]]),"",IF(_xlfn.XLOOKUP(Term1_Day_7[[#This Row],[Activity]],Types_of_Activity[Type of Activity],Types_of_Activity[Classification])=2,Term1_Day_7[[#This Row],[Elapsed]],0))</f>
        <v/>
      </c>
      <c r="AX36" s="107"/>
      <c r="AY36" s="136"/>
      <c r="AZ36" s="136"/>
      <c r="BA36" s="103"/>
      <c r="BB36" s="106" t="str">
        <f>IF(OR(ISBLANK(Term1_Day_8[[#This Row],[Start]]),ISBLANK(Term1_Day_8[[#This Row],[End]])),"",(Term1_Day_8[[#This Row],[End]]-Term1_Day_8[[#This Row],[Start]])*1440)</f>
        <v/>
      </c>
      <c r="BC36" s="106" t="str">
        <f>IF(ISBLANK(Term1_Day_8[[#This Row],[Activity]]),"",IF(_xlfn.XLOOKUP(Term1_Day_8[[#This Row],[Activity]],Types_of_Activity[Type of Activity],Types_of_Activity[Classification])=1,Term1_Day_8[[#This Row],[Elapsed]],0))</f>
        <v/>
      </c>
      <c r="BD36" s="106" t="str">
        <f>IF(ISBLANK(Term1_Day_8[[#This Row],[Activity]]),"",IF(_xlfn.XLOOKUP(Term1_Day_8[[#This Row],[Activity]],Types_of_Activity[Type of Activity],Types_of_Activity[Classification])=2,Term1_Day_8[[#This Row],[Elapsed]],0))</f>
        <v/>
      </c>
      <c r="BE36" s="107"/>
      <c r="BF36" s="136"/>
      <c r="BG36" s="136"/>
      <c r="BH36" s="103"/>
      <c r="BI36" s="106" t="str">
        <f>IF(OR(ISBLANK(Term1_Day_9[[#This Row],[Start]]),ISBLANK(Term1_Day_9[[#This Row],[End]])),"",(Term1_Day_9[[#This Row],[End]]-Term1_Day_9[[#This Row],[Start]])*1440)</f>
        <v/>
      </c>
      <c r="BJ36" s="106" t="str">
        <f>IF(ISBLANK(Term1_Day_9[[#This Row],[Activity]]),"",IF(_xlfn.XLOOKUP(Term1_Day_9[[#This Row],[Activity]],Types_of_Activity[Type of Activity],Types_of_Activity[Classification])=1,Term1_Day_9[[#This Row],[Elapsed]],0))</f>
        <v/>
      </c>
      <c r="BK36" s="106" t="str">
        <f>IF(ISBLANK(Term1_Day_9[[#This Row],[Activity]]),"",IF(_xlfn.XLOOKUP(Term1_Day_9[[#This Row],[Activity]],Types_of_Activity[Type of Activity],Types_of_Activity[Classification])=2,Term1_Day_9[[#This Row],[Elapsed]],0))</f>
        <v/>
      </c>
      <c r="BL36" s="107"/>
      <c r="BM36" s="136"/>
      <c r="BN36" s="136"/>
      <c r="BO36" s="103"/>
      <c r="BP36" s="106" t="str">
        <f>IF(OR(ISBLANK(Term1_Day_10[[#This Row],[Start]]),ISBLANK(Term1_Day_10[[#This Row],[End]])),"",(Term1_Day_10[[#This Row],[End]]-Term1_Day_10[[#This Row],[Start]])*1440)</f>
        <v/>
      </c>
      <c r="BQ36" s="106" t="str">
        <f>IF(ISBLANK(Term1_Day_10[[#This Row],[Activity]]),"",IF(_xlfn.XLOOKUP(Term1_Day_10[[#This Row],[Activity]],Types_of_Activity[Type of Activity],Types_of_Activity[Classification])=1,Term1_Day_10[[#This Row],[Elapsed]],0))</f>
        <v/>
      </c>
      <c r="BR36" s="106" t="str">
        <f>IF(ISBLANK(Term1_Day_10[[#This Row],[Activity]]),"",IF(_xlfn.XLOOKUP(Term1_Day_10[[#This Row],[Activity]],Types_of_Activity[Type of Activity],Types_of_Activity[Classification])=2,Term1_Day_10[[#This Row],[Elapsed]],0))</f>
        <v/>
      </c>
      <c r="BS36" s="107"/>
    </row>
    <row r="37" spans="2:71" x14ac:dyDescent="0.3">
      <c r="B37" s="136"/>
      <c r="C37" s="136"/>
      <c r="D37" s="103"/>
      <c r="E37" s="106" t="str">
        <f>IF(OR(ISBLANK(Term1_Day_1[[#This Row],[Start]]),ISBLANK(Term1_Day_1[[#This Row],[End]])),"",(Term1_Day_1[[#This Row],[End]]-Term1_Day_1[[#This Row],[Start]])*1440)</f>
        <v/>
      </c>
      <c r="F37" s="106" t="str">
        <f>IF(ISBLANK(Term1_Day_1[[#This Row],[Activity]]),"",IF(_xlfn.XLOOKUP(Term1_Day_1[[#This Row],[Activity]],Types_of_Activity[Type of Activity],Types_of_Activity[Classification])=1,Term1_Day_1[[#This Row],[Elapsed]],0))</f>
        <v/>
      </c>
      <c r="G37" s="106" t="str">
        <f>IF(ISBLANK(Term1_Day_1[[#This Row],[Activity]]),"",IF(_xlfn.XLOOKUP(Term1_Day_1[[#This Row],[Activity]],Types_of_Activity[Type of Activity],Types_of_Activity[Classification])=2,Term1_Day_1[[#This Row],[Elapsed]],0))</f>
        <v/>
      </c>
      <c r="I37" s="136"/>
      <c r="J37" s="136"/>
      <c r="K37" s="103"/>
      <c r="L37" s="106" t="str">
        <f>IF(OR(ISBLANK(Term1_Day_2[[#This Row],[Start]]),ISBLANK(Term1_Day_2[[#This Row],[End]])),"",(Term1_Day_2[[#This Row],[End]]-Term1_Day_2[[#This Row],[Start]])*1440)</f>
        <v/>
      </c>
      <c r="M37" s="106" t="str">
        <f>IF(ISBLANK(Term1_Day_2[[#This Row],[Activity]]),"",IF(_xlfn.XLOOKUP(Term1_Day_2[[#This Row],[Activity]],Types_of_Activity[Type of Activity],Types_of_Activity[Classification])=1,Term1_Day_2[[#This Row],[Elapsed]],0))</f>
        <v/>
      </c>
      <c r="N37" s="106" t="str">
        <f>IF(ISBLANK(Term1_Day_2[[#This Row],[Activity]]),"",IF(_xlfn.XLOOKUP(Term1_Day_2[[#This Row],[Activity]],Types_of_Activity[Type of Activity],Types_of_Activity[Classification])=2,Term1_Day_2[[#This Row],[Elapsed]],0))</f>
        <v/>
      </c>
      <c r="P37" s="136"/>
      <c r="Q37" s="136"/>
      <c r="R37" s="103"/>
      <c r="S37" s="106" t="str">
        <f>IF(OR(ISBLANK(Term1_Day_3[[#This Row],[Start]]),ISBLANK(Term1_Day_3[[#This Row],[End]])),"",(Term1_Day_3[[#This Row],[End]]-Term1_Day_3[[#This Row],[Start]])*1440)</f>
        <v/>
      </c>
      <c r="T37" s="106" t="str">
        <f>IF(ISBLANK(Term1_Day_3[[#This Row],[Activity]]),"",IF(_xlfn.XLOOKUP(Term1_Day_3[[#This Row],[Activity]],Types_of_Activity[Type of Activity],Types_of_Activity[Classification])=1,Term1_Day_3[[#This Row],[Elapsed]],0))</f>
        <v/>
      </c>
      <c r="U37" s="106" t="str">
        <f>IF(ISBLANK(Term1_Day_3[[#This Row],[Activity]]),"",IF(_xlfn.XLOOKUP(Term1_Day_3[[#This Row],[Activity]],Types_of_Activity[Type of Activity],Types_of_Activity[Classification])=2,Term1_Day_3[[#This Row],[Elapsed]],0))</f>
        <v/>
      </c>
      <c r="W37" s="136"/>
      <c r="X37" s="136"/>
      <c r="Y37" s="103"/>
      <c r="Z37" s="106" t="str">
        <f>IF(OR(ISBLANK(Term1_Day_4[[#This Row],[Start]]),ISBLANK(Term1_Day_4[[#This Row],[End]])),"",(Term1_Day_4[[#This Row],[End]]-Term1_Day_4[[#This Row],[Start]])*1440)</f>
        <v/>
      </c>
      <c r="AA37" s="106" t="str">
        <f>IF(ISBLANK(Term1_Day_4[[#This Row],[Activity]]),"",IF(_xlfn.XLOOKUP(Term1_Day_4[[#This Row],[Activity]],Types_of_Activity[Type of Activity],Types_of_Activity[Classification])=1,Term1_Day_4[[#This Row],[Elapsed]],0))</f>
        <v/>
      </c>
      <c r="AB37" s="106" t="str">
        <f>IF(ISBLANK(Term1_Day_4[[#This Row],[Activity]]),"",IF(_xlfn.XLOOKUP(Term1_Day_4[[#This Row],[Activity]],Types_of_Activity[Type of Activity],Types_of_Activity[Classification])=2,Term1_Day_4[[#This Row],[Elapsed]],0))</f>
        <v/>
      </c>
      <c r="AD37" s="136"/>
      <c r="AE37" s="136"/>
      <c r="AF37" s="103"/>
      <c r="AG37" s="106" t="str">
        <f>IF(OR(ISBLANK(Term1_Day_5[[#This Row],[Start]]),ISBLANK(Term1_Day_5[[#This Row],[End]])),"",(Term1_Day_5[[#This Row],[End]]-Term1_Day_5[[#This Row],[Start]])*1440)</f>
        <v/>
      </c>
      <c r="AH37" s="106" t="str">
        <f>IF(ISBLANK(Term1_Day_5[[#This Row],[Activity]]),"",IF(_xlfn.XLOOKUP(Term1_Day_5[[#This Row],[Activity]],Types_of_Activity[Type of Activity],Types_of_Activity[Classification])=1,Term1_Day_5[[#This Row],[Elapsed]],0))</f>
        <v/>
      </c>
      <c r="AI37" s="106" t="str">
        <f>IF(ISBLANK(Term1_Day_5[[#This Row],[Activity]]),"",IF(_xlfn.XLOOKUP(Term1_Day_5[[#This Row],[Activity]],Types_of_Activity[Type of Activity],Types_of_Activity[Classification])=2,Term1_Day_5[[#This Row],[Elapsed]],0))</f>
        <v/>
      </c>
      <c r="AJ37" s="107"/>
      <c r="AK37" s="136"/>
      <c r="AL37" s="136"/>
      <c r="AM37" s="103"/>
      <c r="AN37" s="106" t="str">
        <f>IF(OR(ISBLANK(Term1_Day_6[[#This Row],[Start]]),ISBLANK(Term1_Day_6[[#This Row],[End]])),"",(Term1_Day_6[[#This Row],[End]]-Term1_Day_6[[#This Row],[Start]])*1440)</f>
        <v/>
      </c>
      <c r="AO37" s="106" t="str">
        <f>IF(ISBLANK(Term1_Day_6[[#This Row],[Activity]]),"",IF(_xlfn.XLOOKUP(Term1_Day_6[[#This Row],[Activity]],Types_of_Activity[Type of Activity],Types_of_Activity[Classification])=1,Term1_Day_6[[#This Row],[Elapsed]],0))</f>
        <v/>
      </c>
      <c r="AP37" s="106" t="str">
        <f>IF(ISBLANK(Term1_Day_6[[#This Row],[Activity]]),"",IF(_xlfn.XLOOKUP(Term1_Day_6[[#This Row],[Activity]],Types_of_Activity[Type of Activity],Types_of_Activity[Classification])=2,Term1_Day_6[[#This Row],[Elapsed]],0))</f>
        <v/>
      </c>
      <c r="AQ37" s="107"/>
      <c r="AR37" s="136"/>
      <c r="AS37" s="136"/>
      <c r="AT37" s="103"/>
      <c r="AU37" s="106" t="str">
        <f>IF(OR(ISBLANK(Term1_Day_7[[#This Row],[Start]]),ISBLANK(Term1_Day_7[[#This Row],[End]])),"",(Term1_Day_7[[#This Row],[End]]-Term1_Day_7[[#This Row],[Start]])*1440)</f>
        <v/>
      </c>
      <c r="AV37" s="106" t="str">
        <f>IF(ISBLANK(Term1_Day_7[[#This Row],[Activity]]),"",IF(_xlfn.XLOOKUP(Term1_Day_7[[#This Row],[Activity]],Types_of_Activity[Type of Activity],Types_of_Activity[Classification])=1,Term1_Day_7[[#This Row],[Elapsed]],0))</f>
        <v/>
      </c>
      <c r="AW37" s="106" t="str">
        <f>IF(ISBLANK(Term1_Day_7[[#This Row],[Activity]]),"",IF(_xlfn.XLOOKUP(Term1_Day_7[[#This Row],[Activity]],Types_of_Activity[Type of Activity],Types_of_Activity[Classification])=2,Term1_Day_7[[#This Row],[Elapsed]],0))</f>
        <v/>
      </c>
      <c r="AX37" s="107"/>
      <c r="AY37" s="136"/>
      <c r="AZ37" s="136"/>
      <c r="BA37" s="103"/>
      <c r="BB37" s="106" t="str">
        <f>IF(OR(ISBLANK(Term1_Day_8[[#This Row],[Start]]),ISBLANK(Term1_Day_8[[#This Row],[End]])),"",(Term1_Day_8[[#This Row],[End]]-Term1_Day_8[[#This Row],[Start]])*1440)</f>
        <v/>
      </c>
      <c r="BC37" s="106" t="str">
        <f>IF(ISBLANK(Term1_Day_8[[#This Row],[Activity]]),"",IF(_xlfn.XLOOKUP(Term1_Day_8[[#This Row],[Activity]],Types_of_Activity[Type of Activity],Types_of_Activity[Classification])=1,Term1_Day_8[[#This Row],[Elapsed]],0))</f>
        <v/>
      </c>
      <c r="BD37" s="106" t="str">
        <f>IF(ISBLANK(Term1_Day_8[[#This Row],[Activity]]),"",IF(_xlfn.XLOOKUP(Term1_Day_8[[#This Row],[Activity]],Types_of_Activity[Type of Activity],Types_of_Activity[Classification])=2,Term1_Day_8[[#This Row],[Elapsed]],0))</f>
        <v/>
      </c>
      <c r="BE37" s="107"/>
      <c r="BF37" s="136"/>
      <c r="BG37" s="136"/>
      <c r="BH37" s="103"/>
      <c r="BI37" s="106" t="str">
        <f>IF(OR(ISBLANK(Term1_Day_9[[#This Row],[Start]]),ISBLANK(Term1_Day_9[[#This Row],[End]])),"",(Term1_Day_9[[#This Row],[End]]-Term1_Day_9[[#This Row],[Start]])*1440)</f>
        <v/>
      </c>
      <c r="BJ37" s="106" t="str">
        <f>IF(ISBLANK(Term1_Day_9[[#This Row],[Activity]]),"",IF(_xlfn.XLOOKUP(Term1_Day_9[[#This Row],[Activity]],Types_of_Activity[Type of Activity],Types_of_Activity[Classification])=1,Term1_Day_9[[#This Row],[Elapsed]],0))</f>
        <v/>
      </c>
      <c r="BK37" s="106" t="str">
        <f>IF(ISBLANK(Term1_Day_9[[#This Row],[Activity]]),"",IF(_xlfn.XLOOKUP(Term1_Day_9[[#This Row],[Activity]],Types_of_Activity[Type of Activity],Types_of_Activity[Classification])=2,Term1_Day_9[[#This Row],[Elapsed]],0))</f>
        <v/>
      </c>
      <c r="BL37" s="107"/>
      <c r="BM37" s="136"/>
      <c r="BN37" s="136"/>
      <c r="BO37" s="103"/>
      <c r="BP37" s="106" t="str">
        <f>IF(OR(ISBLANK(Term1_Day_10[[#This Row],[Start]]),ISBLANK(Term1_Day_10[[#This Row],[End]])),"",(Term1_Day_10[[#This Row],[End]]-Term1_Day_10[[#This Row],[Start]])*1440)</f>
        <v/>
      </c>
      <c r="BQ37" s="106" t="str">
        <f>IF(ISBLANK(Term1_Day_10[[#This Row],[Activity]]),"",IF(_xlfn.XLOOKUP(Term1_Day_10[[#This Row],[Activity]],Types_of_Activity[Type of Activity],Types_of_Activity[Classification])=1,Term1_Day_10[[#This Row],[Elapsed]],0))</f>
        <v/>
      </c>
      <c r="BR37" s="106" t="str">
        <f>IF(ISBLANK(Term1_Day_10[[#This Row],[Activity]]),"",IF(_xlfn.XLOOKUP(Term1_Day_10[[#This Row],[Activity]],Types_of_Activity[Type of Activity],Types_of_Activity[Classification])=2,Term1_Day_10[[#This Row],[Elapsed]],0))</f>
        <v/>
      </c>
      <c r="BS37" s="107"/>
    </row>
    <row r="38" spans="2:71" x14ac:dyDescent="0.3">
      <c r="B38" s="136"/>
      <c r="C38" s="136"/>
      <c r="D38" s="103"/>
      <c r="E38" s="106" t="str">
        <f>IF(OR(ISBLANK(Term1_Day_1[[#This Row],[Start]]),ISBLANK(Term1_Day_1[[#This Row],[End]])),"",(Term1_Day_1[[#This Row],[End]]-Term1_Day_1[[#This Row],[Start]])*1440)</f>
        <v/>
      </c>
      <c r="F38" s="106" t="str">
        <f>IF(ISBLANK(Term1_Day_1[[#This Row],[Activity]]),"",IF(_xlfn.XLOOKUP(Term1_Day_1[[#This Row],[Activity]],Types_of_Activity[Type of Activity],Types_of_Activity[Classification])=1,Term1_Day_1[[#This Row],[Elapsed]],0))</f>
        <v/>
      </c>
      <c r="G38" s="106" t="str">
        <f>IF(ISBLANK(Term1_Day_1[[#This Row],[Activity]]),"",IF(_xlfn.XLOOKUP(Term1_Day_1[[#This Row],[Activity]],Types_of_Activity[Type of Activity],Types_of_Activity[Classification])=2,Term1_Day_1[[#This Row],[Elapsed]],0))</f>
        <v/>
      </c>
      <c r="I38" s="136"/>
      <c r="J38" s="136"/>
      <c r="K38" s="103"/>
      <c r="L38" s="106" t="str">
        <f>IF(OR(ISBLANK(Term1_Day_2[[#This Row],[Start]]),ISBLANK(Term1_Day_2[[#This Row],[End]])),"",(Term1_Day_2[[#This Row],[End]]-Term1_Day_2[[#This Row],[Start]])*1440)</f>
        <v/>
      </c>
      <c r="M38" s="106" t="str">
        <f>IF(ISBLANK(Term1_Day_2[[#This Row],[Activity]]),"",IF(_xlfn.XLOOKUP(Term1_Day_2[[#This Row],[Activity]],Types_of_Activity[Type of Activity],Types_of_Activity[Classification])=1,Term1_Day_2[[#This Row],[Elapsed]],0))</f>
        <v/>
      </c>
      <c r="N38" s="106" t="str">
        <f>IF(ISBLANK(Term1_Day_2[[#This Row],[Activity]]),"",IF(_xlfn.XLOOKUP(Term1_Day_2[[#This Row],[Activity]],Types_of_Activity[Type of Activity],Types_of_Activity[Classification])=2,Term1_Day_2[[#This Row],[Elapsed]],0))</f>
        <v/>
      </c>
      <c r="P38" s="136"/>
      <c r="Q38" s="136"/>
      <c r="R38" s="103"/>
      <c r="S38" s="106" t="str">
        <f>IF(OR(ISBLANK(Term1_Day_3[[#This Row],[Start]]),ISBLANK(Term1_Day_3[[#This Row],[End]])),"",(Term1_Day_3[[#This Row],[End]]-Term1_Day_3[[#This Row],[Start]])*1440)</f>
        <v/>
      </c>
      <c r="T38" s="106" t="str">
        <f>IF(ISBLANK(Term1_Day_3[[#This Row],[Activity]]),"",IF(_xlfn.XLOOKUP(Term1_Day_3[[#This Row],[Activity]],Types_of_Activity[Type of Activity],Types_of_Activity[Classification])=1,Term1_Day_3[[#This Row],[Elapsed]],0))</f>
        <v/>
      </c>
      <c r="U38" s="106" t="str">
        <f>IF(ISBLANK(Term1_Day_3[[#This Row],[Activity]]),"",IF(_xlfn.XLOOKUP(Term1_Day_3[[#This Row],[Activity]],Types_of_Activity[Type of Activity],Types_of_Activity[Classification])=2,Term1_Day_3[[#This Row],[Elapsed]],0))</f>
        <v/>
      </c>
      <c r="W38" s="136"/>
      <c r="X38" s="136"/>
      <c r="Y38" s="103"/>
      <c r="Z38" s="106" t="str">
        <f>IF(OR(ISBLANK(Term1_Day_4[[#This Row],[Start]]),ISBLANK(Term1_Day_4[[#This Row],[End]])),"",(Term1_Day_4[[#This Row],[End]]-Term1_Day_4[[#This Row],[Start]])*1440)</f>
        <v/>
      </c>
      <c r="AA38" s="106" t="str">
        <f>IF(ISBLANK(Term1_Day_4[[#This Row],[Activity]]),"",IF(_xlfn.XLOOKUP(Term1_Day_4[[#This Row],[Activity]],Types_of_Activity[Type of Activity],Types_of_Activity[Classification])=1,Term1_Day_4[[#This Row],[Elapsed]],0))</f>
        <v/>
      </c>
      <c r="AB38" s="106" t="str">
        <f>IF(ISBLANK(Term1_Day_4[[#This Row],[Activity]]),"",IF(_xlfn.XLOOKUP(Term1_Day_4[[#This Row],[Activity]],Types_of_Activity[Type of Activity],Types_of_Activity[Classification])=2,Term1_Day_4[[#This Row],[Elapsed]],0))</f>
        <v/>
      </c>
      <c r="AD38" s="136"/>
      <c r="AE38" s="136"/>
      <c r="AF38" s="103"/>
      <c r="AG38" s="106" t="str">
        <f>IF(OR(ISBLANK(Term1_Day_5[[#This Row],[Start]]),ISBLANK(Term1_Day_5[[#This Row],[End]])),"",(Term1_Day_5[[#This Row],[End]]-Term1_Day_5[[#This Row],[Start]])*1440)</f>
        <v/>
      </c>
      <c r="AH38" s="106" t="str">
        <f>IF(ISBLANK(Term1_Day_5[[#This Row],[Activity]]),"",IF(_xlfn.XLOOKUP(Term1_Day_5[[#This Row],[Activity]],Types_of_Activity[Type of Activity],Types_of_Activity[Classification])=1,Term1_Day_5[[#This Row],[Elapsed]],0))</f>
        <v/>
      </c>
      <c r="AI38" s="106" t="str">
        <f>IF(ISBLANK(Term1_Day_5[[#This Row],[Activity]]),"",IF(_xlfn.XLOOKUP(Term1_Day_5[[#This Row],[Activity]],Types_of_Activity[Type of Activity],Types_of_Activity[Classification])=2,Term1_Day_5[[#This Row],[Elapsed]],0))</f>
        <v/>
      </c>
      <c r="AJ38" s="107"/>
      <c r="AK38" s="136"/>
      <c r="AL38" s="136"/>
      <c r="AM38" s="103"/>
      <c r="AN38" s="106" t="str">
        <f>IF(OR(ISBLANK(Term1_Day_6[[#This Row],[Start]]),ISBLANK(Term1_Day_6[[#This Row],[End]])),"",(Term1_Day_6[[#This Row],[End]]-Term1_Day_6[[#This Row],[Start]])*1440)</f>
        <v/>
      </c>
      <c r="AO38" s="106" t="str">
        <f>IF(ISBLANK(Term1_Day_6[[#This Row],[Activity]]),"",IF(_xlfn.XLOOKUP(Term1_Day_6[[#This Row],[Activity]],Types_of_Activity[Type of Activity],Types_of_Activity[Classification])=1,Term1_Day_6[[#This Row],[Elapsed]],0))</f>
        <v/>
      </c>
      <c r="AP38" s="106" t="str">
        <f>IF(ISBLANK(Term1_Day_6[[#This Row],[Activity]]),"",IF(_xlfn.XLOOKUP(Term1_Day_6[[#This Row],[Activity]],Types_of_Activity[Type of Activity],Types_of_Activity[Classification])=2,Term1_Day_6[[#This Row],[Elapsed]],0))</f>
        <v/>
      </c>
      <c r="AQ38" s="107"/>
      <c r="AR38" s="136"/>
      <c r="AS38" s="136"/>
      <c r="AT38" s="103"/>
      <c r="AU38" s="106" t="str">
        <f>IF(OR(ISBLANK(Term1_Day_7[[#This Row],[Start]]),ISBLANK(Term1_Day_7[[#This Row],[End]])),"",(Term1_Day_7[[#This Row],[End]]-Term1_Day_7[[#This Row],[Start]])*1440)</f>
        <v/>
      </c>
      <c r="AV38" s="106" t="str">
        <f>IF(ISBLANK(Term1_Day_7[[#This Row],[Activity]]),"",IF(_xlfn.XLOOKUP(Term1_Day_7[[#This Row],[Activity]],Types_of_Activity[Type of Activity],Types_of_Activity[Classification])=1,Term1_Day_7[[#This Row],[Elapsed]],0))</f>
        <v/>
      </c>
      <c r="AW38" s="106" t="str">
        <f>IF(ISBLANK(Term1_Day_7[[#This Row],[Activity]]),"",IF(_xlfn.XLOOKUP(Term1_Day_7[[#This Row],[Activity]],Types_of_Activity[Type of Activity],Types_of_Activity[Classification])=2,Term1_Day_7[[#This Row],[Elapsed]],0))</f>
        <v/>
      </c>
      <c r="AX38" s="107"/>
      <c r="AY38" s="136"/>
      <c r="AZ38" s="136"/>
      <c r="BA38" s="103"/>
      <c r="BB38" s="106" t="str">
        <f>IF(OR(ISBLANK(Term1_Day_8[[#This Row],[Start]]),ISBLANK(Term1_Day_8[[#This Row],[End]])),"",(Term1_Day_8[[#This Row],[End]]-Term1_Day_8[[#This Row],[Start]])*1440)</f>
        <v/>
      </c>
      <c r="BC38" s="106" t="str">
        <f>IF(ISBLANK(Term1_Day_8[[#This Row],[Activity]]),"",IF(_xlfn.XLOOKUP(Term1_Day_8[[#This Row],[Activity]],Types_of_Activity[Type of Activity],Types_of_Activity[Classification])=1,Term1_Day_8[[#This Row],[Elapsed]],0))</f>
        <v/>
      </c>
      <c r="BD38" s="106" t="str">
        <f>IF(ISBLANK(Term1_Day_8[[#This Row],[Activity]]),"",IF(_xlfn.XLOOKUP(Term1_Day_8[[#This Row],[Activity]],Types_of_Activity[Type of Activity],Types_of_Activity[Classification])=2,Term1_Day_8[[#This Row],[Elapsed]],0))</f>
        <v/>
      </c>
      <c r="BE38" s="107"/>
      <c r="BF38" s="136"/>
      <c r="BG38" s="136"/>
      <c r="BH38" s="103"/>
      <c r="BI38" s="106" t="str">
        <f>IF(OR(ISBLANK(Term1_Day_9[[#This Row],[Start]]),ISBLANK(Term1_Day_9[[#This Row],[End]])),"",(Term1_Day_9[[#This Row],[End]]-Term1_Day_9[[#This Row],[Start]])*1440)</f>
        <v/>
      </c>
      <c r="BJ38" s="106" t="str">
        <f>IF(ISBLANK(Term1_Day_9[[#This Row],[Activity]]),"",IF(_xlfn.XLOOKUP(Term1_Day_9[[#This Row],[Activity]],Types_of_Activity[Type of Activity],Types_of_Activity[Classification])=1,Term1_Day_9[[#This Row],[Elapsed]],0))</f>
        <v/>
      </c>
      <c r="BK38" s="106" t="str">
        <f>IF(ISBLANK(Term1_Day_9[[#This Row],[Activity]]),"",IF(_xlfn.XLOOKUP(Term1_Day_9[[#This Row],[Activity]],Types_of_Activity[Type of Activity],Types_of_Activity[Classification])=2,Term1_Day_9[[#This Row],[Elapsed]],0))</f>
        <v/>
      </c>
      <c r="BL38" s="107"/>
      <c r="BM38" s="136"/>
      <c r="BN38" s="136"/>
      <c r="BO38" s="103"/>
      <c r="BP38" s="106" t="str">
        <f>IF(OR(ISBLANK(Term1_Day_10[[#This Row],[Start]]),ISBLANK(Term1_Day_10[[#This Row],[End]])),"",(Term1_Day_10[[#This Row],[End]]-Term1_Day_10[[#This Row],[Start]])*1440)</f>
        <v/>
      </c>
      <c r="BQ38" s="106" t="str">
        <f>IF(ISBLANK(Term1_Day_10[[#This Row],[Activity]]),"",IF(_xlfn.XLOOKUP(Term1_Day_10[[#This Row],[Activity]],Types_of_Activity[Type of Activity],Types_of_Activity[Classification])=1,Term1_Day_10[[#This Row],[Elapsed]],0))</f>
        <v/>
      </c>
      <c r="BR38" s="106" t="str">
        <f>IF(ISBLANK(Term1_Day_10[[#This Row],[Activity]]),"",IF(_xlfn.XLOOKUP(Term1_Day_10[[#This Row],[Activity]],Types_of_Activity[Type of Activity],Types_of_Activity[Classification])=2,Term1_Day_10[[#This Row],[Elapsed]],0))</f>
        <v/>
      </c>
      <c r="BS38" s="107"/>
    </row>
    <row r="39" spans="2:71" x14ac:dyDescent="0.3">
      <c r="B39" s="136"/>
      <c r="C39" s="136"/>
      <c r="D39" s="103"/>
      <c r="E39" s="106" t="str">
        <f>IF(OR(ISBLANK(Term1_Day_1[[#This Row],[Start]]),ISBLANK(Term1_Day_1[[#This Row],[End]])),"",(Term1_Day_1[[#This Row],[End]]-Term1_Day_1[[#This Row],[Start]])*1440)</f>
        <v/>
      </c>
      <c r="F39" s="106" t="str">
        <f>IF(ISBLANK(Term1_Day_1[[#This Row],[Activity]]),"",IF(_xlfn.XLOOKUP(Term1_Day_1[[#This Row],[Activity]],Types_of_Activity[Type of Activity],Types_of_Activity[Classification])=1,Term1_Day_1[[#This Row],[Elapsed]],0))</f>
        <v/>
      </c>
      <c r="G39" s="106" t="str">
        <f>IF(ISBLANK(Term1_Day_1[[#This Row],[Activity]]),"",IF(_xlfn.XLOOKUP(Term1_Day_1[[#This Row],[Activity]],Types_of_Activity[Type of Activity],Types_of_Activity[Classification])=2,Term1_Day_1[[#This Row],[Elapsed]],0))</f>
        <v/>
      </c>
      <c r="I39" s="136"/>
      <c r="J39" s="136"/>
      <c r="K39" s="103"/>
      <c r="L39" s="106" t="str">
        <f>IF(OR(ISBLANK(Term1_Day_2[[#This Row],[Start]]),ISBLANK(Term1_Day_2[[#This Row],[End]])),"",(Term1_Day_2[[#This Row],[End]]-Term1_Day_2[[#This Row],[Start]])*1440)</f>
        <v/>
      </c>
      <c r="M39" s="106" t="str">
        <f>IF(ISBLANK(Term1_Day_2[[#This Row],[Activity]]),"",IF(_xlfn.XLOOKUP(Term1_Day_2[[#This Row],[Activity]],Types_of_Activity[Type of Activity],Types_of_Activity[Classification])=1,Term1_Day_2[[#This Row],[Elapsed]],0))</f>
        <v/>
      </c>
      <c r="N39" s="106" t="str">
        <f>IF(ISBLANK(Term1_Day_2[[#This Row],[Activity]]),"",IF(_xlfn.XLOOKUP(Term1_Day_2[[#This Row],[Activity]],Types_of_Activity[Type of Activity],Types_of_Activity[Classification])=2,Term1_Day_2[[#This Row],[Elapsed]],0))</f>
        <v/>
      </c>
      <c r="P39" s="136"/>
      <c r="Q39" s="136"/>
      <c r="R39" s="103"/>
      <c r="S39" s="106" t="str">
        <f>IF(OR(ISBLANK(Term1_Day_3[[#This Row],[Start]]),ISBLANK(Term1_Day_3[[#This Row],[End]])),"",(Term1_Day_3[[#This Row],[End]]-Term1_Day_3[[#This Row],[Start]])*1440)</f>
        <v/>
      </c>
      <c r="T39" s="106" t="str">
        <f>IF(ISBLANK(Term1_Day_3[[#This Row],[Activity]]),"",IF(_xlfn.XLOOKUP(Term1_Day_3[[#This Row],[Activity]],Types_of_Activity[Type of Activity],Types_of_Activity[Classification])=1,Term1_Day_3[[#This Row],[Elapsed]],0))</f>
        <v/>
      </c>
      <c r="U39" s="106" t="str">
        <f>IF(ISBLANK(Term1_Day_3[[#This Row],[Activity]]),"",IF(_xlfn.XLOOKUP(Term1_Day_3[[#This Row],[Activity]],Types_of_Activity[Type of Activity],Types_of_Activity[Classification])=2,Term1_Day_3[[#This Row],[Elapsed]],0))</f>
        <v/>
      </c>
      <c r="W39" s="136"/>
      <c r="X39" s="136"/>
      <c r="Y39" s="103"/>
      <c r="Z39" s="106" t="str">
        <f>IF(OR(ISBLANK(Term1_Day_4[[#This Row],[Start]]),ISBLANK(Term1_Day_4[[#This Row],[End]])),"",(Term1_Day_4[[#This Row],[End]]-Term1_Day_4[[#This Row],[Start]])*1440)</f>
        <v/>
      </c>
      <c r="AA39" s="106" t="str">
        <f>IF(ISBLANK(Term1_Day_4[[#This Row],[Activity]]),"",IF(_xlfn.XLOOKUP(Term1_Day_4[[#This Row],[Activity]],Types_of_Activity[Type of Activity],Types_of_Activity[Classification])=1,Term1_Day_4[[#This Row],[Elapsed]],0))</f>
        <v/>
      </c>
      <c r="AB39" s="106" t="str">
        <f>IF(ISBLANK(Term1_Day_4[[#This Row],[Activity]]),"",IF(_xlfn.XLOOKUP(Term1_Day_4[[#This Row],[Activity]],Types_of_Activity[Type of Activity],Types_of_Activity[Classification])=2,Term1_Day_4[[#This Row],[Elapsed]],0))</f>
        <v/>
      </c>
      <c r="AD39" s="136"/>
      <c r="AE39" s="136"/>
      <c r="AF39" s="103"/>
      <c r="AG39" s="106" t="str">
        <f>IF(OR(ISBLANK(Term1_Day_5[[#This Row],[Start]]),ISBLANK(Term1_Day_5[[#This Row],[End]])),"",(Term1_Day_5[[#This Row],[End]]-Term1_Day_5[[#This Row],[Start]])*1440)</f>
        <v/>
      </c>
      <c r="AH39" s="106" t="str">
        <f>IF(ISBLANK(Term1_Day_5[[#This Row],[Activity]]),"",IF(_xlfn.XLOOKUP(Term1_Day_5[[#This Row],[Activity]],Types_of_Activity[Type of Activity],Types_of_Activity[Classification])=1,Term1_Day_5[[#This Row],[Elapsed]],0))</f>
        <v/>
      </c>
      <c r="AI39" s="106" t="str">
        <f>IF(ISBLANK(Term1_Day_5[[#This Row],[Activity]]),"",IF(_xlfn.XLOOKUP(Term1_Day_5[[#This Row],[Activity]],Types_of_Activity[Type of Activity],Types_of_Activity[Classification])=2,Term1_Day_5[[#This Row],[Elapsed]],0))</f>
        <v/>
      </c>
      <c r="AJ39" s="107"/>
      <c r="AK39" s="136"/>
      <c r="AL39" s="136"/>
      <c r="AM39" s="103"/>
      <c r="AN39" s="106" t="str">
        <f>IF(OR(ISBLANK(Term1_Day_6[[#This Row],[Start]]),ISBLANK(Term1_Day_6[[#This Row],[End]])),"",(Term1_Day_6[[#This Row],[End]]-Term1_Day_6[[#This Row],[Start]])*1440)</f>
        <v/>
      </c>
      <c r="AO39" s="106" t="str">
        <f>IF(ISBLANK(Term1_Day_6[[#This Row],[Activity]]),"",IF(_xlfn.XLOOKUP(Term1_Day_6[[#This Row],[Activity]],Types_of_Activity[Type of Activity],Types_of_Activity[Classification])=1,Term1_Day_6[[#This Row],[Elapsed]],0))</f>
        <v/>
      </c>
      <c r="AP39" s="106" t="str">
        <f>IF(ISBLANK(Term1_Day_6[[#This Row],[Activity]]),"",IF(_xlfn.XLOOKUP(Term1_Day_6[[#This Row],[Activity]],Types_of_Activity[Type of Activity],Types_of_Activity[Classification])=2,Term1_Day_6[[#This Row],[Elapsed]],0))</f>
        <v/>
      </c>
      <c r="AQ39" s="107"/>
      <c r="AR39" s="136"/>
      <c r="AS39" s="136"/>
      <c r="AT39" s="103"/>
      <c r="AU39" s="106" t="str">
        <f>IF(OR(ISBLANK(Term1_Day_7[[#This Row],[Start]]),ISBLANK(Term1_Day_7[[#This Row],[End]])),"",(Term1_Day_7[[#This Row],[End]]-Term1_Day_7[[#This Row],[Start]])*1440)</f>
        <v/>
      </c>
      <c r="AV39" s="106" t="str">
        <f>IF(ISBLANK(Term1_Day_7[[#This Row],[Activity]]),"",IF(_xlfn.XLOOKUP(Term1_Day_7[[#This Row],[Activity]],Types_of_Activity[Type of Activity],Types_of_Activity[Classification])=1,Term1_Day_7[[#This Row],[Elapsed]],0))</f>
        <v/>
      </c>
      <c r="AW39" s="106" t="str">
        <f>IF(ISBLANK(Term1_Day_7[[#This Row],[Activity]]),"",IF(_xlfn.XLOOKUP(Term1_Day_7[[#This Row],[Activity]],Types_of_Activity[Type of Activity],Types_of_Activity[Classification])=2,Term1_Day_7[[#This Row],[Elapsed]],0))</f>
        <v/>
      </c>
      <c r="AX39" s="107"/>
      <c r="AY39" s="136"/>
      <c r="AZ39" s="136"/>
      <c r="BA39" s="103"/>
      <c r="BB39" s="106" t="str">
        <f>IF(OR(ISBLANK(Term1_Day_8[[#This Row],[Start]]),ISBLANK(Term1_Day_8[[#This Row],[End]])),"",(Term1_Day_8[[#This Row],[End]]-Term1_Day_8[[#This Row],[Start]])*1440)</f>
        <v/>
      </c>
      <c r="BC39" s="106" t="str">
        <f>IF(ISBLANK(Term1_Day_8[[#This Row],[Activity]]),"",IF(_xlfn.XLOOKUP(Term1_Day_8[[#This Row],[Activity]],Types_of_Activity[Type of Activity],Types_of_Activity[Classification])=1,Term1_Day_8[[#This Row],[Elapsed]],0))</f>
        <v/>
      </c>
      <c r="BD39" s="106" t="str">
        <f>IF(ISBLANK(Term1_Day_8[[#This Row],[Activity]]),"",IF(_xlfn.XLOOKUP(Term1_Day_8[[#This Row],[Activity]],Types_of_Activity[Type of Activity],Types_of_Activity[Classification])=2,Term1_Day_8[[#This Row],[Elapsed]],0))</f>
        <v/>
      </c>
      <c r="BE39" s="107"/>
      <c r="BF39" s="136"/>
      <c r="BG39" s="136"/>
      <c r="BH39" s="103"/>
      <c r="BI39" s="106" t="str">
        <f>IF(OR(ISBLANK(Term1_Day_9[[#This Row],[Start]]),ISBLANK(Term1_Day_9[[#This Row],[End]])),"",(Term1_Day_9[[#This Row],[End]]-Term1_Day_9[[#This Row],[Start]])*1440)</f>
        <v/>
      </c>
      <c r="BJ39" s="106" t="str">
        <f>IF(ISBLANK(Term1_Day_9[[#This Row],[Activity]]),"",IF(_xlfn.XLOOKUP(Term1_Day_9[[#This Row],[Activity]],Types_of_Activity[Type of Activity],Types_of_Activity[Classification])=1,Term1_Day_9[[#This Row],[Elapsed]],0))</f>
        <v/>
      </c>
      <c r="BK39" s="106" t="str">
        <f>IF(ISBLANK(Term1_Day_9[[#This Row],[Activity]]),"",IF(_xlfn.XLOOKUP(Term1_Day_9[[#This Row],[Activity]],Types_of_Activity[Type of Activity],Types_of_Activity[Classification])=2,Term1_Day_9[[#This Row],[Elapsed]],0))</f>
        <v/>
      </c>
      <c r="BL39" s="107"/>
      <c r="BM39" s="136"/>
      <c r="BN39" s="136"/>
      <c r="BO39" s="103"/>
      <c r="BP39" s="106" t="str">
        <f>IF(OR(ISBLANK(Term1_Day_10[[#This Row],[Start]]),ISBLANK(Term1_Day_10[[#This Row],[End]])),"",(Term1_Day_10[[#This Row],[End]]-Term1_Day_10[[#This Row],[Start]])*1440)</f>
        <v/>
      </c>
      <c r="BQ39" s="106" t="str">
        <f>IF(ISBLANK(Term1_Day_10[[#This Row],[Activity]]),"",IF(_xlfn.XLOOKUP(Term1_Day_10[[#This Row],[Activity]],Types_of_Activity[Type of Activity],Types_of_Activity[Classification])=1,Term1_Day_10[[#This Row],[Elapsed]],0))</f>
        <v/>
      </c>
      <c r="BR39" s="106" t="str">
        <f>IF(ISBLANK(Term1_Day_10[[#This Row],[Activity]]),"",IF(_xlfn.XLOOKUP(Term1_Day_10[[#This Row],[Activity]],Types_of_Activity[Type of Activity],Types_of_Activity[Classification])=2,Term1_Day_10[[#This Row],[Elapsed]],0))</f>
        <v/>
      </c>
      <c r="BS39" s="107"/>
    </row>
    <row r="40" spans="2:71" x14ac:dyDescent="0.3">
      <c r="B40" s="136"/>
      <c r="C40" s="136"/>
      <c r="D40" s="103"/>
      <c r="E40" s="106" t="str">
        <f>IF(OR(ISBLANK(Term1_Day_1[[#This Row],[Start]]),ISBLANK(Term1_Day_1[[#This Row],[End]])),"",(Term1_Day_1[[#This Row],[End]]-Term1_Day_1[[#This Row],[Start]])*1440)</f>
        <v/>
      </c>
      <c r="F40" s="106" t="str">
        <f>IF(ISBLANK(Term1_Day_1[[#This Row],[Activity]]),"",IF(_xlfn.XLOOKUP(Term1_Day_1[[#This Row],[Activity]],Types_of_Activity[Type of Activity],Types_of_Activity[Classification])=1,Term1_Day_1[[#This Row],[Elapsed]],0))</f>
        <v/>
      </c>
      <c r="G40" s="106" t="str">
        <f>IF(ISBLANK(Term1_Day_1[[#This Row],[Activity]]),"",IF(_xlfn.XLOOKUP(Term1_Day_1[[#This Row],[Activity]],Types_of_Activity[Type of Activity],Types_of_Activity[Classification])=2,Term1_Day_1[[#This Row],[Elapsed]],0))</f>
        <v/>
      </c>
      <c r="I40" s="136"/>
      <c r="J40" s="136"/>
      <c r="K40" s="103"/>
      <c r="L40" s="106" t="str">
        <f>IF(OR(ISBLANK(Term1_Day_2[[#This Row],[Start]]),ISBLANK(Term1_Day_2[[#This Row],[End]])),"",(Term1_Day_2[[#This Row],[End]]-Term1_Day_2[[#This Row],[Start]])*1440)</f>
        <v/>
      </c>
      <c r="M40" s="106" t="str">
        <f>IF(ISBLANK(Term1_Day_2[[#This Row],[Activity]]),"",IF(_xlfn.XLOOKUP(Term1_Day_2[[#This Row],[Activity]],Types_of_Activity[Type of Activity],Types_of_Activity[Classification])=1,Term1_Day_2[[#This Row],[Elapsed]],0))</f>
        <v/>
      </c>
      <c r="N40" s="106" t="str">
        <f>IF(ISBLANK(Term1_Day_2[[#This Row],[Activity]]),"",IF(_xlfn.XLOOKUP(Term1_Day_2[[#This Row],[Activity]],Types_of_Activity[Type of Activity],Types_of_Activity[Classification])=2,Term1_Day_2[[#This Row],[Elapsed]],0))</f>
        <v/>
      </c>
      <c r="P40" s="136"/>
      <c r="Q40" s="136"/>
      <c r="R40" s="103"/>
      <c r="S40" s="106" t="str">
        <f>IF(OR(ISBLANK(Term1_Day_3[[#This Row],[Start]]),ISBLANK(Term1_Day_3[[#This Row],[End]])),"",(Term1_Day_3[[#This Row],[End]]-Term1_Day_3[[#This Row],[Start]])*1440)</f>
        <v/>
      </c>
      <c r="T40" s="106" t="str">
        <f>IF(ISBLANK(Term1_Day_3[[#This Row],[Activity]]),"",IF(_xlfn.XLOOKUP(Term1_Day_3[[#This Row],[Activity]],Types_of_Activity[Type of Activity],Types_of_Activity[Classification])=1,Term1_Day_3[[#This Row],[Elapsed]],0))</f>
        <v/>
      </c>
      <c r="U40" s="106" t="str">
        <f>IF(ISBLANK(Term1_Day_3[[#This Row],[Activity]]),"",IF(_xlfn.XLOOKUP(Term1_Day_3[[#This Row],[Activity]],Types_of_Activity[Type of Activity],Types_of_Activity[Classification])=2,Term1_Day_3[[#This Row],[Elapsed]],0))</f>
        <v/>
      </c>
      <c r="W40" s="136"/>
      <c r="X40" s="136"/>
      <c r="Y40" s="103"/>
      <c r="Z40" s="106" t="str">
        <f>IF(OR(ISBLANK(Term1_Day_4[[#This Row],[Start]]),ISBLANK(Term1_Day_4[[#This Row],[End]])),"",(Term1_Day_4[[#This Row],[End]]-Term1_Day_4[[#This Row],[Start]])*1440)</f>
        <v/>
      </c>
      <c r="AA40" s="106" t="str">
        <f>IF(ISBLANK(Term1_Day_4[[#This Row],[Activity]]),"",IF(_xlfn.XLOOKUP(Term1_Day_4[[#This Row],[Activity]],Types_of_Activity[Type of Activity],Types_of_Activity[Classification])=1,Term1_Day_4[[#This Row],[Elapsed]],0))</f>
        <v/>
      </c>
      <c r="AB40" s="106" t="str">
        <f>IF(ISBLANK(Term1_Day_4[[#This Row],[Activity]]),"",IF(_xlfn.XLOOKUP(Term1_Day_4[[#This Row],[Activity]],Types_of_Activity[Type of Activity],Types_of_Activity[Classification])=2,Term1_Day_4[[#This Row],[Elapsed]],0))</f>
        <v/>
      </c>
      <c r="AD40" s="136"/>
      <c r="AE40" s="136"/>
      <c r="AF40" s="103"/>
      <c r="AG40" s="106" t="str">
        <f>IF(OR(ISBLANK(Term1_Day_5[[#This Row],[Start]]),ISBLANK(Term1_Day_5[[#This Row],[End]])),"",(Term1_Day_5[[#This Row],[End]]-Term1_Day_5[[#This Row],[Start]])*1440)</f>
        <v/>
      </c>
      <c r="AH40" s="106" t="str">
        <f>IF(ISBLANK(Term1_Day_5[[#This Row],[Activity]]),"",IF(_xlfn.XLOOKUP(Term1_Day_5[[#This Row],[Activity]],Types_of_Activity[Type of Activity],Types_of_Activity[Classification])=1,Term1_Day_5[[#This Row],[Elapsed]],0))</f>
        <v/>
      </c>
      <c r="AI40" s="106" t="str">
        <f>IF(ISBLANK(Term1_Day_5[[#This Row],[Activity]]),"",IF(_xlfn.XLOOKUP(Term1_Day_5[[#This Row],[Activity]],Types_of_Activity[Type of Activity],Types_of_Activity[Classification])=2,Term1_Day_5[[#This Row],[Elapsed]],0))</f>
        <v/>
      </c>
      <c r="AJ40" s="107"/>
      <c r="AK40" s="136"/>
      <c r="AL40" s="136"/>
      <c r="AM40" s="103"/>
      <c r="AN40" s="106" t="str">
        <f>IF(OR(ISBLANK(Term1_Day_6[[#This Row],[Start]]),ISBLANK(Term1_Day_6[[#This Row],[End]])),"",(Term1_Day_6[[#This Row],[End]]-Term1_Day_6[[#This Row],[Start]])*1440)</f>
        <v/>
      </c>
      <c r="AO40" s="106" t="str">
        <f>IF(ISBLANK(Term1_Day_6[[#This Row],[Activity]]),"",IF(_xlfn.XLOOKUP(Term1_Day_6[[#This Row],[Activity]],Types_of_Activity[Type of Activity],Types_of_Activity[Classification])=1,Term1_Day_6[[#This Row],[Elapsed]],0))</f>
        <v/>
      </c>
      <c r="AP40" s="106" t="str">
        <f>IF(ISBLANK(Term1_Day_6[[#This Row],[Activity]]),"",IF(_xlfn.XLOOKUP(Term1_Day_6[[#This Row],[Activity]],Types_of_Activity[Type of Activity],Types_of_Activity[Classification])=2,Term1_Day_6[[#This Row],[Elapsed]],0))</f>
        <v/>
      </c>
      <c r="AQ40" s="107"/>
      <c r="AR40" s="136"/>
      <c r="AS40" s="136"/>
      <c r="AT40" s="103"/>
      <c r="AU40" s="106" t="str">
        <f>IF(OR(ISBLANK(Term1_Day_7[[#This Row],[Start]]),ISBLANK(Term1_Day_7[[#This Row],[End]])),"",(Term1_Day_7[[#This Row],[End]]-Term1_Day_7[[#This Row],[Start]])*1440)</f>
        <v/>
      </c>
      <c r="AV40" s="106" t="str">
        <f>IF(ISBLANK(Term1_Day_7[[#This Row],[Activity]]),"",IF(_xlfn.XLOOKUP(Term1_Day_7[[#This Row],[Activity]],Types_of_Activity[Type of Activity],Types_of_Activity[Classification])=1,Term1_Day_7[[#This Row],[Elapsed]],0))</f>
        <v/>
      </c>
      <c r="AW40" s="106" t="str">
        <f>IF(ISBLANK(Term1_Day_7[[#This Row],[Activity]]),"",IF(_xlfn.XLOOKUP(Term1_Day_7[[#This Row],[Activity]],Types_of_Activity[Type of Activity],Types_of_Activity[Classification])=2,Term1_Day_7[[#This Row],[Elapsed]],0))</f>
        <v/>
      </c>
      <c r="AX40" s="107"/>
      <c r="AY40" s="136"/>
      <c r="AZ40" s="136"/>
      <c r="BA40" s="103"/>
      <c r="BB40" s="106" t="str">
        <f>IF(OR(ISBLANK(Term1_Day_8[[#This Row],[Start]]),ISBLANK(Term1_Day_8[[#This Row],[End]])),"",(Term1_Day_8[[#This Row],[End]]-Term1_Day_8[[#This Row],[Start]])*1440)</f>
        <v/>
      </c>
      <c r="BC40" s="106" t="str">
        <f>IF(ISBLANK(Term1_Day_8[[#This Row],[Activity]]),"",IF(_xlfn.XLOOKUP(Term1_Day_8[[#This Row],[Activity]],Types_of_Activity[Type of Activity],Types_of_Activity[Classification])=1,Term1_Day_8[[#This Row],[Elapsed]],0))</f>
        <v/>
      </c>
      <c r="BD40" s="106" t="str">
        <f>IF(ISBLANK(Term1_Day_8[[#This Row],[Activity]]),"",IF(_xlfn.XLOOKUP(Term1_Day_8[[#This Row],[Activity]],Types_of_Activity[Type of Activity],Types_of_Activity[Classification])=2,Term1_Day_8[[#This Row],[Elapsed]],0))</f>
        <v/>
      </c>
      <c r="BE40" s="107"/>
      <c r="BF40" s="136"/>
      <c r="BG40" s="136"/>
      <c r="BH40" s="103"/>
      <c r="BI40" s="106" t="str">
        <f>IF(OR(ISBLANK(Term1_Day_9[[#This Row],[Start]]),ISBLANK(Term1_Day_9[[#This Row],[End]])),"",(Term1_Day_9[[#This Row],[End]]-Term1_Day_9[[#This Row],[Start]])*1440)</f>
        <v/>
      </c>
      <c r="BJ40" s="106" t="str">
        <f>IF(ISBLANK(Term1_Day_9[[#This Row],[Activity]]),"",IF(_xlfn.XLOOKUP(Term1_Day_9[[#This Row],[Activity]],Types_of_Activity[Type of Activity],Types_of_Activity[Classification])=1,Term1_Day_9[[#This Row],[Elapsed]],0))</f>
        <v/>
      </c>
      <c r="BK40" s="106" t="str">
        <f>IF(ISBLANK(Term1_Day_9[[#This Row],[Activity]]),"",IF(_xlfn.XLOOKUP(Term1_Day_9[[#This Row],[Activity]],Types_of_Activity[Type of Activity],Types_of_Activity[Classification])=2,Term1_Day_9[[#This Row],[Elapsed]],0))</f>
        <v/>
      </c>
      <c r="BL40" s="107"/>
      <c r="BM40" s="136"/>
      <c r="BN40" s="136"/>
      <c r="BO40" s="103"/>
      <c r="BP40" s="106" t="str">
        <f>IF(OR(ISBLANK(Term1_Day_10[[#This Row],[Start]]),ISBLANK(Term1_Day_10[[#This Row],[End]])),"",(Term1_Day_10[[#This Row],[End]]-Term1_Day_10[[#This Row],[Start]])*1440)</f>
        <v/>
      </c>
      <c r="BQ40" s="106" t="str">
        <f>IF(ISBLANK(Term1_Day_10[[#This Row],[Activity]]),"",IF(_xlfn.XLOOKUP(Term1_Day_10[[#This Row],[Activity]],Types_of_Activity[Type of Activity],Types_of_Activity[Classification])=1,Term1_Day_10[[#This Row],[Elapsed]],0))</f>
        <v/>
      </c>
      <c r="BR40" s="106" t="str">
        <f>IF(ISBLANK(Term1_Day_10[[#This Row],[Activity]]),"",IF(_xlfn.XLOOKUP(Term1_Day_10[[#This Row],[Activity]],Types_of_Activity[Type of Activity],Types_of_Activity[Classification])=2,Term1_Day_10[[#This Row],[Elapsed]],0))</f>
        <v/>
      </c>
      <c r="BS40" s="107"/>
    </row>
    <row r="41" spans="2:71" x14ac:dyDescent="0.3">
      <c r="B41" s="136"/>
      <c r="C41" s="136"/>
      <c r="D41" s="103"/>
      <c r="E41" s="106" t="str">
        <f>IF(OR(ISBLANK(Term1_Day_1[[#This Row],[Start]]),ISBLANK(Term1_Day_1[[#This Row],[End]])),"",(Term1_Day_1[[#This Row],[End]]-Term1_Day_1[[#This Row],[Start]])*1440)</f>
        <v/>
      </c>
      <c r="F41" s="106" t="str">
        <f>IF(ISBLANK(Term1_Day_1[[#This Row],[Activity]]),"",IF(_xlfn.XLOOKUP(Term1_Day_1[[#This Row],[Activity]],Types_of_Activity[Type of Activity],Types_of_Activity[Classification])=1,Term1_Day_1[[#This Row],[Elapsed]],0))</f>
        <v/>
      </c>
      <c r="G41" s="106" t="str">
        <f>IF(ISBLANK(Term1_Day_1[[#This Row],[Activity]]),"",IF(_xlfn.XLOOKUP(Term1_Day_1[[#This Row],[Activity]],Types_of_Activity[Type of Activity],Types_of_Activity[Classification])=2,Term1_Day_1[[#This Row],[Elapsed]],0))</f>
        <v/>
      </c>
      <c r="I41" s="136"/>
      <c r="J41" s="136"/>
      <c r="K41" s="103"/>
      <c r="L41" s="106" t="str">
        <f>IF(OR(ISBLANK(Term1_Day_2[[#This Row],[Start]]),ISBLANK(Term1_Day_2[[#This Row],[End]])),"",(Term1_Day_2[[#This Row],[End]]-Term1_Day_2[[#This Row],[Start]])*1440)</f>
        <v/>
      </c>
      <c r="M41" s="106" t="str">
        <f>IF(ISBLANK(Term1_Day_2[[#This Row],[Activity]]),"",IF(_xlfn.XLOOKUP(Term1_Day_2[[#This Row],[Activity]],Types_of_Activity[Type of Activity],Types_of_Activity[Classification])=1,Term1_Day_2[[#This Row],[Elapsed]],0))</f>
        <v/>
      </c>
      <c r="N41" s="106" t="str">
        <f>IF(ISBLANK(Term1_Day_2[[#This Row],[Activity]]),"",IF(_xlfn.XLOOKUP(Term1_Day_2[[#This Row],[Activity]],Types_of_Activity[Type of Activity],Types_of_Activity[Classification])=2,Term1_Day_2[[#This Row],[Elapsed]],0))</f>
        <v/>
      </c>
      <c r="P41" s="136"/>
      <c r="Q41" s="136"/>
      <c r="R41" s="103"/>
      <c r="S41" s="106" t="str">
        <f>IF(OR(ISBLANK(Term1_Day_3[[#This Row],[Start]]),ISBLANK(Term1_Day_3[[#This Row],[End]])),"",(Term1_Day_3[[#This Row],[End]]-Term1_Day_3[[#This Row],[Start]])*1440)</f>
        <v/>
      </c>
      <c r="T41" s="106" t="str">
        <f>IF(ISBLANK(Term1_Day_3[[#This Row],[Activity]]),"",IF(_xlfn.XLOOKUP(Term1_Day_3[[#This Row],[Activity]],Types_of_Activity[Type of Activity],Types_of_Activity[Classification])=1,Term1_Day_3[[#This Row],[Elapsed]],0))</f>
        <v/>
      </c>
      <c r="U41" s="106" t="str">
        <f>IF(ISBLANK(Term1_Day_3[[#This Row],[Activity]]),"",IF(_xlfn.XLOOKUP(Term1_Day_3[[#This Row],[Activity]],Types_of_Activity[Type of Activity],Types_of_Activity[Classification])=2,Term1_Day_3[[#This Row],[Elapsed]],0))</f>
        <v/>
      </c>
      <c r="W41" s="136"/>
      <c r="X41" s="136"/>
      <c r="Y41" s="103"/>
      <c r="Z41" s="106" t="str">
        <f>IF(OR(ISBLANK(Term1_Day_4[[#This Row],[Start]]),ISBLANK(Term1_Day_4[[#This Row],[End]])),"",(Term1_Day_4[[#This Row],[End]]-Term1_Day_4[[#This Row],[Start]])*1440)</f>
        <v/>
      </c>
      <c r="AA41" s="106" t="str">
        <f>IF(ISBLANK(Term1_Day_4[[#This Row],[Activity]]),"",IF(_xlfn.XLOOKUP(Term1_Day_4[[#This Row],[Activity]],Types_of_Activity[Type of Activity],Types_of_Activity[Classification])=1,Term1_Day_4[[#This Row],[Elapsed]],0))</f>
        <v/>
      </c>
      <c r="AB41" s="106" t="str">
        <f>IF(ISBLANK(Term1_Day_4[[#This Row],[Activity]]),"",IF(_xlfn.XLOOKUP(Term1_Day_4[[#This Row],[Activity]],Types_of_Activity[Type of Activity],Types_of_Activity[Classification])=2,Term1_Day_4[[#This Row],[Elapsed]],0))</f>
        <v/>
      </c>
      <c r="AD41" s="136"/>
      <c r="AE41" s="136"/>
      <c r="AF41" s="103"/>
      <c r="AG41" s="106" t="str">
        <f>IF(OR(ISBLANK(Term1_Day_5[[#This Row],[Start]]),ISBLANK(Term1_Day_5[[#This Row],[End]])),"",(Term1_Day_5[[#This Row],[End]]-Term1_Day_5[[#This Row],[Start]])*1440)</f>
        <v/>
      </c>
      <c r="AH41" s="106" t="str">
        <f>IF(ISBLANK(Term1_Day_5[[#This Row],[Activity]]),"",IF(_xlfn.XLOOKUP(Term1_Day_5[[#This Row],[Activity]],Types_of_Activity[Type of Activity],Types_of_Activity[Classification])=1,Term1_Day_5[[#This Row],[Elapsed]],0))</f>
        <v/>
      </c>
      <c r="AI41" s="106" t="str">
        <f>IF(ISBLANK(Term1_Day_5[[#This Row],[Activity]]),"",IF(_xlfn.XLOOKUP(Term1_Day_5[[#This Row],[Activity]],Types_of_Activity[Type of Activity],Types_of_Activity[Classification])=2,Term1_Day_5[[#This Row],[Elapsed]],0))</f>
        <v/>
      </c>
      <c r="AJ41" s="107"/>
      <c r="AK41" s="136"/>
      <c r="AL41" s="136"/>
      <c r="AM41" s="103"/>
      <c r="AN41" s="106" t="str">
        <f>IF(OR(ISBLANK(Term1_Day_6[[#This Row],[Start]]),ISBLANK(Term1_Day_6[[#This Row],[End]])),"",(Term1_Day_6[[#This Row],[End]]-Term1_Day_6[[#This Row],[Start]])*1440)</f>
        <v/>
      </c>
      <c r="AO41" s="106" t="str">
        <f>IF(ISBLANK(Term1_Day_6[[#This Row],[Activity]]),"",IF(_xlfn.XLOOKUP(Term1_Day_6[[#This Row],[Activity]],Types_of_Activity[Type of Activity],Types_of_Activity[Classification])=1,Term1_Day_6[[#This Row],[Elapsed]],0))</f>
        <v/>
      </c>
      <c r="AP41" s="106" t="str">
        <f>IF(ISBLANK(Term1_Day_6[[#This Row],[Activity]]),"",IF(_xlfn.XLOOKUP(Term1_Day_6[[#This Row],[Activity]],Types_of_Activity[Type of Activity],Types_of_Activity[Classification])=2,Term1_Day_6[[#This Row],[Elapsed]],0))</f>
        <v/>
      </c>
      <c r="AQ41" s="107"/>
      <c r="AR41" s="136"/>
      <c r="AS41" s="136"/>
      <c r="AT41" s="103"/>
      <c r="AU41" s="106" t="str">
        <f>IF(OR(ISBLANK(Term1_Day_7[[#This Row],[Start]]),ISBLANK(Term1_Day_7[[#This Row],[End]])),"",(Term1_Day_7[[#This Row],[End]]-Term1_Day_7[[#This Row],[Start]])*1440)</f>
        <v/>
      </c>
      <c r="AV41" s="106" t="str">
        <f>IF(ISBLANK(Term1_Day_7[[#This Row],[Activity]]),"",IF(_xlfn.XLOOKUP(Term1_Day_7[[#This Row],[Activity]],Types_of_Activity[Type of Activity],Types_of_Activity[Classification])=1,Term1_Day_7[[#This Row],[Elapsed]],0))</f>
        <v/>
      </c>
      <c r="AW41" s="106" t="str">
        <f>IF(ISBLANK(Term1_Day_7[[#This Row],[Activity]]),"",IF(_xlfn.XLOOKUP(Term1_Day_7[[#This Row],[Activity]],Types_of_Activity[Type of Activity],Types_of_Activity[Classification])=2,Term1_Day_7[[#This Row],[Elapsed]],0))</f>
        <v/>
      </c>
      <c r="AX41" s="107"/>
      <c r="AY41" s="136"/>
      <c r="AZ41" s="136"/>
      <c r="BA41" s="103"/>
      <c r="BB41" s="106" t="str">
        <f>IF(OR(ISBLANK(Term1_Day_8[[#This Row],[Start]]),ISBLANK(Term1_Day_8[[#This Row],[End]])),"",(Term1_Day_8[[#This Row],[End]]-Term1_Day_8[[#This Row],[Start]])*1440)</f>
        <v/>
      </c>
      <c r="BC41" s="106" t="str">
        <f>IF(ISBLANK(Term1_Day_8[[#This Row],[Activity]]),"",IF(_xlfn.XLOOKUP(Term1_Day_8[[#This Row],[Activity]],Types_of_Activity[Type of Activity],Types_of_Activity[Classification])=1,Term1_Day_8[[#This Row],[Elapsed]],0))</f>
        <v/>
      </c>
      <c r="BD41" s="106" t="str">
        <f>IF(ISBLANK(Term1_Day_8[[#This Row],[Activity]]),"",IF(_xlfn.XLOOKUP(Term1_Day_8[[#This Row],[Activity]],Types_of_Activity[Type of Activity],Types_of_Activity[Classification])=2,Term1_Day_8[[#This Row],[Elapsed]],0))</f>
        <v/>
      </c>
      <c r="BE41" s="107"/>
      <c r="BF41" s="136"/>
      <c r="BG41" s="136"/>
      <c r="BH41" s="103"/>
      <c r="BI41" s="106" t="str">
        <f>IF(OR(ISBLANK(Term1_Day_9[[#This Row],[Start]]),ISBLANK(Term1_Day_9[[#This Row],[End]])),"",(Term1_Day_9[[#This Row],[End]]-Term1_Day_9[[#This Row],[Start]])*1440)</f>
        <v/>
      </c>
      <c r="BJ41" s="106" t="str">
        <f>IF(ISBLANK(Term1_Day_9[[#This Row],[Activity]]),"",IF(_xlfn.XLOOKUP(Term1_Day_9[[#This Row],[Activity]],Types_of_Activity[Type of Activity],Types_of_Activity[Classification])=1,Term1_Day_9[[#This Row],[Elapsed]],0))</f>
        <v/>
      </c>
      <c r="BK41" s="106" t="str">
        <f>IF(ISBLANK(Term1_Day_9[[#This Row],[Activity]]),"",IF(_xlfn.XLOOKUP(Term1_Day_9[[#This Row],[Activity]],Types_of_Activity[Type of Activity],Types_of_Activity[Classification])=2,Term1_Day_9[[#This Row],[Elapsed]],0))</f>
        <v/>
      </c>
      <c r="BL41" s="107"/>
      <c r="BM41" s="136"/>
      <c r="BN41" s="136"/>
      <c r="BO41" s="103"/>
      <c r="BP41" s="106" t="str">
        <f>IF(OR(ISBLANK(Term1_Day_10[[#This Row],[Start]]),ISBLANK(Term1_Day_10[[#This Row],[End]])),"",(Term1_Day_10[[#This Row],[End]]-Term1_Day_10[[#This Row],[Start]])*1440)</f>
        <v/>
      </c>
      <c r="BQ41" s="106" t="str">
        <f>IF(ISBLANK(Term1_Day_10[[#This Row],[Activity]]),"",IF(_xlfn.XLOOKUP(Term1_Day_10[[#This Row],[Activity]],Types_of_Activity[Type of Activity],Types_of_Activity[Classification])=1,Term1_Day_10[[#This Row],[Elapsed]],0))</f>
        <v/>
      </c>
      <c r="BR41" s="106" t="str">
        <f>IF(ISBLANK(Term1_Day_10[[#This Row],[Activity]]),"",IF(_xlfn.XLOOKUP(Term1_Day_10[[#This Row],[Activity]],Types_of_Activity[Type of Activity],Types_of_Activity[Classification])=2,Term1_Day_10[[#This Row],[Elapsed]],0))</f>
        <v/>
      </c>
      <c r="BS41" s="107"/>
    </row>
    <row r="42" spans="2:71" x14ac:dyDescent="0.3">
      <c r="B42" s="136"/>
      <c r="C42" s="136"/>
      <c r="D42" s="103"/>
      <c r="E42" s="106" t="str">
        <f>IF(OR(ISBLANK(Term1_Day_1[[#This Row],[Start]]),ISBLANK(Term1_Day_1[[#This Row],[End]])),"",(Term1_Day_1[[#This Row],[End]]-Term1_Day_1[[#This Row],[Start]])*1440)</f>
        <v/>
      </c>
      <c r="F42" s="106" t="str">
        <f>IF(ISBLANK(Term1_Day_1[[#This Row],[Activity]]),"",IF(_xlfn.XLOOKUP(Term1_Day_1[[#This Row],[Activity]],Types_of_Activity[Type of Activity],Types_of_Activity[Classification])=1,Term1_Day_1[[#This Row],[Elapsed]],0))</f>
        <v/>
      </c>
      <c r="G42" s="106" t="str">
        <f>IF(ISBLANK(Term1_Day_1[[#This Row],[Activity]]),"",IF(_xlfn.XLOOKUP(Term1_Day_1[[#This Row],[Activity]],Types_of_Activity[Type of Activity],Types_of_Activity[Classification])=2,Term1_Day_1[[#This Row],[Elapsed]],0))</f>
        <v/>
      </c>
      <c r="I42" s="136"/>
      <c r="J42" s="136"/>
      <c r="K42" s="103"/>
      <c r="L42" s="106" t="str">
        <f>IF(OR(ISBLANK(Term1_Day_2[[#This Row],[Start]]),ISBLANK(Term1_Day_2[[#This Row],[End]])),"",(Term1_Day_2[[#This Row],[End]]-Term1_Day_2[[#This Row],[Start]])*1440)</f>
        <v/>
      </c>
      <c r="M42" s="106" t="str">
        <f>IF(ISBLANK(Term1_Day_2[[#This Row],[Activity]]),"",IF(_xlfn.XLOOKUP(Term1_Day_2[[#This Row],[Activity]],Types_of_Activity[Type of Activity],Types_of_Activity[Classification])=1,Term1_Day_2[[#This Row],[Elapsed]],0))</f>
        <v/>
      </c>
      <c r="N42" s="106" t="str">
        <f>IF(ISBLANK(Term1_Day_2[[#This Row],[Activity]]),"",IF(_xlfn.XLOOKUP(Term1_Day_2[[#This Row],[Activity]],Types_of_Activity[Type of Activity],Types_of_Activity[Classification])=2,Term1_Day_2[[#This Row],[Elapsed]],0))</f>
        <v/>
      </c>
      <c r="P42" s="136"/>
      <c r="Q42" s="136"/>
      <c r="R42" s="103"/>
      <c r="S42" s="106" t="str">
        <f>IF(OR(ISBLANK(Term1_Day_3[[#This Row],[Start]]),ISBLANK(Term1_Day_3[[#This Row],[End]])),"",(Term1_Day_3[[#This Row],[End]]-Term1_Day_3[[#This Row],[Start]])*1440)</f>
        <v/>
      </c>
      <c r="T42" s="106" t="str">
        <f>IF(ISBLANK(Term1_Day_3[[#This Row],[Activity]]),"",IF(_xlfn.XLOOKUP(Term1_Day_3[[#This Row],[Activity]],Types_of_Activity[Type of Activity],Types_of_Activity[Classification])=1,Term1_Day_3[[#This Row],[Elapsed]],0))</f>
        <v/>
      </c>
      <c r="U42" s="106" t="str">
        <f>IF(ISBLANK(Term1_Day_3[[#This Row],[Activity]]),"",IF(_xlfn.XLOOKUP(Term1_Day_3[[#This Row],[Activity]],Types_of_Activity[Type of Activity],Types_of_Activity[Classification])=2,Term1_Day_3[[#This Row],[Elapsed]],0))</f>
        <v/>
      </c>
      <c r="W42" s="136"/>
      <c r="X42" s="136"/>
      <c r="Y42" s="103"/>
      <c r="Z42" s="106" t="str">
        <f>IF(OR(ISBLANK(Term1_Day_4[[#This Row],[Start]]),ISBLANK(Term1_Day_4[[#This Row],[End]])),"",(Term1_Day_4[[#This Row],[End]]-Term1_Day_4[[#This Row],[Start]])*1440)</f>
        <v/>
      </c>
      <c r="AA42" s="106" t="str">
        <f>IF(ISBLANK(Term1_Day_4[[#This Row],[Activity]]),"",IF(_xlfn.XLOOKUP(Term1_Day_4[[#This Row],[Activity]],Types_of_Activity[Type of Activity],Types_of_Activity[Classification])=1,Term1_Day_4[[#This Row],[Elapsed]],0))</f>
        <v/>
      </c>
      <c r="AB42" s="106" t="str">
        <f>IF(ISBLANK(Term1_Day_4[[#This Row],[Activity]]),"",IF(_xlfn.XLOOKUP(Term1_Day_4[[#This Row],[Activity]],Types_of_Activity[Type of Activity],Types_of_Activity[Classification])=2,Term1_Day_4[[#This Row],[Elapsed]],0))</f>
        <v/>
      </c>
      <c r="AD42" s="136"/>
      <c r="AE42" s="136"/>
      <c r="AF42" s="103"/>
      <c r="AG42" s="106" t="str">
        <f>IF(OR(ISBLANK(Term1_Day_5[[#This Row],[Start]]),ISBLANK(Term1_Day_5[[#This Row],[End]])),"",(Term1_Day_5[[#This Row],[End]]-Term1_Day_5[[#This Row],[Start]])*1440)</f>
        <v/>
      </c>
      <c r="AH42" s="106" t="str">
        <f>IF(ISBLANK(Term1_Day_5[[#This Row],[Activity]]),"",IF(_xlfn.XLOOKUP(Term1_Day_5[[#This Row],[Activity]],Types_of_Activity[Type of Activity],Types_of_Activity[Classification])=1,Term1_Day_5[[#This Row],[Elapsed]],0))</f>
        <v/>
      </c>
      <c r="AI42" s="106" t="str">
        <f>IF(ISBLANK(Term1_Day_5[[#This Row],[Activity]]),"",IF(_xlfn.XLOOKUP(Term1_Day_5[[#This Row],[Activity]],Types_of_Activity[Type of Activity],Types_of_Activity[Classification])=2,Term1_Day_5[[#This Row],[Elapsed]],0))</f>
        <v/>
      </c>
      <c r="AJ42" s="107"/>
      <c r="AK42" s="136"/>
      <c r="AL42" s="136"/>
      <c r="AM42" s="103"/>
      <c r="AN42" s="106" t="str">
        <f>IF(OR(ISBLANK(Term1_Day_6[[#This Row],[Start]]),ISBLANK(Term1_Day_6[[#This Row],[End]])),"",(Term1_Day_6[[#This Row],[End]]-Term1_Day_6[[#This Row],[Start]])*1440)</f>
        <v/>
      </c>
      <c r="AO42" s="106" t="str">
        <f>IF(ISBLANK(Term1_Day_6[[#This Row],[Activity]]),"",IF(_xlfn.XLOOKUP(Term1_Day_6[[#This Row],[Activity]],Types_of_Activity[Type of Activity],Types_of_Activity[Classification])=1,Term1_Day_6[[#This Row],[Elapsed]],0))</f>
        <v/>
      </c>
      <c r="AP42" s="106" t="str">
        <f>IF(ISBLANK(Term1_Day_6[[#This Row],[Activity]]),"",IF(_xlfn.XLOOKUP(Term1_Day_6[[#This Row],[Activity]],Types_of_Activity[Type of Activity],Types_of_Activity[Classification])=2,Term1_Day_6[[#This Row],[Elapsed]],0))</f>
        <v/>
      </c>
      <c r="AQ42" s="107"/>
      <c r="AR42" s="136"/>
      <c r="AS42" s="136"/>
      <c r="AT42" s="103"/>
      <c r="AU42" s="106" t="str">
        <f>IF(OR(ISBLANK(Term1_Day_7[[#This Row],[Start]]),ISBLANK(Term1_Day_7[[#This Row],[End]])),"",(Term1_Day_7[[#This Row],[End]]-Term1_Day_7[[#This Row],[Start]])*1440)</f>
        <v/>
      </c>
      <c r="AV42" s="106" t="str">
        <f>IF(ISBLANK(Term1_Day_7[[#This Row],[Activity]]),"",IF(_xlfn.XLOOKUP(Term1_Day_7[[#This Row],[Activity]],Types_of_Activity[Type of Activity],Types_of_Activity[Classification])=1,Term1_Day_7[[#This Row],[Elapsed]],0))</f>
        <v/>
      </c>
      <c r="AW42" s="106" t="str">
        <f>IF(ISBLANK(Term1_Day_7[[#This Row],[Activity]]),"",IF(_xlfn.XLOOKUP(Term1_Day_7[[#This Row],[Activity]],Types_of_Activity[Type of Activity],Types_of_Activity[Classification])=2,Term1_Day_7[[#This Row],[Elapsed]],0))</f>
        <v/>
      </c>
      <c r="AX42" s="107"/>
      <c r="AY42" s="136"/>
      <c r="AZ42" s="136"/>
      <c r="BA42" s="103"/>
      <c r="BB42" s="106" t="str">
        <f>IF(OR(ISBLANK(Term1_Day_8[[#This Row],[Start]]),ISBLANK(Term1_Day_8[[#This Row],[End]])),"",(Term1_Day_8[[#This Row],[End]]-Term1_Day_8[[#This Row],[Start]])*1440)</f>
        <v/>
      </c>
      <c r="BC42" s="106" t="str">
        <f>IF(ISBLANK(Term1_Day_8[[#This Row],[Activity]]),"",IF(_xlfn.XLOOKUP(Term1_Day_8[[#This Row],[Activity]],Types_of_Activity[Type of Activity],Types_of_Activity[Classification])=1,Term1_Day_8[[#This Row],[Elapsed]],0))</f>
        <v/>
      </c>
      <c r="BD42" s="106" t="str">
        <f>IF(ISBLANK(Term1_Day_8[[#This Row],[Activity]]),"",IF(_xlfn.XLOOKUP(Term1_Day_8[[#This Row],[Activity]],Types_of_Activity[Type of Activity],Types_of_Activity[Classification])=2,Term1_Day_8[[#This Row],[Elapsed]],0))</f>
        <v/>
      </c>
      <c r="BE42" s="107"/>
      <c r="BF42" s="136"/>
      <c r="BG42" s="136"/>
      <c r="BH42" s="103"/>
      <c r="BI42" s="106" t="str">
        <f>IF(OR(ISBLANK(Term1_Day_9[[#This Row],[Start]]),ISBLANK(Term1_Day_9[[#This Row],[End]])),"",(Term1_Day_9[[#This Row],[End]]-Term1_Day_9[[#This Row],[Start]])*1440)</f>
        <v/>
      </c>
      <c r="BJ42" s="106" t="str">
        <f>IF(ISBLANK(Term1_Day_9[[#This Row],[Activity]]),"",IF(_xlfn.XLOOKUP(Term1_Day_9[[#This Row],[Activity]],Types_of_Activity[Type of Activity],Types_of_Activity[Classification])=1,Term1_Day_9[[#This Row],[Elapsed]],0))</f>
        <v/>
      </c>
      <c r="BK42" s="106" t="str">
        <f>IF(ISBLANK(Term1_Day_9[[#This Row],[Activity]]),"",IF(_xlfn.XLOOKUP(Term1_Day_9[[#This Row],[Activity]],Types_of_Activity[Type of Activity],Types_of_Activity[Classification])=2,Term1_Day_9[[#This Row],[Elapsed]],0))</f>
        <v/>
      </c>
      <c r="BL42" s="107"/>
      <c r="BM42" s="136"/>
      <c r="BN42" s="136"/>
      <c r="BO42" s="103"/>
      <c r="BP42" s="106" t="str">
        <f>IF(OR(ISBLANK(Term1_Day_10[[#This Row],[Start]]),ISBLANK(Term1_Day_10[[#This Row],[End]])),"",(Term1_Day_10[[#This Row],[End]]-Term1_Day_10[[#This Row],[Start]])*1440)</f>
        <v/>
      </c>
      <c r="BQ42" s="106" t="str">
        <f>IF(ISBLANK(Term1_Day_10[[#This Row],[Activity]]),"",IF(_xlfn.XLOOKUP(Term1_Day_10[[#This Row],[Activity]],Types_of_Activity[Type of Activity],Types_of_Activity[Classification])=1,Term1_Day_10[[#This Row],[Elapsed]],0))</f>
        <v/>
      </c>
      <c r="BR42" s="106" t="str">
        <f>IF(ISBLANK(Term1_Day_10[[#This Row],[Activity]]),"",IF(_xlfn.XLOOKUP(Term1_Day_10[[#This Row],[Activity]],Types_of_Activity[Type of Activity],Types_of_Activity[Classification])=2,Term1_Day_10[[#This Row],[Elapsed]],0))</f>
        <v/>
      </c>
      <c r="BS42" s="107"/>
    </row>
    <row r="43" spans="2:71" x14ac:dyDescent="0.3">
      <c r="B43" s="136"/>
      <c r="C43" s="136"/>
      <c r="D43" s="103"/>
      <c r="E43" s="106" t="str">
        <f>IF(OR(ISBLANK(Term1_Day_1[[#This Row],[Start]]),ISBLANK(Term1_Day_1[[#This Row],[End]])),"",(Term1_Day_1[[#This Row],[End]]-Term1_Day_1[[#This Row],[Start]])*1440)</f>
        <v/>
      </c>
      <c r="F43" s="106" t="str">
        <f>IF(ISBLANK(Term1_Day_1[[#This Row],[Activity]]),"",IF(_xlfn.XLOOKUP(Term1_Day_1[[#This Row],[Activity]],Types_of_Activity[Type of Activity],Types_of_Activity[Classification])=1,Term1_Day_1[[#This Row],[Elapsed]],0))</f>
        <v/>
      </c>
      <c r="G43" s="106" t="str">
        <f>IF(ISBLANK(Term1_Day_1[[#This Row],[Activity]]),"",IF(_xlfn.XLOOKUP(Term1_Day_1[[#This Row],[Activity]],Types_of_Activity[Type of Activity],Types_of_Activity[Classification])=2,Term1_Day_1[[#This Row],[Elapsed]],0))</f>
        <v/>
      </c>
      <c r="I43" s="136"/>
      <c r="J43" s="136"/>
      <c r="K43" s="103"/>
      <c r="L43" s="106" t="str">
        <f>IF(OR(ISBLANK(Term1_Day_2[[#This Row],[Start]]),ISBLANK(Term1_Day_2[[#This Row],[End]])),"",(Term1_Day_2[[#This Row],[End]]-Term1_Day_2[[#This Row],[Start]])*1440)</f>
        <v/>
      </c>
      <c r="M43" s="106" t="str">
        <f>IF(ISBLANK(Term1_Day_2[[#This Row],[Activity]]),"",IF(_xlfn.XLOOKUP(Term1_Day_2[[#This Row],[Activity]],Types_of_Activity[Type of Activity],Types_of_Activity[Classification])=1,Term1_Day_2[[#This Row],[Elapsed]],0))</f>
        <v/>
      </c>
      <c r="N43" s="106" t="str">
        <f>IF(ISBLANK(Term1_Day_2[[#This Row],[Activity]]),"",IF(_xlfn.XLOOKUP(Term1_Day_2[[#This Row],[Activity]],Types_of_Activity[Type of Activity],Types_of_Activity[Classification])=2,Term1_Day_2[[#This Row],[Elapsed]],0))</f>
        <v/>
      </c>
      <c r="P43" s="136"/>
      <c r="Q43" s="136"/>
      <c r="R43" s="103"/>
      <c r="S43" s="106" t="str">
        <f>IF(OR(ISBLANK(Term1_Day_3[[#This Row],[Start]]),ISBLANK(Term1_Day_3[[#This Row],[End]])),"",(Term1_Day_3[[#This Row],[End]]-Term1_Day_3[[#This Row],[Start]])*1440)</f>
        <v/>
      </c>
      <c r="T43" s="106" t="str">
        <f>IF(ISBLANK(Term1_Day_3[[#This Row],[Activity]]),"",IF(_xlfn.XLOOKUP(Term1_Day_3[[#This Row],[Activity]],Types_of_Activity[Type of Activity],Types_of_Activity[Classification])=1,Term1_Day_3[[#This Row],[Elapsed]],0))</f>
        <v/>
      </c>
      <c r="U43" s="106" t="str">
        <f>IF(ISBLANK(Term1_Day_3[[#This Row],[Activity]]),"",IF(_xlfn.XLOOKUP(Term1_Day_3[[#This Row],[Activity]],Types_of_Activity[Type of Activity],Types_of_Activity[Classification])=2,Term1_Day_3[[#This Row],[Elapsed]],0))</f>
        <v/>
      </c>
      <c r="W43" s="136"/>
      <c r="X43" s="136"/>
      <c r="Y43" s="103"/>
      <c r="Z43" s="106" t="str">
        <f>IF(OR(ISBLANK(Term1_Day_4[[#This Row],[Start]]),ISBLANK(Term1_Day_4[[#This Row],[End]])),"",(Term1_Day_4[[#This Row],[End]]-Term1_Day_4[[#This Row],[Start]])*1440)</f>
        <v/>
      </c>
      <c r="AA43" s="106" t="str">
        <f>IF(ISBLANK(Term1_Day_4[[#This Row],[Activity]]),"",IF(_xlfn.XLOOKUP(Term1_Day_4[[#This Row],[Activity]],Types_of_Activity[Type of Activity],Types_of_Activity[Classification])=1,Term1_Day_4[[#This Row],[Elapsed]],0))</f>
        <v/>
      </c>
      <c r="AB43" s="106" t="str">
        <f>IF(ISBLANK(Term1_Day_4[[#This Row],[Activity]]),"",IF(_xlfn.XLOOKUP(Term1_Day_4[[#This Row],[Activity]],Types_of_Activity[Type of Activity],Types_of_Activity[Classification])=2,Term1_Day_4[[#This Row],[Elapsed]],0))</f>
        <v/>
      </c>
      <c r="AD43" s="136"/>
      <c r="AE43" s="136"/>
      <c r="AF43" s="103"/>
      <c r="AG43" s="106" t="str">
        <f>IF(OR(ISBLANK(Term1_Day_5[[#This Row],[Start]]),ISBLANK(Term1_Day_5[[#This Row],[End]])),"",(Term1_Day_5[[#This Row],[End]]-Term1_Day_5[[#This Row],[Start]])*1440)</f>
        <v/>
      </c>
      <c r="AH43" s="106" t="str">
        <f>IF(ISBLANK(Term1_Day_5[[#This Row],[Activity]]),"",IF(_xlfn.XLOOKUP(Term1_Day_5[[#This Row],[Activity]],Types_of_Activity[Type of Activity],Types_of_Activity[Classification])=1,Term1_Day_5[[#This Row],[Elapsed]],0))</f>
        <v/>
      </c>
      <c r="AI43" s="106" t="str">
        <f>IF(ISBLANK(Term1_Day_5[[#This Row],[Activity]]),"",IF(_xlfn.XLOOKUP(Term1_Day_5[[#This Row],[Activity]],Types_of_Activity[Type of Activity],Types_of_Activity[Classification])=2,Term1_Day_5[[#This Row],[Elapsed]],0))</f>
        <v/>
      </c>
      <c r="AJ43" s="107"/>
      <c r="AK43" s="136"/>
      <c r="AL43" s="136"/>
      <c r="AM43" s="103"/>
      <c r="AN43" s="106" t="str">
        <f>IF(OR(ISBLANK(Term1_Day_6[[#This Row],[Start]]),ISBLANK(Term1_Day_6[[#This Row],[End]])),"",(Term1_Day_6[[#This Row],[End]]-Term1_Day_6[[#This Row],[Start]])*1440)</f>
        <v/>
      </c>
      <c r="AO43" s="106" t="str">
        <f>IF(ISBLANK(Term1_Day_6[[#This Row],[Activity]]),"",IF(_xlfn.XLOOKUP(Term1_Day_6[[#This Row],[Activity]],Types_of_Activity[Type of Activity],Types_of_Activity[Classification])=1,Term1_Day_6[[#This Row],[Elapsed]],0))</f>
        <v/>
      </c>
      <c r="AP43" s="106" t="str">
        <f>IF(ISBLANK(Term1_Day_6[[#This Row],[Activity]]),"",IF(_xlfn.XLOOKUP(Term1_Day_6[[#This Row],[Activity]],Types_of_Activity[Type of Activity],Types_of_Activity[Classification])=2,Term1_Day_6[[#This Row],[Elapsed]],0))</f>
        <v/>
      </c>
      <c r="AQ43" s="107"/>
      <c r="AR43" s="136"/>
      <c r="AS43" s="136"/>
      <c r="AT43" s="103"/>
      <c r="AU43" s="106" t="str">
        <f>IF(OR(ISBLANK(Term1_Day_7[[#This Row],[Start]]),ISBLANK(Term1_Day_7[[#This Row],[End]])),"",(Term1_Day_7[[#This Row],[End]]-Term1_Day_7[[#This Row],[Start]])*1440)</f>
        <v/>
      </c>
      <c r="AV43" s="106" t="str">
        <f>IF(ISBLANK(Term1_Day_7[[#This Row],[Activity]]),"",IF(_xlfn.XLOOKUP(Term1_Day_7[[#This Row],[Activity]],Types_of_Activity[Type of Activity],Types_of_Activity[Classification])=1,Term1_Day_7[[#This Row],[Elapsed]],0))</f>
        <v/>
      </c>
      <c r="AW43" s="106" t="str">
        <f>IF(ISBLANK(Term1_Day_7[[#This Row],[Activity]]),"",IF(_xlfn.XLOOKUP(Term1_Day_7[[#This Row],[Activity]],Types_of_Activity[Type of Activity],Types_of_Activity[Classification])=2,Term1_Day_7[[#This Row],[Elapsed]],0))</f>
        <v/>
      </c>
      <c r="AX43" s="107"/>
      <c r="AY43" s="136"/>
      <c r="AZ43" s="136"/>
      <c r="BA43" s="103"/>
      <c r="BB43" s="106" t="str">
        <f>IF(OR(ISBLANK(Term1_Day_8[[#This Row],[Start]]),ISBLANK(Term1_Day_8[[#This Row],[End]])),"",(Term1_Day_8[[#This Row],[End]]-Term1_Day_8[[#This Row],[Start]])*1440)</f>
        <v/>
      </c>
      <c r="BC43" s="106" t="str">
        <f>IF(ISBLANK(Term1_Day_8[[#This Row],[Activity]]),"",IF(_xlfn.XLOOKUP(Term1_Day_8[[#This Row],[Activity]],Types_of_Activity[Type of Activity],Types_of_Activity[Classification])=1,Term1_Day_8[[#This Row],[Elapsed]],0))</f>
        <v/>
      </c>
      <c r="BD43" s="106" t="str">
        <f>IF(ISBLANK(Term1_Day_8[[#This Row],[Activity]]),"",IF(_xlfn.XLOOKUP(Term1_Day_8[[#This Row],[Activity]],Types_of_Activity[Type of Activity],Types_of_Activity[Classification])=2,Term1_Day_8[[#This Row],[Elapsed]],0))</f>
        <v/>
      </c>
      <c r="BE43" s="107"/>
      <c r="BF43" s="136"/>
      <c r="BG43" s="136"/>
      <c r="BH43" s="103"/>
      <c r="BI43" s="106" t="str">
        <f>IF(OR(ISBLANK(Term1_Day_9[[#This Row],[Start]]),ISBLANK(Term1_Day_9[[#This Row],[End]])),"",(Term1_Day_9[[#This Row],[End]]-Term1_Day_9[[#This Row],[Start]])*1440)</f>
        <v/>
      </c>
      <c r="BJ43" s="106" t="str">
        <f>IF(ISBLANK(Term1_Day_9[[#This Row],[Activity]]),"",IF(_xlfn.XLOOKUP(Term1_Day_9[[#This Row],[Activity]],Types_of_Activity[Type of Activity],Types_of_Activity[Classification])=1,Term1_Day_9[[#This Row],[Elapsed]],0))</f>
        <v/>
      </c>
      <c r="BK43" s="106" t="str">
        <f>IF(ISBLANK(Term1_Day_9[[#This Row],[Activity]]),"",IF(_xlfn.XLOOKUP(Term1_Day_9[[#This Row],[Activity]],Types_of_Activity[Type of Activity],Types_of_Activity[Classification])=2,Term1_Day_9[[#This Row],[Elapsed]],0))</f>
        <v/>
      </c>
      <c r="BL43" s="107"/>
      <c r="BM43" s="136"/>
      <c r="BN43" s="136"/>
      <c r="BO43" s="103"/>
      <c r="BP43" s="106" t="str">
        <f>IF(OR(ISBLANK(Term1_Day_10[[#This Row],[Start]]),ISBLANK(Term1_Day_10[[#This Row],[End]])),"",(Term1_Day_10[[#This Row],[End]]-Term1_Day_10[[#This Row],[Start]])*1440)</f>
        <v/>
      </c>
      <c r="BQ43" s="106" t="str">
        <f>IF(ISBLANK(Term1_Day_10[[#This Row],[Activity]]),"",IF(_xlfn.XLOOKUP(Term1_Day_10[[#This Row],[Activity]],Types_of_Activity[Type of Activity],Types_of_Activity[Classification])=1,Term1_Day_10[[#This Row],[Elapsed]],0))</f>
        <v/>
      </c>
      <c r="BR43" s="106" t="str">
        <f>IF(ISBLANK(Term1_Day_10[[#This Row],[Activity]]),"",IF(_xlfn.XLOOKUP(Term1_Day_10[[#This Row],[Activity]],Types_of_Activity[Type of Activity],Types_of_Activity[Classification])=2,Term1_Day_10[[#This Row],[Elapsed]],0))</f>
        <v/>
      </c>
      <c r="BS43" s="107"/>
    </row>
    <row r="44" spans="2:71" x14ac:dyDescent="0.3">
      <c r="B44" s="136"/>
      <c r="C44" s="136"/>
      <c r="D44" s="103"/>
      <c r="E44" s="106" t="str">
        <f>IF(OR(ISBLANK(Term1_Day_1[[#This Row],[Start]]),ISBLANK(Term1_Day_1[[#This Row],[End]])),"",(Term1_Day_1[[#This Row],[End]]-Term1_Day_1[[#This Row],[Start]])*1440)</f>
        <v/>
      </c>
      <c r="F44" s="106" t="str">
        <f>IF(ISBLANK(Term1_Day_1[[#This Row],[Activity]]),"",IF(_xlfn.XLOOKUP(Term1_Day_1[[#This Row],[Activity]],Types_of_Activity[Type of Activity],Types_of_Activity[Classification])=1,Term1_Day_1[[#This Row],[Elapsed]],0))</f>
        <v/>
      </c>
      <c r="G44" s="106" t="str">
        <f>IF(ISBLANK(Term1_Day_1[[#This Row],[Activity]]),"",IF(_xlfn.XLOOKUP(Term1_Day_1[[#This Row],[Activity]],Types_of_Activity[Type of Activity],Types_of_Activity[Classification])=2,Term1_Day_1[[#This Row],[Elapsed]],0))</f>
        <v/>
      </c>
      <c r="I44" s="136"/>
      <c r="J44" s="136"/>
      <c r="K44" s="103"/>
      <c r="L44" s="106" t="str">
        <f>IF(OR(ISBLANK(Term1_Day_2[[#This Row],[Start]]),ISBLANK(Term1_Day_2[[#This Row],[End]])),"",(Term1_Day_2[[#This Row],[End]]-Term1_Day_2[[#This Row],[Start]])*1440)</f>
        <v/>
      </c>
      <c r="M44" s="106" t="str">
        <f>IF(ISBLANK(Term1_Day_2[[#This Row],[Activity]]),"",IF(_xlfn.XLOOKUP(Term1_Day_2[[#This Row],[Activity]],Types_of_Activity[Type of Activity],Types_of_Activity[Classification])=1,Term1_Day_2[[#This Row],[Elapsed]],0))</f>
        <v/>
      </c>
      <c r="N44" s="106" t="str">
        <f>IF(ISBLANK(Term1_Day_2[[#This Row],[Activity]]),"",IF(_xlfn.XLOOKUP(Term1_Day_2[[#This Row],[Activity]],Types_of_Activity[Type of Activity],Types_of_Activity[Classification])=2,Term1_Day_2[[#This Row],[Elapsed]],0))</f>
        <v/>
      </c>
      <c r="P44" s="136"/>
      <c r="Q44" s="136"/>
      <c r="R44" s="103"/>
      <c r="S44" s="106" t="str">
        <f>IF(OR(ISBLANK(Term1_Day_3[[#This Row],[Start]]),ISBLANK(Term1_Day_3[[#This Row],[End]])),"",(Term1_Day_3[[#This Row],[End]]-Term1_Day_3[[#This Row],[Start]])*1440)</f>
        <v/>
      </c>
      <c r="T44" s="106" t="str">
        <f>IF(ISBLANK(Term1_Day_3[[#This Row],[Activity]]),"",IF(_xlfn.XLOOKUP(Term1_Day_3[[#This Row],[Activity]],Types_of_Activity[Type of Activity],Types_of_Activity[Classification])=1,Term1_Day_3[[#This Row],[Elapsed]],0))</f>
        <v/>
      </c>
      <c r="U44" s="106" t="str">
        <f>IF(ISBLANK(Term1_Day_3[[#This Row],[Activity]]),"",IF(_xlfn.XLOOKUP(Term1_Day_3[[#This Row],[Activity]],Types_of_Activity[Type of Activity],Types_of_Activity[Classification])=2,Term1_Day_3[[#This Row],[Elapsed]],0))</f>
        <v/>
      </c>
      <c r="W44" s="136"/>
      <c r="X44" s="136"/>
      <c r="Y44" s="103"/>
      <c r="Z44" s="106" t="str">
        <f>IF(OR(ISBLANK(Term1_Day_4[[#This Row],[Start]]),ISBLANK(Term1_Day_4[[#This Row],[End]])),"",(Term1_Day_4[[#This Row],[End]]-Term1_Day_4[[#This Row],[Start]])*1440)</f>
        <v/>
      </c>
      <c r="AA44" s="106" t="str">
        <f>IF(ISBLANK(Term1_Day_4[[#This Row],[Activity]]),"",IF(_xlfn.XLOOKUP(Term1_Day_4[[#This Row],[Activity]],Types_of_Activity[Type of Activity],Types_of_Activity[Classification])=1,Term1_Day_4[[#This Row],[Elapsed]],0))</f>
        <v/>
      </c>
      <c r="AB44" s="106" t="str">
        <f>IF(ISBLANK(Term1_Day_4[[#This Row],[Activity]]),"",IF(_xlfn.XLOOKUP(Term1_Day_4[[#This Row],[Activity]],Types_of_Activity[Type of Activity],Types_of_Activity[Classification])=2,Term1_Day_4[[#This Row],[Elapsed]],0))</f>
        <v/>
      </c>
      <c r="AD44" s="136"/>
      <c r="AE44" s="136"/>
      <c r="AF44" s="103"/>
      <c r="AG44" s="106" t="str">
        <f>IF(OR(ISBLANK(Term1_Day_5[[#This Row],[Start]]),ISBLANK(Term1_Day_5[[#This Row],[End]])),"",(Term1_Day_5[[#This Row],[End]]-Term1_Day_5[[#This Row],[Start]])*1440)</f>
        <v/>
      </c>
      <c r="AH44" s="106" t="str">
        <f>IF(ISBLANK(Term1_Day_5[[#This Row],[Activity]]),"",IF(_xlfn.XLOOKUP(Term1_Day_5[[#This Row],[Activity]],Types_of_Activity[Type of Activity],Types_of_Activity[Classification])=1,Term1_Day_5[[#This Row],[Elapsed]],0))</f>
        <v/>
      </c>
      <c r="AI44" s="106" t="str">
        <f>IF(ISBLANK(Term1_Day_5[[#This Row],[Activity]]),"",IF(_xlfn.XLOOKUP(Term1_Day_5[[#This Row],[Activity]],Types_of_Activity[Type of Activity],Types_of_Activity[Classification])=2,Term1_Day_5[[#This Row],[Elapsed]],0))</f>
        <v/>
      </c>
      <c r="AJ44" s="107"/>
      <c r="AK44" s="136"/>
      <c r="AL44" s="136"/>
      <c r="AM44" s="103"/>
      <c r="AN44" s="106" t="str">
        <f>IF(OR(ISBLANK(Term1_Day_6[[#This Row],[Start]]),ISBLANK(Term1_Day_6[[#This Row],[End]])),"",(Term1_Day_6[[#This Row],[End]]-Term1_Day_6[[#This Row],[Start]])*1440)</f>
        <v/>
      </c>
      <c r="AO44" s="106" t="str">
        <f>IF(ISBLANK(Term1_Day_6[[#This Row],[Activity]]),"",IF(_xlfn.XLOOKUP(Term1_Day_6[[#This Row],[Activity]],Types_of_Activity[Type of Activity],Types_of_Activity[Classification])=1,Term1_Day_6[[#This Row],[Elapsed]],0))</f>
        <v/>
      </c>
      <c r="AP44" s="106" t="str">
        <f>IF(ISBLANK(Term1_Day_6[[#This Row],[Activity]]),"",IF(_xlfn.XLOOKUP(Term1_Day_6[[#This Row],[Activity]],Types_of_Activity[Type of Activity],Types_of_Activity[Classification])=2,Term1_Day_6[[#This Row],[Elapsed]],0))</f>
        <v/>
      </c>
      <c r="AQ44" s="107"/>
      <c r="AR44" s="136"/>
      <c r="AS44" s="136"/>
      <c r="AT44" s="103"/>
      <c r="AU44" s="106" t="str">
        <f>IF(OR(ISBLANK(Term1_Day_7[[#This Row],[Start]]),ISBLANK(Term1_Day_7[[#This Row],[End]])),"",(Term1_Day_7[[#This Row],[End]]-Term1_Day_7[[#This Row],[Start]])*1440)</f>
        <v/>
      </c>
      <c r="AV44" s="106" t="str">
        <f>IF(ISBLANK(Term1_Day_7[[#This Row],[Activity]]),"",IF(_xlfn.XLOOKUP(Term1_Day_7[[#This Row],[Activity]],Types_of_Activity[Type of Activity],Types_of_Activity[Classification])=1,Term1_Day_7[[#This Row],[Elapsed]],0))</f>
        <v/>
      </c>
      <c r="AW44" s="106" t="str">
        <f>IF(ISBLANK(Term1_Day_7[[#This Row],[Activity]]),"",IF(_xlfn.XLOOKUP(Term1_Day_7[[#This Row],[Activity]],Types_of_Activity[Type of Activity],Types_of_Activity[Classification])=2,Term1_Day_7[[#This Row],[Elapsed]],0))</f>
        <v/>
      </c>
      <c r="AX44" s="107"/>
      <c r="AY44" s="136"/>
      <c r="AZ44" s="136"/>
      <c r="BA44" s="103"/>
      <c r="BB44" s="106" t="str">
        <f>IF(OR(ISBLANK(Term1_Day_8[[#This Row],[Start]]),ISBLANK(Term1_Day_8[[#This Row],[End]])),"",(Term1_Day_8[[#This Row],[End]]-Term1_Day_8[[#This Row],[Start]])*1440)</f>
        <v/>
      </c>
      <c r="BC44" s="106" t="str">
        <f>IF(ISBLANK(Term1_Day_8[[#This Row],[Activity]]),"",IF(_xlfn.XLOOKUP(Term1_Day_8[[#This Row],[Activity]],Types_of_Activity[Type of Activity],Types_of_Activity[Classification])=1,Term1_Day_8[[#This Row],[Elapsed]],0))</f>
        <v/>
      </c>
      <c r="BD44" s="106" t="str">
        <f>IF(ISBLANK(Term1_Day_8[[#This Row],[Activity]]),"",IF(_xlfn.XLOOKUP(Term1_Day_8[[#This Row],[Activity]],Types_of_Activity[Type of Activity],Types_of_Activity[Classification])=2,Term1_Day_8[[#This Row],[Elapsed]],0))</f>
        <v/>
      </c>
      <c r="BE44" s="107"/>
      <c r="BF44" s="136"/>
      <c r="BG44" s="136"/>
      <c r="BH44" s="103"/>
      <c r="BI44" s="106" t="str">
        <f>IF(OR(ISBLANK(Term1_Day_9[[#This Row],[Start]]),ISBLANK(Term1_Day_9[[#This Row],[End]])),"",(Term1_Day_9[[#This Row],[End]]-Term1_Day_9[[#This Row],[Start]])*1440)</f>
        <v/>
      </c>
      <c r="BJ44" s="106" t="str">
        <f>IF(ISBLANK(Term1_Day_9[[#This Row],[Activity]]),"",IF(_xlfn.XLOOKUP(Term1_Day_9[[#This Row],[Activity]],Types_of_Activity[Type of Activity],Types_of_Activity[Classification])=1,Term1_Day_9[[#This Row],[Elapsed]],0))</f>
        <v/>
      </c>
      <c r="BK44" s="106" t="str">
        <f>IF(ISBLANK(Term1_Day_9[[#This Row],[Activity]]),"",IF(_xlfn.XLOOKUP(Term1_Day_9[[#This Row],[Activity]],Types_of_Activity[Type of Activity],Types_of_Activity[Classification])=2,Term1_Day_9[[#This Row],[Elapsed]],0))</f>
        <v/>
      </c>
      <c r="BL44" s="107"/>
      <c r="BM44" s="136"/>
      <c r="BN44" s="136"/>
      <c r="BO44" s="103"/>
      <c r="BP44" s="106" t="str">
        <f>IF(OR(ISBLANK(Term1_Day_10[[#This Row],[Start]]),ISBLANK(Term1_Day_10[[#This Row],[End]])),"",(Term1_Day_10[[#This Row],[End]]-Term1_Day_10[[#This Row],[Start]])*1440)</f>
        <v/>
      </c>
      <c r="BQ44" s="106" t="str">
        <f>IF(ISBLANK(Term1_Day_10[[#This Row],[Activity]]),"",IF(_xlfn.XLOOKUP(Term1_Day_10[[#This Row],[Activity]],Types_of_Activity[Type of Activity],Types_of_Activity[Classification])=1,Term1_Day_10[[#This Row],[Elapsed]],0))</f>
        <v/>
      </c>
      <c r="BR44" s="106" t="str">
        <f>IF(ISBLANK(Term1_Day_10[[#This Row],[Activity]]),"",IF(_xlfn.XLOOKUP(Term1_Day_10[[#This Row],[Activity]],Types_of_Activity[Type of Activity],Types_of_Activity[Classification])=2,Term1_Day_10[[#This Row],[Elapsed]],0))</f>
        <v/>
      </c>
      <c r="BS44" s="107"/>
    </row>
    <row r="45" spans="2:71" x14ac:dyDescent="0.3">
      <c r="B45" s="136"/>
      <c r="C45" s="136"/>
      <c r="D45" s="103"/>
      <c r="E45" s="106" t="str">
        <f>IF(OR(ISBLANK(Term1_Day_1[[#This Row],[Start]]),ISBLANK(Term1_Day_1[[#This Row],[End]])),"",(Term1_Day_1[[#This Row],[End]]-Term1_Day_1[[#This Row],[Start]])*1440)</f>
        <v/>
      </c>
      <c r="F45" s="106" t="str">
        <f>IF(ISBLANK(Term1_Day_1[[#This Row],[Activity]]),"",IF(_xlfn.XLOOKUP(Term1_Day_1[[#This Row],[Activity]],Types_of_Activity[Type of Activity],Types_of_Activity[Classification])=1,Term1_Day_1[[#This Row],[Elapsed]],0))</f>
        <v/>
      </c>
      <c r="G45" s="106" t="str">
        <f>IF(ISBLANK(Term1_Day_1[[#This Row],[Activity]]),"",IF(_xlfn.XLOOKUP(Term1_Day_1[[#This Row],[Activity]],Types_of_Activity[Type of Activity],Types_of_Activity[Classification])=2,Term1_Day_1[[#This Row],[Elapsed]],0))</f>
        <v/>
      </c>
      <c r="I45" s="136"/>
      <c r="J45" s="136"/>
      <c r="K45" s="103"/>
      <c r="L45" s="106" t="str">
        <f>IF(OR(ISBLANK(Term1_Day_2[[#This Row],[Start]]),ISBLANK(Term1_Day_2[[#This Row],[End]])),"",(Term1_Day_2[[#This Row],[End]]-Term1_Day_2[[#This Row],[Start]])*1440)</f>
        <v/>
      </c>
      <c r="M45" s="106" t="str">
        <f>IF(ISBLANK(Term1_Day_2[[#This Row],[Activity]]),"",IF(_xlfn.XLOOKUP(Term1_Day_2[[#This Row],[Activity]],Types_of_Activity[Type of Activity],Types_of_Activity[Classification])=1,Term1_Day_2[[#This Row],[Elapsed]],0))</f>
        <v/>
      </c>
      <c r="N45" s="106" t="str">
        <f>IF(ISBLANK(Term1_Day_2[[#This Row],[Activity]]),"",IF(_xlfn.XLOOKUP(Term1_Day_2[[#This Row],[Activity]],Types_of_Activity[Type of Activity],Types_of_Activity[Classification])=2,Term1_Day_2[[#This Row],[Elapsed]],0))</f>
        <v/>
      </c>
      <c r="P45" s="136"/>
      <c r="Q45" s="136"/>
      <c r="R45" s="103"/>
      <c r="S45" s="106" t="str">
        <f>IF(OR(ISBLANK(Term1_Day_3[[#This Row],[Start]]),ISBLANK(Term1_Day_3[[#This Row],[End]])),"",(Term1_Day_3[[#This Row],[End]]-Term1_Day_3[[#This Row],[Start]])*1440)</f>
        <v/>
      </c>
      <c r="T45" s="106" t="str">
        <f>IF(ISBLANK(Term1_Day_3[[#This Row],[Activity]]),"",IF(_xlfn.XLOOKUP(Term1_Day_3[[#This Row],[Activity]],Types_of_Activity[Type of Activity],Types_of_Activity[Classification])=1,Term1_Day_3[[#This Row],[Elapsed]],0))</f>
        <v/>
      </c>
      <c r="U45" s="106" t="str">
        <f>IF(ISBLANK(Term1_Day_3[[#This Row],[Activity]]),"",IF(_xlfn.XLOOKUP(Term1_Day_3[[#This Row],[Activity]],Types_of_Activity[Type of Activity],Types_of_Activity[Classification])=2,Term1_Day_3[[#This Row],[Elapsed]],0))</f>
        <v/>
      </c>
      <c r="W45" s="136"/>
      <c r="X45" s="136"/>
      <c r="Y45" s="103"/>
      <c r="Z45" s="106" t="str">
        <f>IF(OR(ISBLANK(Term1_Day_4[[#This Row],[Start]]),ISBLANK(Term1_Day_4[[#This Row],[End]])),"",(Term1_Day_4[[#This Row],[End]]-Term1_Day_4[[#This Row],[Start]])*1440)</f>
        <v/>
      </c>
      <c r="AA45" s="106" t="str">
        <f>IF(ISBLANK(Term1_Day_4[[#This Row],[Activity]]),"",IF(_xlfn.XLOOKUP(Term1_Day_4[[#This Row],[Activity]],Types_of_Activity[Type of Activity],Types_of_Activity[Classification])=1,Term1_Day_4[[#This Row],[Elapsed]],0))</f>
        <v/>
      </c>
      <c r="AB45" s="106" t="str">
        <f>IF(ISBLANK(Term1_Day_4[[#This Row],[Activity]]),"",IF(_xlfn.XLOOKUP(Term1_Day_4[[#This Row],[Activity]],Types_of_Activity[Type of Activity],Types_of_Activity[Classification])=2,Term1_Day_4[[#This Row],[Elapsed]],0))</f>
        <v/>
      </c>
      <c r="AD45" s="136"/>
      <c r="AE45" s="136"/>
      <c r="AF45" s="103"/>
      <c r="AG45" s="106" t="str">
        <f>IF(OR(ISBLANK(Term1_Day_5[[#This Row],[Start]]),ISBLANK(Term1_Day_5[[#This Row],[End]])),"",(Term1_Day_5[[#This Row],[End]]-Term1_Day_5[[#This Row],[Start]])*1440)</f>
        <v/>
      </c>
      <c r="AH45" s="106" t="str">
        <f>IF(ISBLANK(Term1_Day_5[[#This Row],[Activity]]),"",IF(_xlfn.XLOOKUP(Term1_Day_5[[#This Row],[Activity]],Types_of_Activity[Type of Activity],Types_of_Activity[Classification])=1,Term1_Day_5[[#This Row],[Elapsed]],0))</f>
        <v/>
      </c>
      <c r="AI45" s="106" t="str">
        <f>IF(ISBLANK(Term1_Day_5[[#This Row],[Activity]]),"",IF(_xlfn.XLOOKUP(Term1_Day_5[[#This Row],[Activity]],Types_of_Activity[Type of Activity],Types_of_Activity[Classification])=2,Term1_Day_5[[#This Row],[Elapsed]],0))</f>
        <v/>
      </c>
      <c r="AJ45" s="107"/>
      <c r="AK45" s="136"/>
      <c r="AL45" s="136"/>
      <c r="AM45" s="103"/>
      <c r="AN45" s="106" t="str">
        <f>IF(OR(ISBLANK(Term1_Day_6[[#This Row],[Start]]),ISBLANK(Term1_Day_6[[#This Row],[End]])),"",(Term1_Day_6[[#This Row],[End]]-Term1_Day_6[[#This Row],[Start]])*1440)</f>
        <v/>
      </c>
      <c r="AO45" s="106" t="str">
        <f>IF(ISBLANK(Term1_Day_6[[#This Row],[Activity]]),"",IF(_xlfn.XLOOKUP(Term1_Day_6[[#This Row],[Activity]],Types_of_Activity[Type of Activity],Types_of_Activity[Classification])=1,Term1_Day_6[[#This Row],[Elapsed]],0))</f>
        <v/>
      </c>
      <c r="AP45" s="106" t="str">
        <f>IF(ISBLANK(Term1_Day_6[[#This Row],[Activity]]),"",IF(_xlfn.XLOOKUP(Term1_Day_6[[#This Row],[Activity]],Types_of_Activity[Type of Activity],Types_of_Activity[Classification])=2,Term1_Day_6[[#This Row],[Elapsed]],0))</f>
        <v/>
      </c>
      <c r="AQ45" s="107"/>
      <c r="AR45" s="136"/>
      <c r="AS45" s="136"/>
      <c r="AT45" s="103"/>
      <c r="AU45" s="106" t="str">
        <f>IF(OR(ISBLANK(Term1_Day_7[[#This Row],[Start]]),ISBLANK(Term1_Day_7[[#This Row],[End]])),"",(Term1_Day_7[[#This Row],[End]]-Term1_Day_7[[#This Row],[Start]])*1440)</f>
        <v/>
      </c>
      <c r="AV45" s="106" t="str">
        <f>IF(ISBLANK(Term1_Day_7[[#This Row],[Activity]]),"",IF(_xlfn.XLOOKUP(Term1_Day_7[[#This Row],[Activity]],Types_of_Activity[Type of Activity],Types_of_Activity[Classification])=1,Term1_Day_7[[#This Row],[Elapsed]],0))</f>
        <v/>
      </c>
      <c r="AW45" s="106" t="str">
        <f>IF(ISBLANK(Term1_Day_7[[#This Row],[Activity]]),"",IF(_xlfn.XLOOKUP(Term1_Day_7[[#This Row],[Activity]],Types_of_Activity[Type of Activity],Types_of_Activity[Classification])=2,Term1_Day_7[[#This Row],[Elapsed]],0))</f>
        <v/>
      </c>
      <c r="AX45" s="107"/>
      <c r="AY45" s="136"/>
      <c r="AZ45" s="136"/>
      <c r="BA45" s="103"/>
      <c r="BB45" s="106" t="str">
        <f>IF(OR(ISBLANK(Term1_Day_8[[#This Row],[Start]]),ISBLANK(Term1_Day_8[[#This Row],[End]])),"",(Term1_Day_8[[#This Row],[End]]-Term1_Day_8[[#This Row],[Start]])*1440)</f>
        <v/>
      </c>
      <c r="BC45" s="106" t="str">
        <f>IF(ISBLANK(Term1_Day_8[[#This Row],[Activity]]),"",IF(_xlfn.XLOOKUP(Term1_Day_8[[#This Row],[Activity]],Types_of_Activity[Type of Activity],Types_of_Activity[Classification])=1,Term1_Day_8[[#This Row],[Elapsed]],0))</f>
        <v/>
      </c>
      <c r="BD45" s="106" t="str">
        <f>IF(ISBLANK(Term1_Day_8[[#This Row],[Activity]]),"",IF(_xlfn.XLOOKUP(Term1_Day_8[[#This Row],[Activity]],Types_of_Activity[Type of Activity],Types_of_Activity[Classification])=2,Term1_Day_8[[#This Row],[Elapsed]],0))</f>
        <v/>
      </c>
      <c r="BE45" s="107"/>
      <c r="BF45" s="136"/>
      <c r="BG45" s="136"/>
      <c r="BH45" s="103"/>
      <c r="BI45" s="106" t="str">
        <f>IF(OR(ISBLANK(Term1_Day_9[[#This Row],[Start]]),ISBLANK(Term1_Day_9[[#This Row],[End]])),"",(Term1_Day_9[[#This Row],[End]]-Term1_Day_9[[#This Row],[Start]])*1440)</f>
        <v/>
      </c>
      <c r="BJ45" s="106" t="str">
        <f>IF(ISBLANK(Term1_Day_9[[#This Row],[Activity]]),"",IF(_xlfn.XLOOKUP(Term1_Day_9[[#This Row],[Activity]],Types_of_Activity[Type of Activity],Types_of_Activity[Classification])=1,Term1_Day_9[[#This Row],[Elapsed]],0))</f>
        <v/>
      </c>
      <c r="BK45" s="106" t="str">
        <f>IF(ISBLANK(Term1_Day_9[[#This Row],[Activity]]),"",IF(_xlfn.XLOOKUP(Term1_Day_9[[#This Row],[Activity]],Types_of_Activity[Type of Activity],Types_of_Activity[Classification])=2,Term1_Day_9[[#This Row],[Elapsed]],0))</f>
        <v/>
      </c>
      <c r="BL45" s="107"/>
      <c r="BM45" s="136"/>
      <c r="BN45" s="136"/>
      <c r="BO45" s="103"/>
      <c r="BP45" s="106" t="str">
        <f>IF(OR(ISBLANK(Term1_Day_10[[#This Row],[Start]]),ISBLANK(Term1_Day_10[[#This Row],[End]])),"",(Term1_Day_10[[#This Row],[End]]-Term1_Day_10[[#This Row],[Start]])*1440)</f>
        <v/>
      </c>
      <c r="BQ45" s="106" t="str">
        <f>IF(ISBLANK(Term1_Day_10[[#This Row],[Activity]]),"",IF(_xlfn.XLOOKUP(Term1_Day_10[[#This Row],[Activity]],Types_of_Activity[Type of Activity],Types_of_Activity[Classification])=1,Term1_Day_10[[#This Row],[Elapsed]],0))</f>
        <v/>
      </c>
      <c r="BR45" s="106" t="str">
        <f>IF(ISBLANK(Term1_Day_10[[#This Row],[Activity]]),"",IF(_xlfn.XLOOKUP(Term1_Day_10[[#This Row],[Activity]],Types_of_Activity[Type of Activity],Types_of_Activity[Classification])=2,Term1_Day_10[[#This Row],[Elapsed]],0))</f>
        <v/>
      </c>
      <c r="BS45" s="107"/>
    </row>
    <row r="46" spans="2:71" x14ac:dyDescent="0.3">
      <c r="B46" s="136"/>
      <c r="C46" s="136"/>
      <c r="D46" s="103"/>
      <c r="E46" s="106" t="str">
        <f>IF(OR(ISBLANK(Term1_Day_1[[#This Row],[Start]]),ISBLANK(Term1_Day_1[[#This Row],[End]])),"",(Term1_Day_1[[#This Row],[End]]-Term1_Day_1[[#This Row],[Start]])*1440)</f>
        <v/>
      </c>
      <c r="F46" s="106" t="str">
        <f>IF(ISBLANK(Term1_Day_1[[#This Row],[Activity]]),"",IF(_xlfn.XLOOKUP(Term1_Day_1[[#This Row],[Activity]],Types_of_Activity[Type of Activity],Types_of_Activity[Classification])=1,Term1_Day_1[[#This Row],[Elapsed]],0))</f>
        <v/>
      </c>
      <c r="G46" s="106" t="str">
        <f>IF(ISBLANK(Term1_Day_1[[#This Row],[Activity]]),"",IF(_xlfn.XLOOKUP(Term1_Day_1[[#This Row],[Activity]],Types_of_Activity[Type of Activity],Types_of_Activity[Classification])=2,Term1_Day_1[[#This Row],[Elapsed]],0))</f>
        <v/>
      </c>
      <c r="I46" s="136"/>
      <c r="J46" s="136"/>
      <c r="K46" s="103"/>
      <c r="L46" s="106" t="str">
        <f>IF(OR(ISBLANK(Term1_Day_2[[#This Row],[Start]]),ISBLANK(Term1_Day_2[[#This Row],[End]])),"",(Term1_Day_2[[#This Row],[End]]-Term1_Day_2[[#This Row],[Start]])*1440)</f>
        <v/>
      </c>
      <c r="M46" s="106" t="str">
        <f>IF(ISBLANK(Term1_Day_2[[#This Row],[Activity]]),"",IF(_xlfn.XLOOKUP(Term1_Day_2[[#This Row],[Activity]],Types_of_Activity[Type of Activity],Types_of_Activity[Classification])=1,Term1_Day_2[[#This Row],[Elapsed]],0))</f>
        <v/>
      </c>
      <c r="N46" s="106" t="str">
        <f>IF(ISBLANK(Term1_Day_2[[#This Row],[Activity]]),"",IF(_xlfn.XLOOKUP(Term1_Day_2[[#This Row],[Activity]],Types_of_Activity[Type of Activity],Types_of_Activity[Classification])=2,Term1_Day_2[[#This Row],[Elapsed]],0))</f>
        <v/>
      </c>
      <c r="P46" s="136"/>
      <c r="Q46" s="136"/>
      <c r="R46" s="103"/>
      <c r="S46" s="106" t="str">
        <f>IF(OR(ISBLANK(Term1_Day_3[[#This Row],[Start]]),ISBLANK(Term1_Day_3[[#This Row],[End]])),"",(Term1_Day_3[[#This Row],[End]]-Term1_Day_3[[#This Row],[Start]])*1440)</f>
        <v/>
      </c>
      <c r="T46" s="106" t="str">
        <f>IF(ISBLANK(Term1_Day_3[[#This Row],[Activity]]),"",IF(_xlfn.XLOOKUP(Term1_Day_3[[#This Row],[Activity]],Types_of_Activity[Type of Activity],Types_of_Activity[Classification])=1,Term1_Day_3[[#This Row],[Elapsed]],0))</f>
        <v/>
      </c>
      <c r="U46" s="106" t="str">
        <f>IF(ISBLANK(Term1_Day_3[[#This Row],[Activity]]),"",IF(_xlfn.XLOOKUP(Term1_Day_3[[#This Row],[Activity]],Types_of_Activity[Type of Activity],Types_of_Activity[Classification])=2,Term1_Day_3[[#This Row],[Elapsed]],0))</f>
        <v/>
      </c>
      <c r="W46" s="136"/>
      <c r="X46" s="136"/>
      <c r="Y46" s="103"/>
      <c r="Z46" s="106" t="str">
        <f>IF(OR(ISBLANK(Term1_Day_4[[#This Row],[Start]]),ISBLANK(Term1_Day_4[[#This Row],[End]])),"",(Term1_Day_4[[#This Row],[End]]-Term1_Day_4[[#This Row],[Start]])*1440)</f>
        <v/>
      </c>
      <c r="AA46" s="106" t="str">
        <f>IF(ISBLANK(Term1_Day_4[[#This Row],[Activity]]),"",IF(_xlfn.XLOOKUP(Term1_Day_4[[#This Row],[Activity]],Types_of_Activity[Type of Activity],Types_of_Activity[Classification])=1,Term1_Day_4[[#This Row],[Elapsed]],0))</f>
        <v/>
      </c>
      <c r="AB46" s="106" t="str">
        <f>IF(ISBLANK(Term1_Day_4[[#This Row],[Activity]]),"",IF(_xlfn.XLOOKUP(Term1_Day_4[[#This Row],[Activity]],Types_of_Activity[Type of Activity],Types_of_Activity[Classification])=2,Term1_Day_4[[#This Row],[Elapsed]],0))</f>
        <v/>
      </c>
      <c r="AD46" s="136"/>
      <c r="AE46" s="136"/>
      <c r="AF46" s="103"/>
      <c r="AG46" s="106" t="str">
        <f>IF(OR(ISBLANK(Term1_Day_5[[#This Row],[Start]]),ISBLANK(Term1_Day_5[[#This Row],[End]])),"",(Term1_Day_5[[#This Row],[End]]-Term1_Day_5[[#This Row],[Start]])*1440)</f>
        <v/>
      </c>
      <c r="AH46" s="106" t="str">
        <f>IF(ISBLANK(Term1_Day_5[[#This Row],[Activity]]),"",IF(_xlfn.XLOOKUP(Term1_Day_5[[#This Row],[Activity]],Types_of_Activity[Type of Activity],Types_of_Activity[Classification])=1,Term1_Day_5[[#This Row],[Elapsed]],0))</f>
        <v/>
      </c>
      <c r="AI46" s="106" t="str">
        <f>IF(ISBLANK(Term1_Day_5[[#This Row],[Activity]]),"",IF(_xlfn.XLOOKUP(Term1_Day_5[[#This Row],[Activity]],Types_of_Activity[Type of Activity],Types_of_Activity[Classification])=2,Term1_Day_5[[#This Row],[Elapsed]],0))</f>
        <v/>
      </c>
      <c r="AJ46" s="107"/>
      <c r="AK46" s="136"/>
      <c r="AL46" s="136"/>
      <c r="AM46" s="103"/>
      <c r="AN46" s="106" t="str">
        <f>IF(OR(ISBLANK(Term1_Day_6[[#This Row],[Start]]),ISBLANK(Term1_Day_6[[#This Row],[End]])),"",(Term1_Day_6[[#This Row],[End]]-Term1_Day_6[[#This Row],[Start]])*1440)</f>
        <v/>
      </c>
      <c r="AO46" s="106" t="str">
        <f>IF(ISBLANK(Term1_Day_6[[#This Row],[Activity]]),"",IF(_xlfn.XLOOKUP(Term1_Day_6[[#This Row],[Activity]],Types_of_Activity[Type of Activity],Types_of_Activity[Classification])=1,Term1_Day_6[[#This Row],[Elapsed]],0))</f>
        <v/>
      </c>
      <c r="AP46" s="106" t="str">
        <f>IF(ISBLANK(Term1_Day_6[[#This Row],[Activity]]),"",IF(_xlfn.XLOOKUP(Term1_Day_6[[#This Row],[Activity]],Types_of_Activity[Type of Activity],Types_of_Activity[Classification])=2,Term1_Day_6[[#This Row],[Elapsed]],0))</f>
        <v/>
      </c>
      <c r="AQ46" s="107"/>
      <c r="AR46" s="136"/>
      <c r="AS46" s="136"/>
      <c r="AT46" s="103"/>
      <c r="AU46" s="106" t="str">
        <f>IF(OR(ISBLANK(Term1_Day_7[[#This Row],[Start]]),ISBLANK(Term1_Day_7[[#This Row],[End]])),"",(Term1_Day_7[[#This Row],[End]]-Term1_Day_7[[#This Row],[Start]])*1440)</f>
        <v/>
      </c>
      <c r="AV46" s="106" t="str">
        <f>IF(ISBLANK(Term1_Day_7[[#This Row],[Activity]]),"",IF(_xlfn.XLOOKUP(Term1_Day_7[[#This Row],[Activity]],Types_of_Activity[Type of Activity],Types_of_Activity[Classification])=1,Term1_Day_7[[#This Row],[Elapsed]],0))</f>
        <v/>
      </c>
      <c r="AW46" s="106" t="str">
        <f>IF(ISBLANK(Term1_Day_7[[#This Row],[Activity]]),"",IF(_xlfn.XLOOKUP(Term1_Day_7[[#This Row],[Activity]],Types_of_Activity[Type of Activity],Types_of_Activity[Classification])=2,Term1_Day_7[[#This Row],[Elapsed]],0))</f>
        <v/>
      </c>
      <c r="AX46" s="107"/>
      <c r="AY46" s="136"/>
      <c r="AZ46" s="136"/>
      <c r="BA46" s="103"/>
      <c r="BB46" s="106" t="str">
        <f>IF(OR(ISBLANK(Term1_Day_8[[#This Row],[Start]]),ISBLANK(Term1_Day_8[[#This Row],[End]])),"",(Term1_Day_8[[#This Row],[End]]-Term1_Day_8[[#This Row],[Start]])*1440)</f>
        <v/>
      </c>
      <c r="BC46" s="106" t="str">
        <f>IF(ISBLANK(Term1_Day_8[[#This Row],[Activity]]),"",IF(_xlfn.XLOOKUP(Term1_Day_8[[#This Row],[Activity]],Types_of_Activity[Type of Activity],Types_of_Activity[Classification])=1,Term1_Day_8[[#This Row],[Elapsed]],0))</f>
        <v/>
      </c>
      <c r="BD46" s="106" t="str">
        <f>IF(ISBLANK(Term1_Day_8[[#This Row],[Activity]]),"",IF(_xlfn.XLOOKUP(Term1_Day_8[[#This Row],[Activity]],Types_of_Activity[Type of Activity],Types_of_Activity[Classification])=2,Term1_Day_8[[#This Row],[Elapsed]],0))</f>
        <v/>
      </c>
      <c r="BE46" s="107"/>
      <c r="BF46" s="136"/>
      <c r="BG46" s="136"/>
      <c r="BH46" s="103"/>
      <c r="BI46" s="106" t="str">
        <f>IF(OR(ISBLANK(Term1_Day_9[[#This Row],[Start]]),ISBLANK(Term1_Day_9[[#This Row],[End]])),"",(Term1_Day_9[[#This Row],[End]]-Term1_Day_9[[#This Row],[Start]])*1440)</f>
        <v/>
      </c>
      <c r="BJ46" s="106" t="str">
        <f>IF(ISBLANK(Term1_Day_9[[#This Row],[Activity]]),"",IF(_xlfn.XLOOKUP(Term1_Day_9[[#This Row],[Activity]],Types_of_Activity[Type of Activity],Types_of_Activity[Classification])=1,Term1_Day_9[[#This Row],[Elapsed]],0))</f>
        <v/>
      </c>
      <c r="BK46" s="106" t="str">
        <f>IF(ISBLANK(Term1_Day_9[[#This Row],[Activity]]),"",IF(_xlfn.XLOOKUP(Term1_Day_9[[#This Row],[Activity]],Types_of_Activity[Type of Activity],Types_of_Activity[Classification])=2,Term1_Day_9[[#This Row],[Elapsed]],0))</f>
        <v/>
      </c>
      <c r="BL46" s="107"/>
      <c r="BM46" s="136"/>
      <c r="BN46" s="136"/>
      <c r="BO46" s="103"/>
      <c r="BP46" s="106" t="str">
        <f>IF(OR(ISBLANK(Term1_Day_10[[#This Row],[Start]]),ISBLANK(Term1_Day_10[[#This Row],[End]])),"",(Term1_Day_10[[#This Row],[End]]-Term1_Day_10[[#This Row],[Start]])*1440)</f>
        <v/>
      </c>
      <c r="BQ46" s="106" t="str">
        <f>IF(ISBLANK(Term1_Day_10[[#This Row],[Activity]]),"",IF(_xlfn.XLOOKUP(Term1_Day_10[[#This Row],[Activity]],Types_of_Activity[Type of Activity],Types_of_Activity[Classification])=1,Term1_Day_10[[#This Row],[Elapsed]],0))</f>
        <v/>
      </c>
      <c r="BR46" s="106" t="str">
        <f>IF(ISBLANK(Term1_Day_10[[#This Row],[Activity]]),"",IF(_xlfn.XLOOKUP(Term1_Day_10[[#This Row],[Activity]],Types_of_Activity[Type of Activity],Types_of_Activity[Classification])=2,Term1_Day_10[[#This Row],[Elapsed]],0))</f>
        <v/>
      </c>
      <c r="BS46" s="107"/>
    </row>
    <row r="47" spans="2:71" x14ac:dyDescent="0.3">
      <c r="B47" s="136"/>
      <c r="C47" s="136"/>
      <c r="D47" s="103"/>
      <c r="E47" s="106" t="str">
        <f>IF(OR(ISBLANK(Term1_Day_1[[#This Row],[Start]]),ISBLANK(Term1_Day_1[[#This Row],[End]])),"",(Term1_Day_1[[#This Row],[End]]-Term1_Day_1[[#This Row],[Start]])*1440)</f>
        <v/>
      </c>
      <c r="F47" s="106" t="str">
        <f>IF(ISBLANK(Term1_Day_1[[#This Row],[Activity]]),"",IF(_xlfn.XLOOKUP(Term1_Day_1[[#This Row],[Activity]],Types_of_Activity[Type of Activity],Types_of_Activity[Classification])=1,Term1_Day_1[[#This Row],[Elapsed]],0))</f>
        <v/>
      </c>
      <c r="G47" s="106" t="str">
        <f>IF(ISBLANK(Term1_Day_1[[#This Row],[Activity]]),"",IF(_xlfn.XLOOKUP(Term1_Day_1[[#This Row],[Activity]],Types_of_Activity[Type of Activity],Types_of_Activity[Classification])=2,Term1_Day_1[[#This Row],[Elapsed]],0))</f>
        <v/>
      </c>
      <c r="I47" s="136"/>
      <c r="J47" s="136"/>
      <c r="K47" s="103"/>
      <c r="L47" s="106" t="str">
        <f>IF(OR(ISBLANK(Term1_Day_2[[#This Row],[Start]]),ISBLANK(Term1_Day_2[[#This Row],[End]])),"",(Term1_Day_2[[#This Row],[End]]-Term1_Day_2[[#This Row],[Start]])*1440)</f>
        <v/>
      </c>
      <c r="M47" s="106" t="str">
        <f>IF(ISBLANK(Term1_Day_2[[#This Row],[Activity]]),"",IF(_xlfn.XLOOKUP(Term1_Day_2[[#This Row],[Activity]],Types_of_Activity[Type of Activity],Types_of_Activity[Classification])=1,Term1_Day_2[[#This Row],[Elapsed]],0))</f>
        <v/>
      </c>
      <c r="N47" s="106" t="str">
        <f>IF(ISBLANK(Term1_Day_2[[#This Row],[Activity]]),"",IF(_xlfn.XLOOKUP(Term1_Day_2[[#This Row],[Activity]],Types_of_Activity[Type of Activity],Types_of_Activity[Classification])=2,Term1_Day_2[[#This Row],[Elapsed]],0))</f>
        <v/>
      </c>
      <c r="P47" s="136"/>
      <c r="Q47" s="136"/>
      <c r="R47" s="103"/>
      <c r="S47" s="106" t="str">
        <f>IF(OR(ISBLANK(Term1_Day_3[[#This Row],[Start]]),ISBLANK(Term1_Day_3[[#This Row],[End]])),"",(Term1_Day_3[[#This Row],[End]]-Term1_Day_3[[#This Row],[Start]])*1440)</f>
        <v/>
      </c>
      <c r="T47" s="106" t="str">
        <f>IF(ISBLANK(Term1_Day_3[[#This Row],[Activity]]),"",IF(_xlfn.XLOOKUP(Term1_Day_3[[#This Row],[Activity]],Types_of_Activity[Type of Activity],Types_of_Activity[Classification])=1,Term1_Day_3[[#This Row],[Elapsed]],0))</f>
        <v/>
      </c>
      <c r="U47" s="106" t="str">
        <f>IF(ISBLANK(Term1_Day_3[[#This Row],[Activity]]),"",IF(_xlfn.XLOOKUP(Term1_Day_3[[#This Row],[Activity]],Types_of_Activity[Type of Activity],Types_of_Activity[Classification])=2,Term1_Day_3[[#This Row],[Elapsed]],0))</f>
        <v/>
      </c>
      <c r="W47" s="136"/>
      <c r="X47" s="136"/>
      <c r="Y47" s="103"/>
      <c r="Z47" s="106" t="str">
        <f>IF(OR(ISBLANK(Term1_Day_4[[#This Row],[Start]]),ISBLANK(Term1_Day_4[[#This Row],[End]])),"",(Term1_Day_4[[#This Row],[End]]-Term1_Day_4[[#This Row],[Start]])*1440)</f>
        <v/>
      </c>
      <c r="AA47" s="106" t="str">
        <f>IF(ISBLANK(Term1_Day_4[[#This Row],[Activity]]),"",IF(_xlfn.XLOOKUP(Term1_Day_4[[#This Row],[Activity]],Types_of_Activity[Type of Activity],Types_of_Activity[Classification])=1,Term1_Day_4[[#This Row],[Elapsed]],0))</f>
        <v/>
      </c>
      <c r="AB47" s="106" t="str">
        <f>IF(ISBLANK(Term1_Day_4[[#This Row],[Activity]]),"",IF(_xlfn.XLOOKUP(Term1_Day_4[[#This Row],[Activity]],Types_of_Activity[Type of Activity],Types_of_Activity[Classification])=2,Term1_Day_4[[#This Row],[Elapsed]],0))</f>
        <v/>
      </c>
      <c r="AD47" s="136"/>
      <c r="AE47" s="136"/>
      <c r="AF47" s="103"/>
      <c r="AG47" s="106" t="str">
        <f>IF(OR(ISBLANK(Term1_Day_5[[#This Row],[Start]]),ISBLANK(Term1_Day_5[[#This Row],[End]])),"",(Term1_Day_5[[#This Row],[End]]-Term1_Day_5[[#This Row],[Start]])*1440)</f>
        <v/>
      </c>
      <c r="AH47" s="106" t="str">
        <f>IF(ISBLANK(Term1_Day_5[[#This Row],[Activity]]),"",IF(_xlfn.XLOOKUP(Term1_Day_5[[#This Row],[Activity]],Types_of_Activity[Type of Activity],Types_of_Activity[Classification])=1,Term1_Day_5[[#This Row],[Elapsed]],0))</f>
        <v/>
      </c>
      <c r="AI47" s="106" t="str">
        <f>IF(ISBLANK(Term1_Day_5[[#This Row],[Activity]]),"",IF(_xlfn.XLOOKUP(Term1_Day_5[[#This Row],[Activity]],Types_of_Activity[Type of Activity],Types_of_Activity[Classification])=2,Term1_Day_5[[#This Row],[Elapsed]],0))</f>
        <v/>
      </c>
      <c r="AJ47" s="107"/>
      <c r="AK47" s="136"/>
      <c r="AL47" s="136"/>
      <c r="AM47" s="103"/>
      <c r="AN47" s="106" t="str">
        <f>IF(OR(ISBLANK(Term1_Day_6[[#This Row],[Start]]),ISBLANK(Term1_Day_6[[#This Row],[End]])),"",(Term1_Day_6[[#This Row],[End]]-Term1_Day_6[[#This Row],[Start]])*1440)</f>
        <v/>
      </c>
      <c r="AO47" s="106" t="str">
        <f>IF(ISBLANK(Term1_Day_6[[#This Row],[Activity]]),"",IF(_xlfn.XLOOKUP(Term1_Day_6[[#This Row],[Activity]],Types_of_Activity[Type of Activity],Types_of_Activity[Classification])=1,Term1_Day_6[[#This Row],[Elapsed]],0))</f>
        <v/>
      </c>
      <c r="AP47" s="106" t="str">
        <f>IF(ISBLANK(Term1_Day_6[[#This Row],[Activity]]),"",IF(_xlfn.XLOOKUP(Term1_Day_6[[#This Row],[Activity]],Types_of_Activity[Type of Activity],Types_of_Activity[Classification])=2,Term1_Day_6[[#This Row],[Elapsed]],0))</f>
        <v/>
      </c>
      <c r="AQ47" s="107"/>
      <c r="AR47" s="136"/>
      <c r="AS47" s="136"/>
      <c r="AT47" s="103"/>
      <c r="AU47" s="106" t="str">
        <f>IF(OR(ISBLANK(Term1_Day_7[[#This Row],[Start]]),ISBLANK(Term1_Day_7[[#This Row],[End]])),"",(Term1_Day_7[[#This Row],[End]]-Term1_Day_7[[#This Row],[Start]])*1440)</f>
        <v/>
      </c>
      <c r="AV47" s="106" t="str">
        <f>IF(ISBLANK(Term1_Day_7[[#This Row],[Activity]]),"",IF(_xlfn.XLOOKUP(Term1_Day_7[[#This Row],[Activity]],Types_of_Activity[Type of Activity],Types_of_Activity[Classification])=1,Term1_Day_7[[#This Row],[Elapsed]],0))</f>
        <v/>
      </c>
      <c r="AW47" s="106" t="str">
        <f>IF(ISBLANK(Term1_Day_7[[#This Row],[Activity]]),"",IF(_xlfn.XLOOKUP(Term1_Day_7[[#This Row],[Activity]],Types_of_Activity[Type of Activity],Types_of_Activity[Classification])=2,Term1_Day_7[[#This Row],[Elapsed]],0))</f>
        <v/>
      </c>
      <c r="AX47" s="107"/>
      <c r="AY47" s="136"/>
      <c r="AZ47" s="136"/>
      <c r="BA47" s="103"/>
      <c r="BB47" s="106" t="str">
        <f>IF(OR(ISBLANK(Term1_Day_8[[#This Row],[Start]]),ISBLANK(Term1_Day_8[[#This Row],[End]])),"",(Term1_Day_8[[#This Row],[End]]-Term1_Day_8[[#This Row],[Start]])*1440)</f>
        <v/>
      </c>
      <c r="BC47" s="106" t="str">
        <f>IF(ISBLANK(Term1_Day_8[[#This Row],[Activity]]),"",IF(_xlfn.XLOOKUP(Term1_Day_8[[#This Row],[Activity]],Types_of_Activity[Type of Activity],Types_of_Activity[Classification])=1,Term1_Day_8[[#This Row],[Elapsed]],0))</f>
        <v/>
      </c>
      <c r="BD47" s="106" t="str">
        <f>IF(ISBLANK(Term1_Day_8[[#This Row],[Activity]]),"",IF(_xlfn.XLOOKUP(Term1_Day_8[[#This Row],[Activity]],Types_of_Activity[Type of Activity],Types_of_Activity[Classification])=2,Term1_Day_8[[#This Row],[Elapsed]],0))</f>
        <v/>
      </c>
      <c r="BE47" s="107"/>
      <c r="BF47" s="136"/>
      <c r="BG47" s="136"/>
      <c r="BH47" s="103"/>
      <c r="BI47" s="106" t="str">
        <f>IF(OR(ISBLANK(Term1_Day_9[[#This Row],[Start]]),ISBLANK(Term1_Day_9[[#This Row],[End]])),"",(Term1_Day_9[[#This Row],[End]]-Term1_Day_9[[#This Row],[Start]])*1440)</f>
        <v/>
      </c>
      <c r="BJ47" s="106" t="str">
        <f>IF(ISBLANK(Term1_Day_9[[#This Row],[Activity]]),"",IF(_xlfn.XLOOKUP(Term1_Day_9[[#This Row],[Activity]],Types_of_Activity[Type of Activity],Types_of_Activity[Classification])=1,Term1_Day_9[[#This Row],[Elapsed]],0))</f>
        <v/>
      </c>
      <c r="BK47" s="106" t="str">
        <f>IF(ISBLANK(Term1_Day_9[[#This Row],[Activity]]),"",IF(_xlfn.XLOOKUP(Term1_Day_9[[#This Row],[Activity]],Types_of_Activity[Type of Activity],Types_of_Activity[Classification])=2,Term1_Day_9[[#This Row],[Elapsed]],0))</f>
        <v/>
      </c>
      <c r="BL47" s="107"/>
      <c r="BM47" s="136"/>
      <c r="BN47" s="136"/>
      <c r="BO47" s="103"/>
      <c r="BP47" s="106" t="str">
        <f>IF(OR(ISBLANK(Term1_Day_10[[#This Row],[Start]]),ISBLANK(Term1_Day_10[[#This Row],[End]])),"",(Term1_Day_10[[#This Row],[End]]-Term1_Day_10[[#This Row],[Start]])*1440)</f>
        <v/>
      </c>
      <c r="BQ47" s="106" t="str">
        <f>IF(ISBLANK(Term1_Day_10[[#This Row],[Activity]]),"",IF(_xlfn.XLOOKUP(Term1_Day_10[[#This Row],[Activity]],Types_of_Activity[Type of Activity],Types_of_Activity[Classification])=1,Term1_Day_10[[#This Row],[Elapsed]],0))</f>
        <v/>
      </c>
      <c r="BR47" s="106" t="str">
        <f>IF(ISBLANK(Term1_Day_10[[#This Row],[Activity]]),"",IF(_xlfn.XLOOKUP(Term1_Day_10[[#This Row],[Activity]],Types_of_Activity[Type of Activity],Types_of_Activity[Classification])=2,Term1_Day_10[[#This Row],[Elapsed]],0))</f>
        <v/>
      </c>
      <c r="BS47" s="107"/>
    </row>
    <row r="48" spans="2:71" x14ac:dyDescent="0.3">
      <c r="B48" s="136"/>
      <c r="C48" s="136"/>
      <c r="D48" s="103"/>
      <c r="E48" s="106" t="str">
        <f>IF(OR(ISBLANK(Term1_Day_1[[#This Row],[Start]]),ISBLANK(Term1_Day_1[[#This Row],[End]])),"",(Term1_Day_1[[#This Row],[End]]-Term1_Day_1[[#This Row],[Start]])*1440)</f>
        <v/>
      </c>
      <c r="F48" s="106" t="str">
        <f>IF(ISBLANK(Term1_Day_1[[#This Row],[Activity]]),"",IF(_xlfn.XLOOKUP(Term1_Day_1[[#This Row],[Activity]],Types_of_Activity[Type of Activity],Types_of_Activity[Classification])=1,Term1_Day_1[[#This Row],[Elapsed]],0))</f>
        <v/>
      </c>
      <c r="G48" s="106" t="str">
        <f>IF(ISBLANK(Term1_Day_1[[#This Row],[Activity]]),"",IF(_xlfn.XLOOKUP(Term1_Day_1[[#This Row],[Activity]],Types_of_Activity[Type of Activity],Types_of_Activity[Classification])=2,Term1_Day_1[[#This Row],[Elapsed]],0))</f>
        <v/>
      </c>
      <c r="I48" s="136"/>
      <c r="J48" s="136"/>
      <c r="K48" s="103"/>
      <c r="L48" s="106" t="str">
        <f>IF(OR(ISBLANK(Term1_Day_2[[#This Row],[Start]]),ISBLANK(Term1_Day_2[[#This Row],[End]])),"",(Term1_Day_2[[#This Row],[End]]-Term1_Day_2[[#This Row],[Start]])*1440)</f>
        <v/>
      </c>
      <c r="M48" s="106" t="str">
        <f>IF(ISBLANK(Term1_Day_2[[#This Row],[Activity]]),"",IF(_xlfn.XLOOKUP(Term1_Day_2[[#This Row],[Activity]],Types_of_Activity[Type of Activity],Types_of_Activity[Classification])=1,Term1_Day_2[[#This Row],[Elapsed]],0))</f>
        <v/>
      </c>
      <c r="N48" s="106" t="str">
        <f>IF(ISBLANK(Term1_Day_2[[#This Row],[Activity]]),"",IF(_xlfn.XLOOKUP(Term1_Day_2[[#This Row],[Activity]],Types_of_Activity[Type of Activity],Types_of_Activity[Classification])=2,Term1_Day_2[[#This Row],[Elapsed]],0))</f>
        <v/>
      </c>
      <c r="P48" s="136"/>
      <c r="Q48" s="136"/>
      <c r="R48" s="103"/>
      <c r="S48" s="106" t="str">
        <f>IF(OR(ISBLANK(Term1_Day_3[[#This Row],[Start]]),ISBLANK(Term1_Day_3[[#This Row],[End]])),"",(Term1_Day_3[[#This Row],[End]]-Term1_Day_3[[#This Row],[Start]])*1440)</f>
        <v/>
      </c>
      <c r="T48" s="106" t="str">
        <f>IF(ISBLANK(Term1_Day_3[[#This Row],[Activity]]),"",IF(_xlfn.XLOOKUP(Term1_Day_3[[#This Row],[Activity]],Types_of_Activity[Type of Activity],Types_of_Activity[Classification])=1,Term1_Day_3[[#This Row],[Elapsed]],0))</f>
        <v/>
      </c>
      <c r="U48" s="106" t="str">
        <f>IF(ISBLANK(Term1_Day_3[[#This Row],[Activity]]),"",IF(_xlfn.XLOOKUP(Term1_Day_3[[#This Row],[Activity]],Types_of_Activity[Type of Activity],Types_of_Activity[Classification])=2,Term1_Day_3[[#This Row],[Elapsed]],0))</f>
        <v/>
      </c>
      <c r="W48" s="136"/>
      <c r="X48" s="136"/>
      <c r="Y48" s="103"/>
      <c r="Z48" s="106" t="str">
        <f>IF(OR(ISBLANK(Term1_Day_4[[#This Row],[Start]]),ISBLANK(Term1_Day_4[[#This Row],[End]])),"",(Term1_Day_4[[#This Row],[End]]-Term1_Day_4[[#This Row],[Start]])*1440)</f>
        <v/>
      </c>
      <c r="AA48" s="106" t="str">
        <f>IF(ISBLANK(Term1_Day_4[[#This Row],[Activity]]),"",IF(_xlfn.XLOOKUP(Term1_Day_4[[#This Row],[Activity]],Types_of_Activity[Type of Activity],Types_of_Activity[Classification])=1,Term1_Day_4[[#This Row],[Elapsed]],0))</f>
        <v/>
      </c>
      <c r="AB48" s="106" t="str">
        <f>IF(ISBLANK(Term1_Day_4[[#This Row],[Activity]]),"",IF(_xlfn.XLOOKUP(Term1_Day_4[[#This Row],[Activity]],Types_of_Activity[Type of Activity],Types_of_Activity[Classification])=2,Term1_Day_4[[#This Row],[Elapsed]],0))</f>
        <v/>
      </c>
      <c r="AD48" s="136"/>
      <c r="AE48" s="136"/>
      <c r="AF48" s="103"/>
      <c r="AG48" s="106" t="str">
        <f>IF(OR(ISBLANK(Term1_Day_5[[#This Row],[Start]]),ISBLANK(Term1_Day_5[[#This Row],[End]])),"",(Term1_Day_5[[#This Row],[End]]-Term1_Day_5[[#This Row],[Start]])*1440)</f>
        <v/>
      </c>
      <c r="AH48" s="106" t="str">
        <f>IF(ISBLANK(Term1_Day_5[[#This Row],[Activity]]),"",IF(_xlfn.XLOOKUP(Term1_Day_5[[#This Row],[Activity]],Types_of_Activity[Type of Activity],Types_of_Activity[Classification])=1,Term1_Day_5[[#This Row],[Elapsed]],0))</f>
        <v/>
      </c>
      <c r="AI48" s="106" t="str">
        <f>IF(ISBLANK(Term1_Day_5[[#This Row],[Activity]]),"",IF(_xlfn.XLOOKUP(Term1_Day_5[[#This Row],[Activity]],Types_of_Activity[Type of Activity],Types_of_Activity[Classification])=2,Term1_Day_5[[#This Row],[Elapsed]],0))</f>
        <v/>
      </c>
      <c r="AJ48" s="107"/>
      <c r="AK48" s="136"/>
      <c r="AL48" s="136"/>
      <c r="AM48" s="103"/>
      <c r="AN48" s="106" t="str">
        <f>IF(OR(ISBLANK(Term1_Day_6[[#This Row],[Start]]),ISBLANK(Term1_Day_6[[#This Row],[End]])),"",(Term1_Day_6[[#This Row],[End]]-Term1_Day_6[[#This Row],[Start]])*1440)</f>
        <v/>
      </c>
      <c r="AO48" s="106" t="str">
        <f>IF(ISBLANK(Term1_Day_6[[#This Row],[Activity]]),"",IF(_xlfn.XLOOKUP(Term1_Day_6[[#This Row],[Activity]],Types_of_Activity[Type of Activity],Types_of_Activity[Classification])=1,Term1_Day_6[[#This Row],[Elapsed]],0))</f>
        <v/>
      </c>
      <c r="AP48" s="106" t="str">
        <f>IF(ISBLANK(Term1_Day_6[[#This Row],[Activity]]),"",IF(_xlfn.XLOOKUP(Term1_Day_6[[#This Row],[Activity]],Types_of_Activity[Type of Activity],Types_of_Activity[Classification])=2,Term1_Day_6[[#This Row],[Elapsed]],0))</f>
        <v/>
      </c>
      <c r="AQ48" s="107"/>
      <c r="AR48" s="136"/>
      <c r="AS48" s="136"/>
      <c r="AT48" s="103"/>
      <c r="AU48" s="106" t="str">
        <f>IF(OR(ISBLANK(Term1_Day_7[[#This Row],[Start]]),ISBLANK(Term1_Day_7[[#This Row],[End]])),"",(Term1_Day_7[[#This Row],[End]]-Term1_Day_7[[#This Row],[Start]])*1440)</f>
        <v/>
      </c>
      <c r="AV48" s="106" t="str">
        <f>IF(ISBLANK(Term1_Day_7[[#This Row],[Activity]]),"",IF(_xlfn.XLOOKUP(Term1_Day_7[[#This Row],[Activity]],Types_of_Activity[Type of Activity],Types_of_Activity[Classification])=1,Term1_Day_7[[#This Row],[Elapsed]],0))</f>
        <v/>
      </c>
      <c r="AW48" s="106" t="str">
        <f>IF(ISBLANK(Term1_Day_7[[#This Row],[Activity]]),"",IF(_xlfn.XLOOKUP(Term1_Day_7[[#This Row],[Activity]],Types_of_Activity[Type of Activity],Types_of_Activity[Classification])=2,Term1_Day_7[[#This Row],[Elapsed]],0))</f>
        <v/>
      </c>
      <c r="AX48" s="107"/>
      <c r="AY48" s="136"/>
      <c r="AZ48" s="136"/>
      <c r="BA48" s="103"/>
      <c r="BB48" s="106" t="str">
        <f>IF(OR(ISBLANK(Term1_Day_8[[#This Row],[Start]]),ISBLANK(Term1_Day_8[[#This Row],[End]])),"",(Term1_Day_8[[#This Row],[End]]-Term1_Day_8[[#This Row],[Start]])*1440)</f>
        <v/>
      </c>
      <c r="BC48" s="106" t="str">
        <f>IF(ISBLANK(Term1_Day_8[[#This Row],[Activity]]),"",IF(_xlfn.XLOOKUP(Term1_Day_8[[#This Row],[Activity]],Types_of_Activity[Type of Activity],Types_of_Activity[Classification])=1,Term1_Day_8[[#This Row],[Elapsed]],0))</f>
        <v/>
      </c>
      <c r="BD48" s="106" t="str">
        <f>IF(ISBLANK(Term1_Day_8[[#This Row],[Activity]]),"",IF(_xlfn.XLOOKUP(Term1_Day_8[[#This Row],[Activity]],Types_of_Activity[Type of Activity],Types_of_Activity[Classification])=2,Term1_Day_8[[#This Row],[Elapsed]],0))</f>
        <v/>
      </c>
      <c r="BE48" s="107"/>
      <c r="BF48" s="136"/>
      <c r="BG48" s="136"/>
      <c r="BH48" s="103"/>
      <c r="BI48" s="106" t="str">
        <f>IF(OR(ISBLANK(Term1_Day_9[[#This Row],[Start]]),ISBLANK(Term1_Day_9[[#This Row],[End]])),"",(Term1_Day_9[[#This Row],[End]]-Term1_Day_9[[#This Row],[Start]])*1440)</f>
        <v/>
      </c>
      <c r="BJ48" s="106" t="str">
        <f>IF(ISBLANK(Term1_Day_9[[#This Row],[Activity]]),"",IF(_xlfn.XLOOKUP(Term1_Day_9[[#This Row],[Activity]],Types_of_Activity[Type of Activity],Types_of_Activity[Classification])=1,Term1_Day_9[[#This Row],[Elapsed]],0))</f>
        <v/>
      </c>
      <c r="BK48" s="106" t="str">
        <f>IF(ISBLANK(Term1_Day_9[[#This Row],[Activity]]),"",IF(_xlfn.XLOOKUP(Term1_Day_9[[#This Row],[Activity]],Types_of_Activity[Type of Activity],Types_of_Activity[Classification])=2,Term1_Day_9[[#This Row],[Elapsed]],0))</f>
        <v/>
      </c>
      <c r="BL48" s="107"/>
      <c r="BM48" s="136"/>
      <c r="BN48" s="136"/>
      <c r="BO48" s="103"/>
      <c r="BP48" s="106" t="str">
        <f>IF(OR(ISBLANK(Term1_Day_10[[#This Row],[Start]]),ISBLANK(Term1_Day_10[[#This Row],[End]])),"",(Term1_Day_10[[#This Row],[End]]-Term1_Day_10[[#This Row],[Start]])*1440)</f>
        <v/>
      </c>
      <c r="BQ48" s="106" t="str">
        <f>IF(ISBLANK(Term1_Day_10[[#This Row],[Activity]]),"",IF(_xlfn.XLOOKUP(Term1_Day_10[[#This Row],[Activity]],Types_of_Activity[Type of Activity],Types_of_Activity[Classification])=1,Term1_Day_10[[#This Row],[Elapsed]],0))</f>
        <v/>
      </c>
      <c r="BR48" s="106" t="str">
        <f>IF(ISBLANK(Term1_Day_10[[#This Row],[Activity]]),"",IF(_xlfn.XLOOKUP(Term1_Day_10[[#This Row],[Activity]],Types_of_Activity[Type of Activity],Types_of_Activity[Classification])=2,Term1_Day_10[[#This Row],[Elapsed]],0))</f>
        <v/>
      </c>
      <c r="BS48" s="107"/>
    </row>
    <row r="49" spans="2:71" x14ac:dyDescent="0.3">
      <c r="B49" s="136"/>
      <c r="C49" s="136"/>
      <c r="D49" s="103"/>
      <c r="E49" s="106" t="str">
        <f>IF(OR(ISBLANK(Term1_Day_1[[#This Row],[Start]]),ISBLANK(Term1_Day_1[[#This Row],[End]])),"",(Term1_Day_1[[#This Row],[End]]-Term1_Day_1[[#This Row],[Start]])*1440)</f>
        <v/>
      </c>
      <c r="F49" s="106" t="str">
        <f>IF(ISBLANK(Term1_Day_1[[#This Row],[Activity]]),"",IF(_xlfn.XLOOKUP(Term1_Day_1[[#This Row],[Activity]],Types_of_Activity[Type of Activity],Types_of_Activity[Classification])=1,Term1_Day_1[[#This Row],[Elapsed]],0))</f>
        <v/>
      </c>
      <c r="G49" s="106" t="str">
        <f>IF(ISBLANK(Term1_Day_1[[#This Row],[Activity]]),"",IF(_xlfn.XLOOKUP(Term1_Day_1[[#This Row],[Activity]],Types_of_Activity[Type of Activity],Types_of_Activity[Classification])=2,Term1_Day_1[[#This Row],[Elapsed]],0))</f>
        <v/>
      </c>
      <c r="I49" s="136"/>
      <c r="J49" s="136"/>
      <c r="K49" s="103"/>
      <c r="L49" s="106" t="str">
        <f>IF(OR(ISBLANK(Term1_Day_2[[#This Row],[Start]]),ISBLANK(Term1_Day_2[[#This Row],[End]])),"",(Term1_Day_2[[#This Row],[End]]-Term1_Day_2[[#This Row],[Start]])*1440)</f>
        <v/>
      </c>
      <c r="M49" s="106" t="str">
        <f>IF(ISBLANK(Term1_Day_2[[#This Row],[Activity]]),"",IF(_xlfn.XLOOKUP(Term1_Day_2[[#This Row],[Activity]],Types_of_Activity[Type of Activity],Types_of_Activity[Classification])=1,Term1_Day_2[[#This Row],[Elapsed]],0))</f>
        <v/>
      </c>
      <c r="N49" s="106" t="str">
        <f>IF(ISBLANK(Term1_Day_2[[#This Row],[Activity]]),"",IF(_xlfn.XLOOKUP(Term1_Day_2[[#This Row],[Activity]],Types_of_Activity[Type of Activity],Types_of_Activity[Classification])=2,Term1_Day_2[[#This Row],[Elapsed]],0))</f>
        <v/>
      </c>
      <c r="P49" s="136"/>
      <c r="Q49" s="136"/>
      <c r="R49" s="103"/>
      <c r="S49" s="106" t="str">
        <f>IF(OR(ISBLANK(Term1_Day_3[[#This Row],[Start]]),ISBLANK(Term1_Day_3[[#This Row],[End]])),"",(Term1_Day_3[[#This Row],[End]]-Term1_Day_3[[#This Row],[Start]])*1440)</f>
        <v/>
      </c>
      <c r="T49" s="106" t="str">
        <f>IF(ISBLANK(Term1_Day_3[[#This Row],[Activity]]),"",IF(_xlfn.XLOOKUP(Term1_Day_3[[#This Row],[Activity]],Types_of_Activity[Type of Activity],Types_of_Activity[Classification])=1,Term1_Day_3[[#This Row],[Elapsed]],0))</f>
        <v/>
      </c>
      <c r="U49" s="106" t="str">
        <f>IF(ISBLANK(Term1_Day_3[[#This Row],[Activity]]),"",IF(_xlfn.XLOOKUP(Term1_Day_3[[#This Row],[Activity]],Types_of_Activity[Type of Activity],Types_of_Activity[Classification])=2,Term1_Day_3[[#This Row],[Elapsed]],0))</f>
        <v/>
      </c>
      <c r="W49" s="136"/>
      <c r="X49" s="136"/>
      <c r="Y49" s="103"/>
      <c r="Z49" s="106" t="str">
        <f>IF(OR(ISBLANK(Term1_Day_4[[#This Row],[Start]]),ISBLANK(Term1_Day_4[[#This Row],[End]])),"",(Term1_Day_4[[#This Row],[End]]-Term1_Day_4[[#This Row],[Start]])*1440)</f>
        <v/>
      </c>
      <c r="AA49" s="106" t="str">
        <f>IF(ISBLANK(Term1_Day_4[[#This Row],[Activity]]),"",IF(_xlfn.XLOOKUP(Term1_Day_4[[#This Row],[Activity]],Types_of_Activity[Type of Activity],Types_of_Activity[Classification])=1,Term1_Day_4[[#This Row],[Elapsed]],0))</f>
        <v/>
      </c>
      <c r="AB49" s="106" t="str">
        <f>IF(ISBLANK(Term1_Day_4[[#This Row],[Activity]]),"",IF(_xlfn.XLOOKUP(Term1_Day_4[[#This Row],[Activity]],Types_of_Activity[Type of Activity],Types_of_Activity[Classification])=2,Term1_Day_4[[#This Row],[Elapsed]],0))</f>
        <v/>
      </c>
      <c r="AD49" s="136"/>
      <c r="AE49" s="136"/>
      <c r="AF49" s="103"/>
      <c r="AG49" s="106" t="str">
        <f>IF(OR(ISBLANK(Term1_Day_5[[#This Row],[Start]]),ISBLANK(Term1_Day_5[[#This Row],[End]])),"",(Term1_Day_5[[#This Row],[End]]-Term1_Day_5[[#This Row],[Start]])*1440)</f>
        <v/>
      </c>
      <c r="AH49" s="106" t="str">
        <f>IF(ISBLANK(Term1_Day_5[[#This Row],[Activity]]),"",IF(_xlfn.XLOOKUP(Term1_Day_5[[#This Row],[Activity]],Types_of_Activity[Type of Activity],Types_of_Activity[Classification])=1,Term1_Day_5[[#This Row],[Elapsed]],0))</f>
        <v/>
      </c>
      <c r="AI49" s="106" t="str">
        <f>IF(ISBLANK(Term1_Day_5[[#This Row],[Activity]]),"",IF(_xlfn.XLOOKUP(Term1_Day_5[[#This Row],[Activity]],Types_of_Activity[Type of Activity],Types_of_Activity[Classification])=2,Term1_Day_5[[#This Row],[Elapsed]],0))</f>
        <v/>
      </c>
      <c r="AJ49" s="107"/>
      <c r="AK49" s="136"/>
      <c r="AL49" s="136"/>
      <c r="AM49" s="103"/>
      <c r="AN49" s="106" t="str">
        <f>IF(OR(ISBLANK(Term1_Day_6[[#This Row],[Start]]),ISBLANK(Term1_Day_6[[#This Row],[End]])),"",(Term1_Day_6[[#This Row],[End]]-Term1_Day_6[[#This Row],[Start]])*1440)</f>
        <v/>
      </c>
      <c r="AO49" s="106" t="str">
        <f>IF(ISBLANK(Term1_Day_6[[#This Row],[Activity]]),"",IF(_xlfn.XLOOKUP(Term1_Day_6[[#This Row],[Activity]],Types_of_Activity[Type of Activity],Types_of_Activity[Classification])=1,Term1_Day_6[[#This Row],[Elapsed]],0))</f>
        <v/>
      </c>
      <c r="AP49" s="106" t="str">
        <f>IF(ISBLANK(Term1_Day_6[[#This Row],[Activity]]),"",IF(_xlfn.XLOOKUP(Term1_Day_6[[#This Row],[Activity]],Types_of_Activity[Type of Activity],Types_of_Activity[Classification])=2,Term1_Day_6[[#This Row],[Elapsed]],0))</f>
        <v/>
      </c>
      <c r="AQ49" s="107"/>
      <c r="AR49" s="136"/>
      <c r="AS49" s="136"/>
      <c r="AT49" s="103"/>
      <c r="AU49" s="106" t="str">
        <f>IF(OR(ISBLANK(Term1_Day_7[[#This Row],[Start]]),ISBLANK(Term1_Day_7[[#This Row],[End]])),"",(Term1_Day_7[[#This Row],[End]]-Term1_Day_7[[#This Row],[Start]])*1440)</f>
        <v/>
      </c>
      <c r="AV49" s="106" t="str">
        <f>IF(ISBLANK(Term1_Day_7[[#This Row],[Activity]]),"",IF(_xlfn.XLOOKUP(Term1_Day_7[[#This Row],[Activity]],Types_of_Activity[Type of Activity],Types_of_Activity[Classification])=1,Term1_Day_7[[#This Row],[Elapsed]],0))</f>
        <v/>
      </c>
      <c r="AW49" s="106" t="str">
        <f>IF(ISBLANK(Term1_Day_7[[#This Row],[Activity]]),"",IF(_xlfn.XLOOKUP(Term1_Day_7[[#This Row],[Activity]],Types_of_Activity[Type of Activity],Types_of_Activity[Classification])=2,Term1_Day_7[[#This Row],[Elapsed]],0))</f>
        <v/>
      </c>
      <c r="AX49" s="107"/>
      <c r="AY49" s="136"/>
      <c r="AZ49" s="136"/>
      <c r="BA49" s="103"/>
      <c r="BB49" s="106" t="str">
        <f>IF(OR(ISBLANK(Term1_Day_8[[#This Row],[Start]]),ISBLANK(Term1_Day_8[[#This Row],[End]])),"",(Term1_Day_8[[#This Row],[End]]-Term1_Day_8[[#This Row],[Start]])*1440)</f>
        <v/>
      </c>
      <c r="BC49" s="106" t="str">
        <f>IF(ISBLANK(Term1_Day_8[[#This Row],[Activity]]),"",IF(_xlfn.XLOOKUP(Term1_Day_8[[#This Row],[Activity]],Types_of_Activity[Type of Activity],Types_of_Activity[Classification])=1,Term1_Day_8[[#This Row],[Elapsed]],0))</f>
        <v/>
      </c>
      <c r="BD49" s="106" t="str">
        <f>IF(ISBLANK(Term1_Day_8[[#This Row],[Activity]]),"",IF(_xlfn.XLOOKUP(Term1_Day_8[[#This Row],[Activity]],Types_of_Activity[Type of Activity],Types_of_Activity[Classification])=2,Term1_Day_8[[#This Row],[Elapsed]],0))</f>
        <v/>
      </c>
      <c r="BE49" s="107"/>
      <c r="BF49" s="136"/>
      <c r="BG49" s="136"/>
      <c r="BH49" s="103"/>
      <c r="BI49" s="106" t="str">
        <f>IF(OR(ISBLANK(Term1_Day_9[[#This Row],[Start]]),ISBLANK(Term1_Day_9[[#This Row],[End]])),"",(Term1_Day_9[[#This Row],[End]]-Term1_Day_9[[#This Row],[Start]])*1440)</f>
        <v/>
      </c>
      <c r="BJ49" s="106" t="str">
        <f>IF(ISBLANK(Term1_Day_9[[#This Row],[Activity]]),"",IF(_xlfn.XLOOKUP(Term1_Day_9[[#This Row],[Activity]],Types_of_Activity[Type of Activity],Types_of_Activity[Classification])=1,Term1_Day_9[[#This Row],[Elapsed]],0))</f>
        <v/>
      </c>
      <c r="BK49" s="106" t="str">
        <f>IF(ISBLANK(Term1_Day_9[[#This Row],[Activity]]),"",IF(_xlfn.XLOOKUP(Term1_Day_9[[#This Row],[Activity]],Types_of_Activity[Type of Activity],Types_of_Activity[Classification])=2,Term1_Day_9[[#This Row],[Elapsed]],0))</f>
        <v/>
      </c>
      <c r="BL49" s="107"/>
      <c r="BM49" s="136"/>
      <c r="BN49" s="136"/>
      <c r="BO49" s="103"/>
      <c r="BP49" s="106" t="str">
        <f>IF(OR(ISBLANK(Term1_Day_10[[#This Row],[Start]]),ISBLANK(Term1_Day_10[[#This Row],[End]])),"",(Term1_Day_10[[#This Row],[End]]-Term1_Day_10[[#This Row],[Start]])*1440)</f>
        <v/>
      </c>
      <c r="BQ49" s="106" t="str">
        <f>IF(ISBLANK(Term1_Day_10[[#This Row],[Activity]]),"",IF(_xlfn.XLOOKUP(Term1_Day_10[[#This Row],[Activity]],Types_of_Activity[Type of Activity],Types_of_Activity[Classification])=1,Term1_Day_10[[#This Row],[Elapsed]],0))</f>
        <v/>
      </c>
      <c r="BR49" s="106" t="str">
        <f>IF(ISBLANK(Term1_Day_10[[#This Row],[Activity]]),"",IF(_xlfn.XLOOKUP(Term1_Day_10[[#This Row],[Activity]],Types_of_Activity[Type of Activity],Types_of_Activity[Classification])=2,Term1_Day_10[[#This Row],[Elapsed]],0))</f>
        <v/>
      </c>
      <c r="BS49" s="107"/>
    </row>
    <row r="50" spans="2:71" x14ac:dyDescent="0.3">
      <c r="B50" s="136"/>
      <c r="C50" s="136"/>
      <c r="D50" s="103"/>
      <c r="E50" s="106" t="str">
        <f>IF(OR(ISBLANK(Term1_Day_1[[#This Row],[Start]]),ISBLANK(Term1_Day_1[[#This Row],[End]])),"",(Term1_Day_1[[#This Row],[End]]-Term1_Day_1[[#This Row],[Start]])*1440)</f>
        <v/>
      </c>
      <c r="F50" s="106" t="str">
        <f>IF(ISBLANK(Term1_Day_1[[#This Row],[Activity]]),"",IF(_xlfn.XLOOKUP(Term1_Day_1[[#This Row],[Activity]],Types_of_Activity[Type of Activity],Types_of_Activity[Classification])=1,Term1_Day_1[[#This Row],[Elapsed]],0))</f>
        <v/>
      </c>
      <c r="G50" s="106" t="str">
        <f>IF(ISBLANK(Term1_Day_1[[#This Row],[Activity]]),"",IF(_xlfn.XLOOKUP(Term1_Day_1[[#This Row],[Activity]],Types_of_Activity[Type of Activity],Types_of_Activity[Classification])=2,Term1_Day_1[[#This Row],[Elapsed]],0))</f>
        <v/>
      </c>
      <c r="I50" s="136"/>
      <c r="J50" s="136"/>
      <c r="K50" s="103"/>
      <c r="L50" s="106" t="str">
        <f>IF(OR(ISBLANK(Term1_Day_2[[#This Row],[Start]]),ISBLANK(Term1_Day_2[[#This Row],[End]])),"",(Term1_Day_2[[#This Row],[End]]-Term1_Day_2[[#This Row],[Start]])*1440)</f>
        <v/>
      </c>
      <c r="M50" s="106" t="str">
        <f>IF(ISBLANK(Term1_Day_2[[#This Row],[Activity]]),"",IF(_xlfn.XLOOKUP(Term1_Day_2[[#This Row],[Activity]],Types_of_Activity[Type of Activity],Types_of_Activity[Classification])=1,Term1_Day_2[[#This Row],[Elapsed]],0))</f>
        <v/>
      </c>
      <c r="N50" s="106" t="str">
        <f>IF(ISBLANK(Term1_Day_2[[#This Row],[Activity]]),"",IF(_xlfn.XLOOKUP(Term1_Day_2[[#This Row],[Activity]],Types_of_Activity[Type of Activity],Types_of_Activity[Classification])=2,Term1_Day_2[[#This Row],[Elapsed]],0))</f>
        <v/>
      </c>
      <c r="P50" s="136"/>
      <c r="Q50" s="136"/>
      <c r="R50" s="103"/>
      <c r="S50" s="106" t="str">
        <f>IF(OR(ISBLANK(Term1_Day_3[[#This Row],[Start]]),ISBLANK(Term1_Day_3[[#This Row],[End]])),"",(Term1_Day_3[[#This Row],[End]]-Term1_Day_3[[#This Row],[Start]])*1440)</f>
        <v/>
      </c>
      <c r="T50" s="106" t="str">
        <f>IF(ISBLANK(Term1_Day_3[[#This Row],[Activity]]),"",IF(_xlfn.XLOOKUP(Term1_Day_3[[#This Row],[Activity]],Types_of_Activity[Type of Activity],Types_of_Activity[Classification])=1,Term1_Day_3[[#This Row],[Elapsed]],0))</f>
        <v/>
      </c>
      <c r="U50" s="106" t="str">
        <f>IF(ISBLANK(Term1_Day_3[[#This Row],[Activity]]),"",IF(_xlfn.XLOOKUP(Term1_Day_3[[#This Row],[Activity]],Types_of_Activity[Type of Activity],Types_of_Activity[Classification])=2,Term1_Day_3[[#This Row],[Elapsed]],0))</f>
        <v/>
      </c>
      <c r="W50" s="136"/>
      <c r="X50" s="136"/>
      <c r="Y50" s="103"/>
      <c r="Z50" s="106" t="str">
        <f>IF(OR(ISBLANK(Term1_Day_4[[#This Row],[Start]]),ISBLANK(Term1_Day_4[[#This Row],[End]])),"",(Term1_Day_4[[#This Row],[End]]-Term1_Day_4[[#This Row],[Start]])*1440)</f>
        <v/>
      </c>
      <c r="AA50" s="106" t="str">
        <f>IF(ISBLANK(Term1_Day_4[[#This Row],[Activity]]),"",IF(_xlfn.XLOOKUP(Term1_Day_4[[#This Row],[Activity]],Types_of_Activity[Type of Activity],Types_of_Activity[Classification])=1,Term1_Day_4[[#This Row],[Elapsed]],0))</f>
        <v/>
      </c>
      <c r="AB50" s="106" t="str">
        <f>IF(ISBLANK(Term1_Day_4[[#This Row],[Activity]]),"",IF(_xlfn.XLOOKUP(Term1_Day_4[[#This Row],[Activity]],Types_of_Activity[Type of Activity],Types_of_Activity[Classification])=2,Term1_Day_4[[#This Row],[Elapsed]],0))</f>
        <v/>
      </c>
      <c r="AD50" s="136"/>
      <c r="AE50" s="136"/>
      <c r="AF50" s="103"/>
      <c r="AG50" s="106" t="str">
        <f>IF(OR(ISBLANK(Term1_Day_5[[#This Row],[Start]]),ISBLANK(Term1_Day_5[[#This Row],[End]])),"",(Term1_Day_5[[#This Row],[End]]-Term1_Day_5[[#This Row],[Start]])*1440)</f>
        <v/>
      </c>
      <c r="AH50" s="106" t="str">
        <f>IF(ISBLANK(Term1_Day_5[[#This Row],[Activity]]),"",IF(_xlfn.XLOOKUP(Term1_Day_5[[#This Row],[Activity]],Types_of_Activity[Type of Activity],Types_of_Activity[Classification])=1,Term1_Day_5[[#This Row],[Elapsed]],0))</f>
        <v/>
      </c>
      <c r="AI50" s="106" t="str">
        <f>IF(ISBLANK(Term1_Day_5[[#This Row],[Activity]]),"",IF(_xlfn.XLOOKUP(Term1_Day_5[[#This Row],[Activity]],Types_of_Activity[Type of Activity],Types_of_Activity[Classification])=2,Term1_Day_5[[#This Row],[Elapsed]],0))</f>
        <v/>
      </c>
      <c r="AJ50" s="107"/>
      <c r="AK50" s="136"/>
      <c r="AL50" s="136"/>
      <c r="AM50" s="103"/>
      <c r="AN50" s="106" t="str">
        <f>IF(OR(ISBLANK(Term1_Day_6[[#This Row],[Start]]),ISBLANK(Term1_Day_6[[#This Row],[End]])),"",(Term1_Day_6[[#This Row],[End]]-Term1_Day_6[[#This Row],[Start]])*1440)</f>
        <v/>
      </c>
      <c r="AO50" s="106" t="str">
        <f>IF(ISBLANK(Term1_Day_6[[#This Row],[Activity]]),"",IF(_xlfn.XLOOKUP(Term1_Day_6[[#This Row],[Activity]],Types_of_Activity[Type of Activity],Types_of_Activity[Classification])=1,Term1_Day_6[[#This Row],[Elapsed]],0))</f>
        <v/>
      </c>
      <c r="AP50" s="106" t="str">
        <f>IF(ISBLANK(Term1_Day_6[[#This Row],[Activity]]),"",IF(_xlfn.XLOOKUP(Term1_Day_6[[#This Row],[Activity]],Types_of_Activity[Type of Activity],Types_of_Activity[Classification])=2,Term1_Day_6[[#This Row],[Elapsed]],0))</f>
        <v/>
      </c>
      <c r="AQ50" s="107"/>
      <c r="AR50" s="136"/>
      <c r="AS50" s="136"/>
      <c r="AT50" s="103"/>
      <c r="AU50" s="106" t="str">
        <f>IF(OR(ISBLANK(Term1_Day_7[[#This Row],[Start]]),ISBLANK(Term1_Day_7[[#This Row],[End]])),"",(Term1_Day_7[[#This Row],[End]]-Term1_Day_7[[#This Row],[Start]])*1440)</f>
        <v/>
      </c>
      <c r="AV50" s="106" t="str">
        <f>IF(ISBLANK(Term1_Day_7[[#This Row],[Activity]]),"",IF(_xlfn.XLOOKUP(Term1_Day_7[[#This Row],[Activity]],Types_of_Activity[Type of Activity],Types_of_Activity[Classification])=1,Term1_Day_7[[#This Row],[Elapsed]],0))</f>
        <v/>
      </c>
      <c r="AW50" s="106" t="str">
        <f>IF(ISBLANK(Term1_Day_7[[#This Row],[Activity]]),"",IF(_xlfn.XLOOKUP(Term1_Day_7[[#This Row],[Activity]],Types_of_Activity[Type of Activity],Types_of_Activity[Classification])=2,Term1_Day_7[[#This Row],[Elapsed]],0))</f>
        <v/>
      </c>
      <c r="AX50" s="107"/>
      <c r="AY50" s="136"/>
      <c r="AZ50" s="136"/>
      <c r="BA50" s="103"/>
      <c r="BB50" s="106" t="str">
        <f>IF(OR(ISBLANK(Term1_Day_8[[#This Row],[Start]]),ISBLANK(Term1_Day_8[[#This Row],[End]])),"",(Term1_Day_8[[#This Row],[End]]-Term1_Day_8[[#This Row],[Start]])*1440)</f>
        <v/>
      </c>
      <c r="BC50" s="106" t="str">
        <f>IF(ISBLANK(Term1_Day_8[[#This Row],[Activity]]),"",IF(_xlfn.XLOOKUP(Term1_Day_8[[#This Row],[Activity]],Types_of_Activity[Type of Activity],Types_of_Activity[Classification])=1,Term1_Day_8[[#This Row],[Elapsed]],0))</f>
        <v/>
      </c>
      <c r="BD50" s="106" t="str">
        <f>IF(ISBLANK(Term1_Day_8[[#This Row],[Activity]]),"",IF(_xlfn.XLOOKUP(Term1_Day_8[[#This Row],[Activity]],Types_of_Activity[Type of Activity],Types_of_Activity[Classification])=2,Term1_Day_8[[#This Row],[Elapsed]],0))</f>
        <v/>
      </c>
      <c r="BE50" s="107"/>
      <c r="BF50" s="136"/>
      <c r="BG50" s="136"/>
      <c r="BH50" s="103"/>
      <c r="BI50" s="106" t="str">
        <f>IF(OR(ISBLANK(Term1_Day_9[[#This Row],[Start]]),ISBLANK(Term1_Day_9[[#This Row],[End]])),"",(Term1_Day_9[[#This Row],[End]]-Term1_Day_9[[#This Row],[Start]])*1440)</f>
        <v/>
      </c>
      <c r="BJ50" s="106" t="str">
        <f>IF(ISBLANK(Term1_Day_9[[#This Row],[Activity]]),"",IF(_xlfn.XLOOKUP(Term1_Day_9[[#This Row],[Activity]],Types_of_Activity[Type of Activity],Types_of_Activity[Classification])=1,Term1_Day_9[[#This Row],[Elapsed]],0))</f>
        <v/>
      </c>
      <c r="BK50" s="106" t="str">
        <f>IF(ISBLANK(Term1_Day_9[[#This Row],[Activity]]),"",IF(_xlfn.XLOOKUP(Term1_Day_9[[#This Row],[Activity]],Types_of_Activity[Type of Activity],Types_of_Activity[Classification])=2,Term1_Day_9[[#This Row],[Elapsed]],0))</f>
        <v/>
      </c>
      <c r="BL50" s="107"/>
      <c r="BM50" s="136"/>
      <c r="BN50" s="136"/>
      <c r="BO50" s="103"/>
      <c r="BP50" s="106" t="str">
        <f>IF(OR(ISBLANK(Term1_Day_10[[#This Row],[Start]]),ISBLANK(Term1_Day_10[[#This Row],[End]])),"",(Term1_Day_10[[#This Row],[End]]-Term1_Day_10[[#This Row],[Start]])*1440)</f>
        <v/>
      </c>
      <c r="BQ50" s="106" t="str">
        <f>IF(ISBLANK(Term1_Day_10[[#This Row],[Activity]]),"",IF(_xlfn.XLOOKUP(Term1_Day_10[[#This Row],[Activity]],Types_of_Activity[Type of Activity],Types_of_Activity[Classification])=1,Term1_Day_10[[#This Row],[Elapsed]],0))</f>
        <v/>
      </c>
      <c r="BR50" s="106" t="str">
        <f>IF(ISBLANK(Term1_Day_10[[#This Row],[Activity]]),"",IF(_xlfn.XLOOKUP(Term1_Day_10[[#This Row],[Activity]],Types_of_Activity[Type of Activity],Types_of_Activity[Classification])=2,Term1_Day_10[[#This Row],[Elapsed]],0))</f>
        <v/>
      </c>
      <c r="BS50" s="107"/>
    </row>
    <row r="55" spans="2:71" ht="30.75" x14ac:dyDescent="0.45">
      <c r="B55" s="105" t="s">
        <v>22</v>
      </c>
      <c r="F55" s="106"/>
      <c r="G55" s="106"/>
      <c r="H55"/>
      <c r="I55" s="105" t="s">
        <v>23</v>
      </c>
      <c r="M55" s="106"/>
      <c r="N55" s="106"/>
      <c r="O55"/>
      <c r="P55" s="105" t="s">
        <v>24</v>
      </c>
      <c r="T55" s="106"/>
      <c r="U55" s="106"/>
      <c r="W55" s="105" t="s">
        <v>4133</v>
      </c>
      <c r="AA55" s="106"/>
      <c r="AB55" s="106"/>
      <c r="AD55" s="105" t="s">
        <v>4134</v>
      </c>
      <c r="AH55" s="106"/>
      <c r="AI55" s="106"/>
      <c r="AK55" s="105" t="s">
        <v>4135</v>
      </c>
      <c r="AO55" s="106"/>
      <c r="AP55" s="106"/>
    </row>
    <row r="56" spans="2:71" ht="33" x14ac:dyDescent="0.3">
      <c r="B56" s="120" t="s">
        <v>16</v>
      </c>
      <c r="C56" s="120" t="s">
        <v>17</v>
      </c>
      <c r="D56" s="120" t="s">
        <v>19</v>
      </c>
      <c r="E56" s="120" t="s">
        <v>18</v>
      </c>
      <c r="F56" s="120" t="s">
        <v>20</v>
      </c>
      <c r="G56" s="121" t="s">
        <v>4100</v>
      </c>
      <c r="H56"/>
      <c r="I56" s="120" t="s">
        <v>16</v>
      </c>
      <c r="J56" s="120" t="s">
        <v>17</v>
      </c>
      <c r="K56" s="120" t="s">
        <v>19</v>
      </c>
      <c r="L56" s="120" t="s">
        <v>18</v>
      </c>
      <c r="M56" s="120" t="s">
        <v>20</v>
      </c>
      <c r="N56" s="121" t="s">
        <v>4100</v>
      </c>
      <c r="O56"/>
      <c r="P56" s="120" t="s">
        <v>16</v>
      </c>
      <c r="Q56" s="120" t="s">
        <v>17</v>
      </c>
      <c r="R56" s="120" t="s">
        <v>19</v>
      </c>
      <c r="S56" s="120" t="s">
        <v>18</v>
      </c>
      <c r="T56" s="120" t="s">
        <v>20</v>
      </c>
      <c r="U56" s="121" t="s">
        <v>4100</v>
      </c>
      <c r="W56" s="120" t="s">
        <v>16</v>
      </c>
      <c r="X56" s="120" t="s">
        <v>17</v>
      </c>
      <c r="Y56" s="120" t="s">
        <v>19</v>
      </c>
      <c r="Z56" s="120" t="s">
        <v>18</v>
      </c>
      <c r="AA56" s="120" t="s">
        <v>20</v>
      </c>
      <c r="AB56" s="121" t="s">
        <v>4100</v>
      </c>
      <c r="AD56" s="120" t="s">
        <v>16</v>
      </c>
      <c r="AE56" s="120" t="s">
        <v>17</v>
      </c>
      <c r="AF56" s="120" t="s">
        <v>19</v>
      </c>
      <c r="AG56" s="120" t="s">
        <v>18</v>
      </c>
      <c r="AH56" s="120" t="s">
        <v>20</v>
      </c>
      <c r="AI56" s="121" t="s">
        <v>4100</v>
      </c>
      <c r="AK56" s="120" t="s">
        <v>16</v>
      </c>
      <c r="AL56" s="120" t="s">
        <v>17</v>
      </c>
      <c r="AM56" s="120" t="s">
        <v>19</v>
      </c>
      <c r="AN56" s="120" t="s">
        <v>18</v>
      </c>
      <c r="AO56" s="120" t="s">
        <v>20</v>
      </c>
      <c r="AP56" s="121" t="s">
        <v>4100</v>
      </c>
    </row>
    <row r="57" spans="2:71" x14ac:dyDescent="0.3">
      <c r="B57" s="136"/>
      <c r="C57" s="136"/>
      <c r="D57" s="103"/>
      <c r="E57" s="106" t="str">
        <f>IF(OR(ISBLANK(Term1_Early_Dismissal_1[[#This Row],[Start]]),ISBLANK(Term1_Early_Dismissal_1[[#This Row],[End]])),"",(Term1_Early_Dismissal_1[[#This Row],[End]]-Term1_Early_Dismissal_1[[#This Row],[Start]])*1440)</f>
        <v/>
      </c>
      <c r="F57" s="106" t="str">
        <f>IF(ISBLANK(Term1_Early_Dismissal_1[[#This Row],[Activity]]),"",IF(_xlfn.XLOOKUP(Term1_Early_Dismissal_1[[#This Row],[Activity]],Types_of_Activity[Type of Activity],Types_of_Activity[Classification])=1,Term1_Early_Dismissal_1[[#This Row],[Elapsed]],0))</f>
        <v/>
      </c>
      <c r="G57" s="106" t="str">
        <f>IF(ISBLANK(Term1_Early_Dismissal_1[[#This Row],[Activity]]),"",IF(_xlfn.XLOOKUP(Term1_Early_Dismissal_1[[#This Row],[Activity]],Types_of_Activity[Type of Activity],Types_of_Activity[Classification])=2,Term1_Early_Dismissal_1[[#This Row],[Elapsed]],0))</f>
        <v/>
      </c>
      <c r="H57"/>
      <c r="I57" s="136"/>
      <c r="J57" s="136"/>
      <c r="K57" s="103"/>
      <c r="L57" s="106" t="str">
        <f>IF(OR(ISBLANK(Term1_Early_Dismissal_2[[#This Row],[Start]]),ISBLANK(Term1_Early_Dismissal_2[[#This Row],[End]])),"",(Term1_Early_Dismissal_2[[#This Row],[End]]-Term1_Early_Dismissal_2[[#This Row],[Start]])*1440)</f>
        <v/>
      </c>
      <c r="M57" s="106" t="str">
        <f>IF(ISBLANK(Term1_Early_Dismissal_2[[#This Row],[Activity]]),"",IF(_xlfn.XLOOKUP(Term1_Early_Dismissal_2[[#This Row],[Activity]],Types_of_Activity[Type of Activity],Types_of_Activity[Classification])=1,Term1_Early_Dismissal_2[[#This Row],[Elapsed]],0))</f>
        <v/>
      </c>
      <c r="N57" s="106" t="str">
        <f>IF(ISBLANK(Term1_Early_Dismissal_2[[#This Row],[Activity]]),"",IF(_xlfn.XLOOKUP(Term1_Early_Dismissal_2[[#This Row],[Activity]],Types_of_Activity[Type of Activity],Types_of_Activity[Classification])=2,Term1_Early_Dismissal_2[[#This Row],[Elapsed]],0))</f>
        <v/>
      </c>
      <c r="O57"/>
      <c r="P57" s="136"/>
      <c r="Q57" s="136"/>
      <c r="R57" s="103"/>
      <c r="S57" s="106" t="str">
        <f>IF(OR(ISBLANK(Term1_Early_Dismissal_3[[#This Row],[Start]]),ISBLANK(Term1_Early_Dismissal_3[[#This Row],[End]])),"",(Term1_Early_Dismissal_3[[#This Row],[End]]-Term1_Early_Dismissal_3[[#This Row],[Start]])*1440)</f>
        <v/>
      </c>
      <c r="T57" s="106" t="str">
        <f>IF(ISBLANK(Term1_Early_Dismissal_3[[#This Row],[Activity]]),"",IF(_xlfn.XLOOKUP(Term1_Early_Dismissal_3[[#This Row],[Activity]],Types_of_Activity[Type of Activity],Types_of_Activity[Classification])=1,Term1_Early_Dismissal_3[[#This Row],[Elapsed]],0))</f>
        <v/>
      </c>
      <c r="U57" s="106" t="str">
        <f>IF(ISBLANK(Term1_Early_Dismissal_3[[#This Row],[Activity]]),"",IF(_xlfn.XLOOKUP(Term1_Early_Dismissal_3[[#This Row],[Activity]],Types_of_Activity[Type of Activity],Types_of_Activity[Classification])=2,Term1_Early_Dismissal_3[[#This Row],[Elapsed]],0))</f>
        <v/>
      </c>
      <c r="W57" s="136"/>
      <c r="X57" s="136"/>
      <c r="Y57" s="103"/>
      <c r="Z57" s="106" t="str">
        <f>IF(OR(ISBLANK(Term1_Early_Dismissal_4[[#This Row],[Start]]),ISBLANK(Term1_Early_Dismissal_4[[#This Row],[End]])),"",(Term1_Early_Dismissal_4[[#This Row],[End]]-Term1_Early_Dismissal_4[[#This Row],[Start]])*1440)</f>
        <v/>
      </c>
      <c r="AA57" s="106" t="str">
        <f>IF(ISBLANK(Term1_Early_Dismissal_4[[#This Row],[Activity]]),"",IF(_xlfn.XLOOKUP(Term1_Early_Dismissal_4[[#This Row],[Activity]],Types_of_Activity[Type of Activity],Types_of_Activity[Classification])=1,Term1_Early_Dismissal_4[[#This Row],[Elapsed]],0))</f>
        <v/>
      </c>
      <c r="AB57" s="106" t="str">
        <f>IF(ISBLANK(Term1_Early_Dismissal_4[[#This Row],[Activity]]),"",IF(_xlfn.XLOOKUP(Term1_Early_Dismissal_4[[#This Row],[Activity]],Types_of_Activity[Type of Activity],Types_of_Activity[Classification])=2,Term1_Early_Dismissal_4[[#This Row],[Elapsed]],0))</f>
        <v/>
      </c>
      <c r="AD57" s="136"/>
      <c r="AE57" s="136"/>
      <c r="AF57" s="103"/>
      <c r="AG57" s="106" t="str">
        <f>IF(OR(ISBLANK(Term1_Early_Dismissal_5[[#This Row],[Start]]),ISBLANK(Term1_Early_Dismissal_5[[#This Row],[End]])),"",(Term1_Early_Dismissal_5[[#This Row],[End]]-Term1_Early_Dismissal_5[[#This Row],[Start]])*1440)</f>
        <v/>
      </c>
      <c r="AH57" s="106" t="str">
        <f>IF(ISBLANK(Term1_Early_Dismissal_5[[#This Row],[Activity]]),"",IF(_xlfn.XLOOKUP(Term1_Early_Dismissal_5[[#This Row],[Activity]],Types_of_Activity[Type of Activity],Types_of_Activity[Classification])=1,Term1_Early_Dismissal_5[[#This Row],[Elapsed]],0))</f>
        <v/>
      </c>
      <c r="AI57" s="106" t="str">
        <f>IF(ISBLANK(Term1_Early_Dismissal_5[[#This Row],[Activity]]),"",IF(_xlfn.XLOOKUP(Term1_Early_Dismissal_5[[#This Row],[Activity]],Types_of_Activity[Type of Activity],Types_of_Activity[Classification])=2,Term1_Early_Dismissal_5[[#This Row],[Elapsed]],0))</f>
        <v/>
      </c>
      <c r="AK57" s="136"/>
      <c r="AL57" s="136"/>
      <c r="AM57" s="103"/>
      <c r="AN57" s="106" t="str">
        <f>IF(OR(ISBLANK(Term1_Early_Dismissal_6[[#This Row],[Start]]),ISBLANK(Term1_Early_Dismissal_6[[#This Row],[End]])),"",(Term1_Early_Dismissal_6[[#This Row],[End]]-Term1_Early_Dismissal_6[[#This Row],[Start]])*1440)</f>
        <v/>
      </c>
      <c r="AO57" s="106" t="str">
        <f>IF(ISBLANK(Term1_Early_Dismissal_6[[#This Row],[Activity]]),"",IF(_xlfn.XLOOKUP(Term1_Early_Dismissal_6[[#This Row],[Activity]],Types_of_Activity[Type of Activity],Types_of_Activity[Classification])=1,Term1_Early_Dismissal_6[[#This Row],[Elapsed]],0))</f>
        <v/>
      </c>
      <c r="AP57" s="106" t="str">
        <f>IF(ISBLANK(Term1_Early_Dismissal_6[[#This Row],[Activity]]),"",IF(_xlfn.XLOOKUP(Term1_Early_Dismissal_6[[#This Row],[Activity]],Types_of_Activity[Type of Activity],Types_of_Activity[Classification])=2,Term1_Early_Dismissal_6[[#This Row],[Elapsed]],0))</f>
        <v/>
      </c>
    </row>
    <row r="58" spans="2:71" x14ac:dyDescent="0.3">
      <c r="B58" s="136"/>
      <c r="C58" s="136"/>
      <c r="D58" s="103"/>
      <c r="E58" s="106" t="str">
        <f>IF(OR(ISBLANK(Term1_Early_Dismissal_1[[#This Row],[Start]]),ISBLANK(Term1_Early_Dismissal_1[[#This Row],[End]])),"",(Term1_Early_Dismissal_1[[#This Row],[End]]-Term1_Early_Dismissal_1[[#This Row],[Start]])*1440)</f>
        <v/>
      </c>
      <c r="F58" s="106" t="str">
        <f>IF(ISBLANK(Term1_Early_Dismissal_1[[#This Row],[Activity]]),"",IF(_xlfn.XLOOKUP(Term1_Early_Dismissal_1[[#This Row],[Activity]],Types_of_Activity[Type of Activity],Types_of_Activity[Classification])=1,Term1_Early_Dismissal_1[[#This Row],[Elapsed]],0))</f>
        <v/>
      </c>
      <c r="G58" s="106" t="str">
        <f>IF(ISBLANK(Term1_Early_Dismissal_1[[#This Row],[Activity]]),"",IF(_xlfn.XLOOKUP(Term1_Early_Dismissal_1[[#This Row],[Activity]],Types_of_Activity[Type of Activity],Types_of_Activity[Classification])=2,Term1_Early_Dismissal_1[[#This Row],[Elapsed]],0))</f>
        <v/>
      </c>
      <c r="H58"/>
      <c r="I58" s="136"/>
      <c r="J58" s="136"/>
      <c r="K58" s="103"/>
      <c r="L58" s="106" t="str">
        <f>IF(OR(ISBLANK(Term1_Early_Dismissal_2[[#This Row],[Start]]),ISBLANK(Term1_Early_Dismissal_2[[#This Row],[End]])),"",(Term1_Early_Dismissal_2[[#This Row],[End]]-Term1_Early_Dismissal_2[[#This Row],[Start]])*1440)</f>
        <v/>
      </c>
      <c r="M58" s="106" t="str">
        <f>IF(ISBLANK(Term1_Early_Dismissal_2[[#This Row],[Activity]]),"",IF(_xlfn.XLOOKUP(Term1_Early_Dismissal_2[[#This Row],[Activity]],Types_of_Activity[Type of Activity],Types_of_Activity[Classification])=1,Term1_Early_Dismissal_2[[#This Row],[Elapsed]],0))</f>
        <v/>
      </c>
      <c r="N58" s="106" t="str">
        <f>IF(ISBLANK(Term1_Early_Dismissal_2[[#This Row],[Activity]]),"",IF(_xlfn.XLOOKUP(Term1_Early_Dismissal_2[[#This Row],[Activity]],Types_of_Activity[Type of Activity],Types_of_Activity[Classification])=2,Term1_Early_Dismissal_2[[#This Row],[Elapsed]],0))</f>
        <v/>
      </c>
      <c r="O58"/>
      <c r="P58" s="136"/>
      <c r="Q58" s="136"/>
      <c r="R58" s="103"/>
      <c r="S58" s="106" t="str">
        <f>IF(OR(ISBLANK(Term1_Early_Dismissal_3[[#This Row],[Start]]),ISBLANK(Term1_Early_Dismissal_3[[#This Row],[End]])),"",(Term1_Early_Dismissal_3[[#This Row],[End]]-Term1_Early_Dismissal_3[[#This Row],[Start]])*1440)</f>
        <v/>
      </c>
      <c r="T58" s="106" t="str">
        <f>IF(ISBLANK(Term1_Early_Dismissal_3[[#This Row],[Activity]]),"",IF(_xlfn.XLOOKUP(Term1_Early_Dismissal_3[[#This Row],[Activity]],Types_of_Activity[Type of Activity],Types_of_Activity[Classification])=1,Term1_Early_Dismissal_3[[#This Row],[Elapsed]],0))</f>
        <v/>
      </c>
      <c r="U58" s="106" t="str">
        <f>IF(ISBLANK(Term1_Early_Dismissal_3[[#This Row],[Activity]]),"",IF(_xlfn.XLOOKUP(Term1_Early_Dismissal_3[[#This Row],[Activity]],Types_of_Activity[Type of Activity],Types_of_Activity[Classification])=2,Term1_Early_Dismissal_3[[#This Row],[Elapsed]],0))</f>
        <v/>
      </c>
      <c r="W58" s="136"/>
      <c r="X58" s="136"/>
      <c r="Y58" s="103"/>
      <c r="Z58" s="106" t="str">
        <f>IF(OR(ISBLANK(Term1_Early_Dismissal_4[[#This Row],[Start]]),ISBLANK(Term1_Early_Dismissal_4[[#This Row],[End]])),"",(Term1_Early_Dismissal_4[[#This Row],[End]]-Term1_Early_Dismissal_4[[#This Row],[Start]])*1440)</f>
        <v/>
      </c>
      <c r="AA58" s="106" t="str">
        <f>IF(ISBLANK(Term1_Early_Dismissal_4[[#This Row],[Activity]]),"",IF(_xlfn.XLOOKUP(Term1_Early_Dismissal_4[[#This Row],[Activity]],Types_of_Activity[Type of Activity],Types_of_Activity[Classification])=1,Term1_Early_Dismissal_4[[#This Row],[Elapsed]],0))</f>
        <v/>
      </c>
      <c r="AB58" s="106" t="str">
        <f>IF(ISBLANK(Term1_Early_Dismissal_4[[#This Row],[Activity]]),"",IF(_xlfn.XLOOKUP(Term1_Early_Dismissal_4[[#This Row],[Activity]],Types_of_Activity[Type of Activity],Types_of_Activity[Classification])=2,Term1_Early_Dismissal_4[[#This Row],[Elapsed]],0))</f>
        <v/>
      </c>
      <c r="AD58" s="136"/>
      <c r="AE58" s="136"/>
      <c r="AF58" s="103"/>
      <c r="AG58" s="106" t="str">
        <f>IF(OR(ISBLANK(Term1_Early_Dismissal_5[[#This Row],[Start]]),ISBLANK(Term1_Early_Dismissal_5[[#This Row],[End]])),"",(Term1_Early_Dismissal_5[[#This Row],[End]]-Term1_Early_Dismissal_5[[#This Row],[Start]])*1440)</f>
        <v/>
      </c>
      <c r="AH58" s="106" t="str">
        <f>IF(ISBLANK(Term1_Early_Dismissal_5[[#This Row],[Activity]]),"",IF(_xlfn.XLOOKUP(Term1_Early_Dismissal_5[[#This Row],[Activity]],Types_of_Activity[Type of Activity],Types_of_Activity[Classification])=1,Term1_Early_Dismissal_5[[#This Row],[Elapsed]],0))</f>
        <v/>
      </c>
      <c r="AI58" s="106" t="str">
        <f>IF(ISBLANK(Term1_Early_Dismissal_5[[#This Row],[Activity]]),"",IF(_xlfn.XLOOKUP(Term1_Early_Dismissal_5[[#This Row],[Activity]],Types_of_Activity[Type of Activity],Types_of_Activity[Classification])=2,Term1_Early_Dismissal_5[[#This Row],[Elapsed]],0))</f>
        <v/>
      </c>
      <c r="AK58" s="136"/>
      <c r="AL58" s="136"/>
      <c r="AM58" s="103"/>
      <c r="AN58" s="106" t="str">
        <f>IF(OR(ISBLANK(Term1_Early_Dismissal_6[[#This Row],[Start]]),ISBLANK(Term1_Early_Dismissal_6[[#This Row],[End]])),"",(Term1_Early_Dismissal_6[[#This Row],[End]]-Term1_Early_Dismissal_6[[#This Row],[Start]])*1440)</f>
        <v/>
      </c>
      <c r="AO58" s="106" t="str">
        <f>IF(ISBLANK(Term1_Early_Dismissal_6[[#This Row],[Activity]]),"",IF(_xlfn.XLOOKUP(Term1_Early_Dismissal_6[[#This Row],[Activity]],Types_of_Activity[Type of Activity],Types_of_Activity[Classification])=1,Term1_Early_Dismissal_6[[#This Row],[Elapsed]],0))</f>
        <v/>
      </c>
      <c r="AP58" s="106" t="str">
        <f>IF(ISBLANK(Term1_Early_Dismissal_6[[#This Row],[Activity]]),"",IF(_xlfn.XLOOKUP(Term1_Early_Dismissal_6[[#This Row],[Activity]],Types_of_Activity[Type of Activity],Types_of_Activity[Classification])=2,Term1_Early_Dismissal_6[[#This Row],[Elapsed]],0))</f>
        <v/>
      </c>
    </row>
    <row r="59" spans="2:71" x14ac:dyDescent="0.3">
      <c r="B59" s="136"/>
      <c r="C59" s="136"/>
      <c r="D59" s="103"/>
      <c r="E59" s="106" t="str">
        <f>IF(OR(ISBLANK(Term1_Early_Dismissal_1[[#This Row],[Start]]),ISBLANK(Term1_Early_Dismissal_1[[#This Row],[End]])),"",(Term1_Early_Dismissal_1[[#This Row],[End]]-Term1_Early_Dismissal_1[[#This Row],[Start]])*1440)</f>
        <v/>
      </c>
      <c r="F59" s="106" t="str">
        <f>IF(ISBLANK(Term1_Early_Dismissal_1[[#This Row],[Activity]]),"",IF(_xlfn.XLOOKUP(Term1_Early_Dismissal_1[[#This Row],[Activity]],Types_of_Activity[Type of Activity],Types_of_Activity[Classification])=1,Term1_Early_Dismissal_1[[#This Row],[Elapsed]],0))</f>
        <v/>
      </c>
      <c r="G59" s="106" t="str">
        <f>IF(ISBLANK(Term1_Early_Dismissal_1[[#This Row],[Activity]]),"",IF(_xlfn.XLOOKUP(Term1_Early_Dismissal_1[[#This Row],[Activity]],Types_of_Activity[Type of Activity],Types_of_Activity[Classification])=2,Term1_Early_Dismissal_1[[#This Row],[Elapsed]],0))</f>
        <v/>
      </c>
      <c r="H59"/>
      <c r="I59" s="136"/>
      <c r="J59" s="136"/>
      <c r="K59" s="103"/>
      <c r="L59" s="106" t="str">
        <f>IF(OR(ISBLANK(Term1_Early_Dismissal_2[[#This Row],[Start]]),ISBLANK(Term1_Early_Dismissal_2[[#This Row],[End]])),"",(Term1_Early_Dismissal_2[[#This Row],[End]]-Term1_Early_Dismissal_2[[#This Row],[Start]])*1440)</f>
        <v/>
      </c>
      <c r="M59" s="106" t="str">
        <f>IF(ISBLANK(Term1_Early_Dismissal_2[[#This Row],[Activity]]),"",IF(_xlfn.XLOOKUP(Term1_Early_Dismissal_2[[#This Row],[Activity]],Types_of_Activity[Type of Activity],Types_of_Activity[Classification])=1,Term1_Early_Dismissal_2[[#This Row],[Elapsed]],0))</f>
        <v/>
      </c>
      <c r="N59" s="106" t="str">
        <f>IF(ISBLANK(Term1_Early_Dismissal_2[[#This Row],[Activity]]),"",IF(_xlfn.XLOOKUP(Term1_Early_Dismissal_2[[#This Row],[Activity]],Types_of_Activity[Type of Activity],Types_of_Activity[Classification])=2,Term1_Early_Dismissal_2[[#This Row],[Elapsed]],0))</f>
        <v/>
      </c>
      <c r="O59"/>
      <c r="P59" s="136"/>
      <c r="Q59" s="136"/>
      <c r="R59" s="103"/>
      <c r="S59" s="106" t="str">
        <f>IF(OR(ISBLANK(Term1_Early_Dismissal_3[[#This Row],[Start]]),ISBLANK(Term1_Early_Dismissal_3[[#This Row],[End]])),"",(Term1_Early_Dismissal_3[[#This Row],[End]]-Term1_Early_Dismissal_3[[#This Row],[Start]])*1440)</f>
        <v/>
      </c>
      <c r="T59" s="106" t="str">
        <f>IF(ISBLANK(Term1_Early_Dismissal_3[[#This Row],[Activity]]),"",IF(_xlfn.XLOOKUP(Term1_Early_Dismissal_3[[#This Row],[Activity]],Types_of_Activity[Type of Activity],Types_of_Activity[Classification])=1,Term1_Early_Dismissal_3[[#This Row],[Elapsed]],0))</f>
        <v/>
      </c>
      <c r="U59" s="106" t="str">
        <f>IF(ISBLANK(Term1_Early_Dismissal_3[[#This Row],[Activity]]),"",IF(_xlfn.XLOOKUP(Term1_Early_Dismissal_3[[#This Row],[Activity]],Types_of_Activity[Type of Activity],Types_of_Activity[Classification])=2,Term1_Early_Dismissal_3[[#This Row],[Elapsed]],0))</f>
        <v/>
      </c>
      <c r="W59" s="136"/>
      <c r="X59" s="136"/>
      <c r="Y59" s="103"/>
      <c r="Z59" s="106" t="str">
        <f>IF(OR(ISBLANK(Term1_Early_Dismissal_4[[#This Row],[Start]]),ISBLANK(Term1_Early_Dismissal_4[[#This Row],[End]])),"",(Term1_Early_Dismissal_4[[#This Row],[End]]-Term1_Early_Dismissal_4[[#This Row],[Start]])*1440)</f>
        <v/>
      </c>
      <c r="AA59" s="106" t="str">
        <f>IF(ISBLANK(Term1_Early_Dismissal_4[[#This Row],[Activity]]),"",IF(_xlfn.XLOOKUP(Term1_Early_Dismissal_4[[#This Row],[Activity]],Types_of_Activity[Type of Activity],Types_of_Activity[Classification])=1,Term1_Early_Dismissal_4[[#This Row],[Elapsed]],0))</f>
        <v/>
      </c>
      <c r="AB59" s="106" t="str">
        <f>IF(ISBLANK(Term1_Early_Dismissal_4[[#This Row],[Activity]]),"",IF(_xlfn.XLOOKUP(Term1_Early_Dismissal_4[[#This Row],[Activity]],Types_of_Activity[Type of Activity],Types_of_Activity[Classification])=2,Term1_Early_Dismissal_4[[#This Row],[Elapsed]],0))</f>
        <v/>
      </c>
      <c r="AD59" s="136"/>
      <c r="AE59" s="136"/>
      <c r="AF59" s="103"/>
      <c r="AG59" s="106" t="str">
        <f>IF(OR(ISBLANK(Term1_Early_Dismissal_5[[#This Row],[Start]]),ISBLANK(Term1_Early_Dismissal_5[[#This Row],[End]])),"",(Term1_Early_Dismissal_5[[#This Row],[End]]-Term1_Early_Dismissal_5[[#This Row],[Start]])*1440)</f>
        <v/>
      </c>
      <c r="AH59" s="106" t="str">
        <f>IF(ISBLANK(Term1_Early_Dismissal_5[[#This Row],[Activity]]),"",IF(_xlfn.XLOOKUP(Term1_Early_Dismissal_5[[#This Row],[Activity]],Types_of_Activity[Type of Activity],Types_of_Activity[Classification])=1,Term1_Early_Dismissal_5[[#This Row],[Elapsed]],0))</f>
        <v/>
      </c>
      <c r="AI59" s="106" t="str">
        <f>IF(ISBLANK(Term1_Early_Dismissal_5[[#This Row],[Activity]]),"",IF(_xlfn.XLOOKUP(Term1_Early_Dismissal_5[[#This Row],[Activity]],Types_of_Activity[Type of Activity],Types_of_Activity[Classification])=2,Term1_Early_Dismissal_5[[#This Row],[Elapsed]],0))</f>
        <v/>
      </c>
      <c r="AK59" s="136"/>
      <c r="AL59" s="136"/>
      <c r="AM59" s="103"/>
      <c r="AN59" s="106" t="str">
        <f>IF(OR(ISBLANK(Term1_Early_Dismissal_6[[#This Row],[Start]]),ISBLANK(Term1_Early_Dismissal_6[[#This Row],[End]])),"",(Term1_Early_Dismissal_6[[#This Row],[End]]-Term1_Early_Dismissal_6[[#This Row],[Start]])*1440)</f>
        <v/>
      </c>
      <c r="AO59" s="106" t="str">
        <f>IF(ISBLANK(Term1_Early_Dismissal_6[[#This Row],[Activity]]),"",IF(_xlfn.XLOOKUP(Term1_Early_Dismissal_6[[#This Row],[Activity]],Types_of_Activity[Type of Activity],Types_of_Activity[Classification])=1,Term1_Early_Dismissal_6[[#This Row],[Elapsed]],0))</f>
        <v/>
      </c>
      <c r="AP59" s="106" t="str">
        <f>IF(ISBLANK(Term1_Early_Dismissal_6[[#This Row],[Activity]]),"",IF(_xlfn.XLOOKUP(Term1_Early_Dismissal_6[[#This Row],[Activity]],Types_of_Activity[Type of Activity],Types_of_Activity[Classification])=2,Term1_Early_Dismissal_6[[#This Row],[Elapsed]],0))</f>
        <v/>
      </c>
    </row>
    <row r="60" spans="2:71" x14ac:dyDescent="0.3">
      <c r="B60" s="136"/>
      <c r="C60" s="136"/>
      <c r="D60" s="103"/>
      <c r="E60" s="106" t="str">
        <f>IF(OR(ISBLANK(Term1_Early_Dismissal_1[[#This Row],[Start]]),ISBLANK(Term1_Early_Dismissal_1[[#This Row],[End]])),"",(Term1_Early_Dismissal_1[[#This Row],[End]]-Term1_Early_Dismissal_1[[#This Row],[Start]])*1440)</f>
        <v/>
      </c>
      <c r="F60" s="106" t="str">
        <f>IF(ISBLANK(Term1_Early_Dismissal_1[[#This Row],[Activity]]),"",IF(_xlfn.XLOOKUP(Term1_Early_Dismissal_1[[#This Row],[Activity]],Types_of_Activity[Type of Activity],Types_of_Activity[Classification])=1,Term1_Early_Dismissal_1[[#This Row],[Elapsed]],0))</f>
        <v/>
      </c>
      <c r="G60" s="106" t="str">
        <f>IF(ISBLANK(Term1_Early_Dismissal_1[[#This Row],[Activity]]),"",IF(_xlfn.XLOOKUP(Term1_Early_Dismissal_1[[#This Row],[Activity]],Types_of_Activity[Type of Activity],Types_of_Activity[Classification])=2,Term1_Early_Dismissal_1[[#This Row],[Elapsed]],0))</f>
        <v/>
      </c>
      <c r="H60"/>
      <c r="I60" s="136"/>
      <c r="J60" s="136"/>
      <c r="K60" s="103"/>
      <c r="L60" s="106" t="str">
        <f>IF(OR(ISBLANK(Term1_Early_Dismissal_2[[#This Row],[Start]]),ISBLANK(Term1_Early_Dismissal_2[[#This Row],[End]])),"",(Term1_Early_Dismissal_2[[#This Row],[End]]-Term1_Early_Dismissal_2[[#This Row],[Start]])*1440)</f>
        <v/>
      </c>
      <c r="M60" s="106" t="str">
        <f>IF(ISBLANK(Term1_Early_Dismissal_2[[#This Row],[Activity]]),"",IF(_xlfn.XLOOKUP(Term1_Early_Dismissal_2[[#This Row],[Activity]],Types_of_Activity[Type of Activity],Types_of_Activity[Classification])=1,Term1_Early_Dismissal_2[[#This Row],[Elapsed]],0))</f>
        <v/>
      </c>
      <c r="N60" s="106" t="str">
        <f>IF(ISBLANK(Term1_Early_Dismissal_2[[#This Row],[Activity]]),"",IF(_xlfn.XLOOKUP(Term1_Early_Dismissal_2[[#This Row],[Activity]],Types_of_Activity[Type of Activity],Types_of_Activity[Classification])=2,Term1_Early_Dismissal_2[[#This Row],[Elapsed]],0))</f>
        <v/>
      </c>
      <c r="O60"/>
      <c r="P60" s="136"/>
      <c r="Q60" s="136"/>
      <c r="R60" s="103"/>
      <c r="S60" s="106" t="str">
        <f>IF(OR(ISBLANK(Term1_Early_Dismissal_3[[#This Row],[Start]]),ISBLANK(Term1_Early_Dismissal_3[[#This Row],[End]])),"",(Term1_Early_Dismissal_3[[#This Row],[End]]-Term1_Early_Dismissal_3[[#This Row],[Start]])*1440)</f>
        <v/>
      </c>
      <c r="T60" s="106" t="str">
        <f>IF(ISBLANK(Term1_Early_Dismissal_3[[#This Row],[Activity]]),"",IF(_xlfn.XLOOKUP(Term1_Early_Dismissal_3[[#This Row],[Activity]],Types_of_Activity[Type of Activity],Types_of_Activity[Classification])=1,Term1_Early_Dismissal_3[[#This Row],[Elapsed]],0))</f>
        <v/>
      </c>
      <c r="U60" s="106" t="str">
        <f>IF(ISBLANK(Term1_Early_Dismissal_3[[#This Row],[Activity]]),"",IF(_xlfn.XLOOKUP(Term1_Early_Dismissal_3[[#This Row],[Activity]],Types_of_Activity[Type of Activity],Types_of_Activity[Classification])=2,Term1_Early_Dismissal_3[[#This Row],[Elapsed]],0))</f>
        <v/>
      </c>
      <c r="W60" s="136"/>
      <c r="X60" s="136"/>
      <c r="Y60" s="103"/>
      <c r="Z60" s="106" t="str">
        <f>IF(OR(ISBLANK(Term1_Early_Dismissal_4[[#This Row],[Start]]),ISBLANK(Term1_Early_Dismissal_4[[#This Row],[End]])),"",(Term1_Early_Dismissal_4[[#This Row],[End]]-Term1_Early_Dismissal_4[[#This Row],[Start]])*1440)</f>
        <v/>
      </c>
      <c r="AA60" s="106" t="str">
        <f>IF(ISBLANK(Term1_Early_Dismissal_4[[#This Row],[Activity]]),"",IF(_xlfn.XLOOKUP(Term1_Early_Dismissal_4[[#This Row],[Activity]],Types_of_Activity[Type of Activity],Types_of_Activity[Classification])=1,Term1_Early_Dismissal_4[[#This Row],[Elapsed]],0))</f>
        <v/>
      </c>
      <c r="AB60" s="106" t="str">
        <f>IF(ISBLANK(Term1_Early_Dismissal_4[[#This Row],[Activity]]),"",IF(_xlfn.XLOOKUP(Term1_Early_Dismissal_4[[#This Row],[Activity]],Types_of_Activity[Type of Activity],Types_of_Activity[Classification])=2,Term1_Early_Dismissal_4[[#This Row],[Elapsed]],0))</f>
        <v/>
      </c>
      <c r="AD60" s="136"/>
      <c r="AE60" s="136"/>
      <c r="AF60" s="103"/>
      <c r="AG60" s="106" t="str">
        <f>IF(OR(ISBLANK(Term1_Early_Dismissal_5[[#This Row],[Start]]),ISBLANK(Term1_Early_Dismissal_5[[#This Row],[End]])),"",(Term1_Early_Dismissal_5[[#This Row],[End]]-Term1_Early_Dismissal_5[[#This Row],[Start]])*1440)</f>
        <v/>
      </c>
      <c r="AH60" s="106" t="str">
        <f>IF(ISBLANK(Term1_Early_Dismissal_5[[#This Row],[Activity]]),"",IF(_xlfn.XLOOKUP(Term1_Early_Dismissal_5[[#This Row],[Activity]],Types_of_Activity[Type of Activity],Types_of_Activity[Classification])=1,Term1_Early_Dismissal_5[[#This Row],[Elapsed]],0))</f>
        <v/>
      </c>
      <c r="AI60" s="106" t="str">
        <f>IF(ISBLANK(Term1_Early_Dismissal_5[[#This Row],[Activity]]),"",IF(_xlfn.XLOOKUP(Term1_Early_Dismissal_5[[#This Row],[Activity]],Types_of_Activity[Type of Activity],Types_of_Activity[Classification])=2,Term1_Early_Dismissal_5[[#This Row],[Elapsed]],0))</f>
        <v/>
      </c>
      <c r="AK60" s="136"/>
      <c r="AL60" s="136"/>
      <c r="AM60" s="103"/>
      <c r="AN60" s="106" t="str">
        <f>IF(OR(ISBLANK(Term1_Early_Dismissal_6[[#This Row],[Start]]),ISBLANK(Term1_Early_Dismissal_6[[#This Row],[End]])),"",(Term1_Early_Dismissal_6[[#This Row],[End]]-Term1_Early_Dismissal_6[[#This Row],[Start]])*1440)</f>
        <v/>
      </c>
      <c r="AO60" s="106" t="str">
        <f>IF(ISBLANK(Term1_Early_Dismissal_6[[#This Row],[Activity]]),"",IF(_xlfn.XLOOKUP(Term1_Early_Dismissal_6[[#This Row],[Activity]],Types_of_Activity[Type of Activity],Types_of_Activity[Classification])=1,Term1_Early_Dismissal_6[[#This Row],[Elapsed]],0))</f>
        <v/>
      </c>
      <c r="AP60" s="106" t="str">
        <f>IF(ISBLANK(Term1_Early_Dismissal_6[[#This Row],[Activity]]),"",IF(_xlfn.XLOOKUP(Term1_Early_Dismissal_6[[#This Row],[Activity]],Types_of_Activity[Type of Activity],Types_of_Activity[Classification])=2,Term1_Early_Dismissal_6[[#This Row],[Elapsed]],0))</f>
        <v/>
      </c>
    </row>
    <row r="61" spans="2:71" x14ac:dyDescent="0.3">
      <c r="B61" s="136"/>
      <c r="C61" s="136"/>
      <c r="D61" s="103"/>
      <c r="E61" s="106" t="str">
        <f>IF(OR(ISBLANK(Term1_Early_Dismissal_1[[#This Row],[Start]]),ISBLANK(Term1_Early_Dismissal_1[[#This Row],[End]])),"",(Term1_Early_Dismissal_1[[#This Row],[End]]-Term1_Early_Dismissal_1[[#This Row],[Start]])*1440)</f>
        <v/>
      </c>
      <c r="F61" s="106" t="str">
        <f>IF(ISBLANK(Term1_Early_Dismissal_1[[#This Row],[Activity]]),"",IF(_xlfn.XLOOKUP(Term1_Early_Dismissal_1[[#This Row],[Activity]],Types_of_Activity[Type of Activity],Types_of_Activity[Classification])=1,Term1_Early_Dismissal_1[[#This Row],[Elapsed]],0))</f>
        <v/>
      </c>
      <c r="G61" s="106" t="str">
        <f>IF(ISBLANK(Term1_Early_Dismissal_1[[#This Row],[Activity]]),"",IF(_xlfn.XLOOKUP(Term1_Early_Dismissal_1[[#This Row],[Activity]],Types_of_Activity[Type of Activity],Types_of_Activity[Classification])=2,Term1_Early_Dismissal_1[[#This Row],[Elapsed]],0))</f>
        <v/>
      </c>
      <c r="H61"/>
      <c r="I61" s="136"/>
      <c r="J61" s="136"/>
      <c r="K61" s="103"/>
      <c r="L61" s="106" t="str">
        <f>IF(OR(ISBLANK(Term1_Early_Dismissal_2[[#This Row],[Start]]),ISBLANK(Term1_Early_Dismissal_2[[#This Row],[End]])),"",(Term1_Early_Dismissal_2[[#This Row],[End]]-Term1_Early_Dismissal_2[[#This Row],[Start]])*1440)</f>
        <v/>
      </c>
      <c r="M61" s="106" t="str">
        <f>IF(ISBLANK(Term1_Early_Dismissal_2[[#This Row],[Activity]]),"",IF(_xlfn.XLOOKUP(Term1_Early_Dismissal_2[[#This Row],[Activity]],Types_of_Activity[Type of Activity],Types_of_Activity[Classification])=1,Term1_Early_Dismissal_2[[#This Row],[Elapsed]],0))</f>
        <v/>
      </c>
      <c r="N61" s="106" t="str">
        <f>IF(ISBLANK(Term1_Early_Dismissal_2[[#This Row],[Activity]]),"",IF(_xlfn.XLOOKUP(Term1_Early_Dismissal_2[[#This Row],[Activity]],Types_of_Activity[Type of Activity],Types_of_Activity[Classification])=2,Term1_Early_Dismissal_2[[#This Row],[Elapsed]],0))</f>
        <v/>
      </c>
      <c r="O61"/>
      <c r="P61" s="136"/>
      <c r="Q61" s="136"/>
      <c r="R61" s="103"/>
      <c r="S61" s="106" t="str">
        <f>IF(OR(ISBLANK(Term1_Early_Dismissal_3[[#This Row],[Start]]),ISBLANK(Term1_Early_Dismissal_3[[#This Row],[End]])),"",(Term1_Early_Dismissal_3[[#This Row],[End]]-Term1_Early_Dismissal_3[[#This Row],[Start]])*1440)</f>
        <v/>
      </c>
      <c r="T61" s="106" t="str">
        <f>IF(ISBLANK(Term1_Early_Dismissal_3[[#This Row],[Activity]]),"",IF(_xlfn.XLOOKUP(Term1_Early_Dismissal_3[[#This Row],[Activity]],Types_of_Activity[Type of Activity],Types_of_Activity[Classification])=1,Term1_Early_Dismissal_3[[#This Row],[Elapsed]],0))</f>
        <v/>
      </c>
      <c r="U61" s="106" t="str">
        <f>IF(ISBLANK(Term1_Early_Dismissal_3[[#This Row],[Activity]]),"",IF(_xlfn.XLOOKUP(Term1_Early_Dismissal_3[[#This Row],[Activity]],Types_of_Activity[Type of Activity],Types_of_Activity[Classification])=2,Term1_Early_Dismissal_3[[#This Row],[Elapsed]],0))</f>
        <v/>
      </c>
      <c r="W61" s="136"/>
      <c r="X61" s="136"/>
      <c r="Y61" s="103"/>
      <c r="Z61" s="106" t="str">
        <f>IF(OR(ISBLANK(Term1_Early_Dismissal_4[[#This Row],[Start]]),ISBLANK(Term1_Early_Dismissal_4[[#This Row],[End]])),"",(Term1_Early_Dismissal_4[[#This Row],[End]]-Term1_Early_Dismissal_4[[#This Row],[Start]])*1440)</f>
        <v/>
      </c>
      <c r="AA61" s="106" t="str">
        <f>IF(ISBLANK(Term1_Early_Dismissal_4[[#This Row],[Activity]]),"",IF(_xlfn.XLOOKUP(Term1_Early_Dismissal_4[[#This Row],[Activity]],Types_of_Activity[Type of Activity],Types_of_Activity[Classification])=1,Term1_Early_Dismissal_4[[#This Row],[Elapsed]],0))</f>
        <v/>
      </c>
      <c r="AB61" s="106" t="str">
        <f>IF(ISBLANK(Term1_Early_Dismissal_4[[#This Row],[Activity]]),"",IF(_xlfn.XLOOKUP(Term1_Early_Dismissal_4[[#This Row],[Activity]],Types_of_Activity[Type of Activity],Types_of_Activity[Classification])=2,Term1_Early_Dismissal_4[[#This Row],[Elapsed]],0))</f>
        <v/>
      </c>
      <c r="AD61" s="136"/>
      <c r="AE61" s="136"/>
      <c r="AF61" s="103"/>
      <c r="AG61" s="106" t="str">
        <f>IF(OR(ISBLANK(Term1_Early_Dismissal_5[[#This Row],[Start]]),ISBLANK(Term1_Early_Dismissal_5[[#This Row],[End]])),"",(Term1_Early_Dismissal_5[[#This Row],[End]]-Term1_Early_Dismissal_5[[#This Row],[Start]])*1440)</f>
        <v/>
      </c>
      <c r="AH61" s="106" t="str">
        <f>IF(ISBLANK(Term1_Early_Dismissal_5[[#This Row],[Activity]]),"",IF(_xlfn.XLOOKUP(Term1_Early_Dismissal_5[[#This Row],[Activity]],Types_of_Activity[Type of Activity],Types_of_Activity[Classification])=1,Term1_Early_Dismissal_5[[#This Row],[Elapsed]],0))</f>
        <v/>
      </c>
      <c r="AI61" s="106" t="str">
        <f>IF(ISBLANK(Term1_Early_Dismissal_5[[#This Row],[Activity]]),"",IF(_xlfn.XLOOKUP(Term1_Early_Dismissal_5[[#This Row],[Activity]],Types_of_Activity[Type of Activity],Types_of_Activity[Classification])=2,Term1_Early_Dismissal_5[[#This Row],[Elapsed]],0))</f>
        <v/>
      </c>
      <c r="AK61" s="136"/>
      <c r="AL61" s="136"/>
      <c r="AM61" s="103"/>
      <c r="AN61" s="106" t="str">
        <f>IF(OR(ISBLANK(Term1_Early_Dismissal_6[[#This Row],[Start]]),ISBLANK(Term1_Early_Dismissal_6[[#This Row],[End]])),"",(Term1_Early_Dismissal_6[[#This Row],[End]]-Term1_Early_Dismissal_6[[#This Row],[Start]])*1440)</f>
        <v/>
      </c>
      <c r="AO61" s="106" t="str">
        <f>IF(ISBLANK(Term1_Early_Dismissal_6[[#This Row],[Activity]]),"",IF(_xlfn.XLOOKUP(Term1_Early_Dismissal_6[[#This Row],[Activity]],Types_of_Activity[Type of Activity],Types_of_Activity[Classification])=1,Term1_Early_Dismissal_6[[#This Row],[Elapsed]],0))</f>
        <v/>
      </c>
      <c r="AP61" s="106" t="str">
        <f>IF(ISBLANK(Term1_Early_Dismissal_6[[#This Row],[Activity]]),"",IF(_xlfn.XLOOKUP(Term1_Early_Dismissal_6[[#This Row],[Activity]],Types_of_Activity[Type of Activity],Types_of_Activity[Classification])=2,Term1_Early_Dismissal_6[[#This Row],[Elapsed]],0))</f>
        <v/>
      </c>
    </row>
    <row r="62" spans="2:71" x14ac:dyDescent="0.3">
      <c r="B62" s="136"/>
      <c r="C62" s="136"/>
      <c r="D62" s="103"/>
      <c r="E62" s="106" t="str">
        <f>IF(OR(ISBLANK(Term1_Early_Dismissal_1[[#This Row],[Start]]),ISBLANK(Term1_Early_Dismissal_1[[#This Row],[End]])),"",(Term1_Early_Dismissal_1[[#This Row],[End]]-Term1_Early_Dismissal_1[[#This Row],[Start]])*1440)</f>
        <v/>
      </c>
      <c r="F62" s="106" t="str">
        <f>IF(ISBLANK(Term1_Early_Dismissal_1[[#This Row],[Activity]]),"",IF(_xlfn.XLOOKUP(Term1_Early_Dismissal_1[[#This Row],[Activity]],Types_of_Activity[Type of Activity],Types_of_Activity[Classification])=1,Term1_Early_Dismissal_1[[#This Row],[Elapsed]],0))</f>
        <v/>
      </c>
      <c r="G62" s="106" t="str">
        <f>IF(ISBLANK(Term1_Early_Dismissal_1[[#This Row],[Activity]]),"",IF(_xlfn.XLOOKUP(Term1_Early_Dismissal_1[[#This Row],[Activity]],Types_of_Activity[Type of Activity],Types_of_Activity[Classification])=2,Term1_Early_Dismissal_1[[#This Row],[Elapsed]],0))</f>
        <v/>
      </c>
      <c r="H62"/>
      <c r="I62" s="136"/>
      <c r="J62" s="136"/>
      <c r="K62" s="103"/>
      <c r="L62" s="106" t="str">
        <f>IF(OR(ISBLANK(Term1_Early_Dismissal_2[[#This Row],[Start]]),ISBLANK(Term1_Early_Dismissal_2[[#This Row],[End]])),"",(Term1_Early_Dismissal_2[[#This Row],[End]]-Term1_Early_Dismissal_2[[#This Row],[Start]])*1440)</f>
        <v/>
      </c>
      <c r="M62" s="106" t="str">
        <f>IF(ISBLANK(Term1_Early_Dismissal_2[[#This Row],[Activity]]),"",IF(_xlfn.XLOOKUP(Term1_Early_Dismissal_2[[#This Row],[Activity]],Types_of_Activity[Type of Activity],Types_of_Activity[Classification])=1,Term1_Early_Dismissal_2[[#This Row],[Elapsed]],0))</f>
        <v/>
      </c>
      <c r="N62" s="106" t="str">
        <f>IF(ISBLANK(Term1_Early_Dismissal_2[[#This Row],[Activity]]),"",IF(_xlfn.XLOOKUP(Term1_Early_Dismissal_2[[#This Row],[Activity]],Types_of_Activity[Type of Activity],Types_of_Activity[Classification])=2,Term1_Early_Dismissal_2[[#This Row],[Elapsed]],0))</f>
        <v/>
      </c>
      <c r="O62"/>
      <c r="P62" s="136"/>
      <c r="Q62" s="136"/>
      <c r="R62" s="103"/>
      <c r="S62" s="106" t="str">
        <f>IF(OR(ISBLANK(Term1_Early_Dismissal_3[[#This Row],[Start]]),ISBLANK(Term1_Early_Dismissal_3[[#This Row],[End]])),"",(Term1_Early_Dismissal_3[[#This Row],[End]]-Term1_Early_Dismissal_3[[#This Row],[Start]])*1440)</f>
        <v/>
      </c>
      <c r="T62" s="106" t="str">
        <f>IF(ISBLANK(Term1_Early_Dismissal_3[[#This Row],[Activity]]),"",IF(_xlfn.XLOOKUP(Term1_Early_Dismissal_3[[#This Row],[Activity]],Types_of_Activity[Type of Activity],Types_of_Activity[Classification])=1,Term1_Early_Dismissal_3[[#This Row],[Elapsed]],0))</f>
        <v/>
      </c>
      <c r="U62" s="106" t="str">
        <f>IF(ISBLANK(Term1_Early_Dismissal_3[[#This Row],[Activity]]),"",IF(_xlfn.XLOOKUP(Term1_Early_Dismissal_3[[#This Row],[Activity]],Types_of_Activity[Type of Activity],Types_of_Activity[Classification])=2,Term1_Early_Dismissal_3[[#This Row],[Elapsed]],0))</f>
        <v/>
      </c>
      <c r="W62" s="136"/>
      <c r="X62" s="136"/>
      <c r="Y62" s="103"/>
      <c r="Z62" s="106" t="str">
        <f>IF(OR(ISBLANK(Term1_Early_Dismissal_4[[#This Row],[Start]]),ISBLANK(Term1_Early_Dismissal_4[[#This Row],[End]])),"",(Term1_Early_Dismissal_4[[#This Row],[End]]-Term1_Early_Dismissal_4[[#This Row],[Start]])*1440)</f>
        <v/>
      </c>
      <c r="AA62" s="106" t="str">
        <f>IF(ISBLANK(Term1_Early_Dismissal_4[[#This Row],[Activity]]),"",IF(_xlfn.XLOOKUP(Term1_Early_Dismissal_4[[#This Row],[Activity]],Types_of_Activity[Type of Activity],Types_of_Activity[Classification])=1,Term1_Early_Dismissal_4[[#This Row],[Elapsed]],0))</f>
        <v/>
      </c>
      <c r="AB62" s="106" t="str">
        <f>IF(ISBLANK(Term1_Early_Dismissal_4[[#This Row],[Activity]]),"",IF(_xlfn.XLOOKUP(Term1_Early_Dismissal_4[[#This Row],[Activity]],Types_of_Activity[Type of Activity],Types_of_Activity[Classification])=2,Term1_Early_Dismissal_4[[#This Row],[Elapsed]],0))</f>
        <v/>
      </c>
      <c r="AD62" s="136"/>
      <c r="AE62" s="136"/>
      <c r="AF62" s="103"/>
      <c r="AG62" s="106" t="str">
        <f>IF(OR(ISBLANK(Term1_Early_Dismissal_5[[#This Row],[Start]]),ISBLANK(Term1_Early_Dismissal_5[[#This Row],[End]])),"",(Term1_Early_Dismissal_5[[#This Row],[End]]-Term1_Early_Dismissal_5[[#This Row],[Start]])*1440)</f>
        <v/>
      </c>
      <c r="AH62" s="106" t="str">
        <f>IF(ISBLANK(Term1_Early_Dismissal_5[[#This Row],[Activity]]),"",IF(_xlfn.XLOOKUP(Term1_Early_Dismissal_5[[#This Row],[Activity]],Types_of_Activity[Type of Activity],Types_of_Activity[Classification])=1,Term1_Early_Dismissal_5[[#This Row],[Elapsed]],0))</f>
        <v/>
      </c>
      <c r="AI62" s="106" t="str">
        <f>IF(ISBLANK(Term1_Early_Dismissal_5[[#This Row],[Activity]]),"",IF(_xlfn.XLOOKUP(Term1_Early_Dismissal_5[[#This Row],[Activity]],Types_of_Activity[Type of Activity],Types_of_Activity[Classification])=2,Term1_Early_Dismissal_5[[#This Row],[Elapsed]],0))</f>
        <v/>
      </c>
      <c r="AK62" s="136"/>
      <c r="AL62" s="136"/>
      <c r="AM62" s="103"/>
      <c r="AN62" s="106" t="str">
        <f>IF(OR(ISBLANK(Term1_Early_Dismissal_6[[#This Row],[Start]]),ISBLANK(Term1_Early_Dismissal_6[[#This Row],[End]])),"",(Term1_Early_Dismissal_6[[#This Row],[End]]-Term1_Early_Dismissal_6[[#This Row],[Start]])*1440)</f>
        <v/>
      </c>
      <c r="AO62" s="106" t="str">
        <f>IF(ISBLANK(Term1_Early_Dismissal_6[[#This Row],[Activity]]),"",IF(_xlfn.XLOOKUP(Term1_Early_Dismissal_6[[#This Row],[Activity]],Types_of_Activity[Type of Activity],Types_of_Activity[Classification])=1,Term1_Early_Dismissal_6[[#This Row],[Elapsed]],0))</f>
        <v/>
      </c>
      <c r="AP62" s="106" t="str">
        <f>IF(ISBLANK(Term1_Early_Dismissal_6[[#This Row],[Activity]]),"",IF(_xlfn.XLOOKUP(Term1_Early_Dismissal_6[[#This Row],[Activity]],Types_of_Activity[Type of Activity],Types_of_Activity[Classification])=2,Term1_Early_Dismissal_6[[#This Row],[Elapsed]],0))</f>
        <v/>
      </c>
    </row>
    <row r="63" spans="2:71" x14ac:dyDescent="0.3">
      <c r="B63" s="136"/>
      <c r="C63" s="136"/>
      <c r="D63" s="103"/>
      <c r="E63" s="106" t="str">
        <f>IF(OR(ISBLANK(Term1_Early_Dismissal_1[[#This Row],[Start]]),ISBLANK(Term1_Early_Dismissal_1[[#This Row],[End]])),"",(Term1_Early_Dismissal_1[[#This Row],[End]]-Term1_Early_Dismissal_1[[#This Row],[Start]])*1440)</f>
        <v/>
      </c>
      <c r="F63" s="106" t="str">
        <f>IF(ISBLANK(Term1_Early_Dismissal_1[[#This Row],[Activity]]),"",IF(_xlfn.XLOOKUP(Term1_Early_Dismissal_1[[#This Row],[Activity]],Types_of_Activity[Type of Activity],Types_of_Activity[Classification])=1,Term1_Early_Dismissal_1[[#This Row],[Elapsed]],0))</f>
        <v/>
      </c>
      <c r="G63" s="106" t="str">
        <f>IF(ISBLANK(Term1_Early_Dismissal_1[[#This Row],[Activity]]),"",IF(_xlfn.XLOOKUP(Term1_Early_Dismissal_1[[#This Row],[Activity]],Types_of_Activity[Type of Activity],Types_of_Activity[Classification])=2,Term1_Early_Dismissal_1[[#This Row],[Elapsed]],0))</f>
        <v/>
      </c>
      <c r="H63"/>
      <c r="I63" s="136"/>
      <c r="J63" s="136"/>
      <c r="K63" s="103"/>
      <c r="L63" s="106" t="str">
        <f>IF(OR(ISBLANK(Term1_Early_Dismissal_2[[#This Row],[Start]]),ISBLANK(Term1_Early_Dismissal_2[[#This Row],[End]])),"",(Term1_Early_Dismissal_2[[#This Row],[End]]-Term1_Early_Dismissal_2[[#This Row],[Start]])*1440)</f>
        <v/>
      </c>
      <c r="M63" s="106" t="str">
        <f>IF(ISBLANK(Term1_Early_Dismissal_2[[#This Row],[Activity]]),"",IF(_xlfn.XLOOKUP(Term1_Early_Dismissal_2[[#This Row],[Activity]],Types_of_Activity[Type of Activity],Types_of_Activity[Classification])=1,Term1_Early_Dismissal_2[[#This Row],[Elapsed]],0))</f>
        <v/>
      </c>
      <c r="N63" s="106" t="str">
        <f>IF(ISBLANK(Term1_Early_Dismissal_2[[#This Row],[Activity]]),"",IF(_xlfn.XLOOKUP(Term1_Early_Dismissal_2[[#This Row],[Activity]],Types_of_Activity[Type of Activity],Types_of_Activity[Classification])=2,Term1_Early_Dismissal_2[[#This Row],[Elapsed]],0))</f>
        <v/>
      </c>
      <c r="O63"/>
      <c r="P63" s="136"/>
      <c r="Q63" s="136"/>
      <c r="R63" s="103"/>
      <c r="S63" s="106" t="str">
        <f>IF(OR(ISBLANK(Term1_Early_Dismissal_3[[#This Row],[Start]]),ISBLANK(Term1_Early_Dismissal_3[[#This Row],[End]])),"",(Term1_Early_Dismissal_3[[#This Row],[End]]-Term1_Early_Dismissal_3[[#This Row],[Start]])*1440)</f>
        <v/>
      </c>
      <c r="T63" s="106" t="str">
        <f>IF(ISBLANK(Term1_Early_Dismissal_3[[#This Row],[Activity]]),"",IF(_xlfn.XLOOKUP(Term1_Early_Dismissal_3[[#This Row],[Activity]],Types_of_Activity[Type of Activity],Types_of_Activity[Classification])=1,Term1_Early_Dismissal_3[[#This Row],[Elapsed]],0))</f>
        <v/>
      </c>
      <c r="U63" s="106" t="str">
        <f>IF(ISBLANK(Term1_Early_Dismissal_3[[#This Row],[Activity]]),"",IF(_xlfn.XLOOKUP(Term1_Early_Dismissal_3[[#This Row],[Activity]],Types_of_Activity[Type of Activity],Types_of_Activity[Classification])=2,Term1_Early_Dismissal_3[[#This Row],[Elapsed]],0))</f>
        <v/>
      </c>
      <c r="W63" s="136"/>
      <c r="X63" s="136"/>
      <c r="Y63" s="103"/>
      <c r="Z63" s="106" t="str">
        <f>IF(OR(ISBLANK(Term1_Early_Dismissal_4[[#This Row],[Start]]),ISBLANK(Term1_Early_Dismissal_4[[#This Row],[End]])),"",(Term1_Early_Dismissal_4[[#This Row],[End]]-Term1_Early_Dismissal_4[[#This Row],[Start]])*1440)</f>
        <v/>
      </c>
      <c r="AA63" s="106" t="str">
        <f>IF(ISBLANK(Term1_Early_Dismissal_4[[#This Row],[Activity]]),"",IF(_xlfn.XLOOKUP(Term1_Early_Dismissal_4[[#This Row],[Activity]],Types_of_Activity[Type of Activity],Types_of_Activity[Classification])=1,Term1_Early_Dismissal_4[[#This Row],[Elapsed]],0))</f>
        <v/>
      </c>
      <c r="AB63" s="106" t="str">
        <f>IF(ISBLANK(Term1_Early_Dismissal_4[[#This Row],[Activity]]),"",IF(_xlfn.XLOOKUP(Term1_Early_Dismissal_4[[#This Row],[Activity]],Types_of_Activity[Type of Activity],Types_of_Activity[Classification])=2,Term1_Early_Dismissal_4[[#This Row],[Elapsed]],0))</f>
        <v/>
      </c>
      <c r="AD63" s="136"/>
      <c r="AE63" s="136"/>
      <c r="AF63" s="103"/>
      <c r="AG63" s="106" t="str">
        <f>IF(OR(ISBLANK(Term1_Early_Dismissal_5[[#This Row],[Start]]),ISBLANK(Term1_Early_Dismissal_5[[#This Row],[End]])),"",(Term1_Early_Dismissal_5[[#This Row],[End]]-Term1_Early_Dismissal_5[[#This Row],[Start]])*1440)</f>
        <v/>
      </c>
      <c r="AH63" s="106" t="str">
        <f>IF(ISBLANK(Term1_Early_Dismissal_5[[#This Row],[Activity]]),"",IF(_xlfn.XLOOKUP(Term1_Early_Dismissal_5[[#This Row],[Activity]],Types_of_Activity[Type of Activity],Types_of_Activity[Classification])=1,Term1_Early_Dismissal_5[[#This Row],[Elapsed]],0))</f>
        <v/>
      </c>
      <c r="AI63" s="106" t="str">
        <f>IF(ISBLANK(Term1_Early_Dismissal_5[[#This Row],[Activity]]),"",IF(_xlfn.XLOOKUP(Term1_Early_Dismissal_5[[#This Row],[Activity]],Types_of_Activity[Type of Activity],Types_of_Activity[Classification])=2,Term1_Early_Dismissal_5[[#This Row],[Elapsed]],0))</f>
        <v/>
      </c>
      <c r="AK63" s="136"/>
      <c r="AL63" s="136"/>
      <c r="AM63" s="103"/>
      <c r="AN63" s="106" t="str">
        <f>IF(OR(ISBLANK(Term1_Early_Dismissal_6[[#This Row],[Start]]),ISBLANK(Term1_Early_Dismissal_6[[#This Row],[End]])),"",(Term1_Early_Dismissal_6[[#This Row],[End]]-Term1_Early_Dismissal_6[[#This Row],[Start]])*1440)</f>
        <v/>
      </c>
      <c r="AO63" s="106" t="str">
        <f>IF(ISBLANK(Term1_Early_Dismissal_6[[#This Row],[Activity]]),"",IF(_xlfn.XLOOKUP(Term1_Early_Dismissal_6[[#This Row],[Activity]],Types_of_Activity[Type of Activity],Types_of_Activity[Classification])=1,Term1_Early_Dismissal_6[[#This Row],[Elapsed]],0))</f>
        <v/>
      </c>
      <c r="AP63" s="106" t="str">
        <f>IF(ISBLANK(Term1_Early_Dismissal_6[[#This Row],[Activity]]),"",IF(_xlfn.XLOOKUP(Term1_Early_Dismissal_6[[#This Row],[Activity]],Types_of_Activity[Type of Activity],Types_of_Activity[Classification])=2,Term1_Early_Dismissal_6[[#This Row],[Elapsed]],0))</f>
        <v/>
      </c>
    </row>
    <row r="64" spans="2:71" x14ac:dyDescent="0.3">
      <c r="B64" s="136"/>
      <c r="C64" s="136"/>
      <c r="D64" s="103"/>
      <c r="E64" s="106" t="str">
        <f>IF(OR(ISBLANK(Term1_Early_Dismissal_1[[#This Row],[Start]]),ISBLANK(Term1_Early_Dismissal_1[[#This Row],[End]])),"",(Term1_Early_Dismissal_1[[#This Row],[End]]-Term1_Early_Dismissal_1[[#This Row],[Start]])*1440)</f>
        <v/>
      </c>
      <c r="F64" s="106" t="str">
        <f>IF(ISBLANK(Term1_Early_Dismissal_1[[#This Row],[Activity]]),"",IF(_xlfn.XLOOKUP(Term1_Early_Dismissal_1[[#This Row],[Activity]],Types_of_Activity[Type of Activity],Types_of_Activity[Classification])=1,Term1_Early_Dismissal_1[[#This Row],[Elapsed]],0))</f>
        <v/>
      </c>
      <c r="G64" s="106" t="str">
        <f>IF(ISBLANK(Term1_Early_Dismissal_1[[#This Row],[Activity]]),"",IF(_xlfn.XLOOKUP(Term1_Early_Dismissal_1[[#This Row],[Activity]],Types_of_Activity[Type of Activity],Types_of_Activity[Classification])=2,Term1_Early_Dismissal_1[[#This Row],[Elapsed]],0))</f>
        <v/>
      </c>
      <c r="H64"/>
      <c r="I64" s="136"/>
      <c r="J64" s="136"/>
      <c r="K64" s="103"/>
      <c r="L64" s="106" t="str">
        <f>IF(OR(ISBLANK(Term1_Early_Dismissal_2[[#This Row],[Start]]),ISBLANK(Term1_Early_Dismissal_2[[#This Row],[End]])),"",(Term1_Early_Dismissal_2[[#This Row],[End]]-Term1_Early_Dismissal_2[[#This Row],[Start]])*1440)</f>
        <v/>
      </c>
      <c r="M64" s="106" t="str">
        <f>IF(ISBLANK(Term1_Early_Dismissal_2[[#This Row],[Activity]]),"",IF(_xlfn.XLOOKUP(Term1_Early_Dismissal_2[[#This Row],[Activity]],Types_of_Activity[Type of Activity],Types_of_Activity[Classification])=1,Term1_Early_Dismissal_2[[#This Row],[Elapsed]],0))</f>
        <v/>
      </c>
      <c r="N64" s="106" t="str">
        <f>IF(ISBLANK(Term1_Early_Dismissal_2[[#This Row],[Activity]]),"",IF(_xlfn.XLOOKUP(Term1_Early_Dismissal_2[[#This Row],[Activity]],Types_of_Activity[Type of Activity],Types_of_Activity[Classification])=2,Term1_Early_Dismissal_2[[#This Row],[Elapsed]],0))</f>
        <v/>
      </c>
      <c r="O64"/>
      <c r="P64" s="136"/>
      <c r="Q64" s="136"/>
      <c r="R64" s="103"/>
      <c r="S64" s="106" t="str">
        <f>IF(OR(ISBLANK(Term1_Early_Dismissal_3[[#This Row],[Start]]),ISBLANK(Term1_Early_Dismissal_3[[#This Row],[End]])),"",(Term1_Early_Dismissal_3[[#This Row],[End]]-Term1_Early_Dismissal_3[[#This Row],[Start]])*1440)</f>
        <v/>
      </c>
      <c r="T64" s="106" t="str">
        <f>IF(ISBLANK(Term1_Early_Dismissal_3[[#This Row],[Activity]]),"",IF(_xlfn.XLOOKUP(Term1_Early_Dismissal_3[[#This Row],[Activity]],Types_of_Activity[Type of Activity],Types_of_Activity[Classification])=1,Term1_Early_Dismissal_3[[#This Row],[Elapsed]],0))</f>
        <v/>
      </c>
      <c r="U64" s="106" t="str">
        <f>IF(ISBLANK(Term1_Early_Dismissal_3[[#This Row],[Activity]]),"",IF(_xlfn.XLOOKUP(Term1_Early_Dismissal_3[[#This Row],[Activity]],Types_of_Activity[Type of Activity],Types_of_Activity[Classification])=2,Term1_Early_Dismissal_3[[#This Row],[Elapsed]],0))</f>
        <v/>
      </c>
      <c r="W64" s="136"/>
      <c r="X64" s="136"/>
      <c r="Y64" s="103"/>
      <c r="Z64" s="106" t="str">
        <f>IF(OR(ISBLANK(Term1_Early_Dismissal_4[[#This Row],[Start]]),ISBLANK(Term1_Early_Dismissal_4[[#This Row],[End]])),"",(Term1_Early_Dismissal_4[[#This Row],[End]]-Term1_Early_Dismissal_4[[#This Row],[Start]])*1440)</f>
        <v/>
      </c>
      <c r="AA64" s="106" t="str">
        <f>IF(ISBLANK(Term1_Early_Dismissal_4[[#This Row],[Activity]]),"",IF(_xlfn.XLOOKUP(Term1_Early_Dismissal_4[[#This Row],[Activity]],Types_of_Activity[Type of Activity],Types_of_Activity[Classification])=1,Term1_Early_Dismissal_4[[#This Row],[Elapsed]],0))</f>
        <v/>
      </c>
      <c r="AB64" s="106" t="str">
        <f>IF(ISBLANK(Term1_Early_Dismissal_4[[#This Row],[Activity]]),"",IF(_xlfn.XLOOKUP(Term1_Early_Dismissal_4[[#This Row],[Activity]],Types_of_Activity[Type of Activity],Types_of_Activity[Classification])=2,Term1_Early_Dismissal_4[[#This Row],[Elapsed]],0))</f>
        <v/>
      </c>
      <c r="AD64" s="136"/>
      <c r="AE64" s="136"/>
      <c r="AF64" s="103"/>
      <c r="AG64" s="106" t="str">
        <f>IF(OR(ISBLANK(Term1_Early_Dismissal_5[[#This Row],[Start]]),ISBLANK(Term1_Early_Dismissal_5[[#This Row],[End]])),"",(Term1_Early_Dismissal_5[[#This Row],[End]]-Term1_Early_Dismissal_5[[#This Row],[Start]])*1440)</f>
        <v/>
      </c>
      <c r="AH64" s="106" t="str">
        <f>IF(ISBLANK(Term1_Early_Dismissal_5[[#This Row],[Activity]]),"",IF(_xlfn.XLOOKUP(Term1_Early_Dismissal_5[[#This Row],[Activity]],Types_of_Activity[Type of Activity],Types_of_Activity[Classification])=1,Term1_Early_Dismissal_5[[#This Row],[Elapsed]],0))</f>
        <v/>
      </c>
      <c r="AI64" s="106" t="str">
        <f>IF(ISBLANK(Term1_Early_Dismissal_5[[#This Row],[Activity]]),"",IF(_xlfn.XLOOKUP(Term1_Early_Dismissal_5[[#This Row],[Activity]],Types_of_Activity[Type of Activity],Types_of_Activity[Classification])=2,Term1_Early_Dismissal_5[[#This Row],[Elapsed]],0))</f>
        <v/>
      </c>
      <c r="AK64" s="136"/>
      <c r="AL64" s="136"/>
      <c r="AM64" s="103"/>
      <c r="AN64" s="106" t="str">
        <f>IF(OR(ISBLANK(Term1_Early_Dismissal_6[[#This Row],[Start]]),ISBLANK(Term1_Early_Dismissal_6[[#This Row],[End]])),"",(Term1_Early_Dismissal_6[[#This Row],[End]]-Term1_Early_Dismissal_6[[#This Row],[Start]])*1440)</f>
        <v/>
      </c>
      <c r="AO64" s="106" t="str">
        <f>IF(ISBLANK(Term1_Early_Dismissal_6[[#This Row],[Activity]]),"",IF(_xlfn.XLOOKUP(Term1_Early_Dismissal_6[[#This Row],[Activity]],Types_of_Activity[Type of Activity],Types_of_Activity[Classification])=1,Term1_Early_Dismissal_6[[#This Row],[Elapsed]],0))</f>
        <v/>
      </c>
      <c r="AP64" s="106" t="str">
        <f>IF(ISBLANK(Term1_Early_Dismissal_6[[#This Row],[Activity]]),"",IF(_xlfn.XLOOKUP(Term1_Early_Dismissal_6[[#This Row],[Activity]],Types_of_Activity[Type of Activity],Types_of_Activity[Classification])=2,Term1_Early_Dismissal_6[[#This Row],[Elapsed]],0))</f>
        <v/>
      </c>
    </row>
    <row r="65" spans="2:42" x14ac:dyDescent="0.3">
      <c r="B65" s="136"/>
      <c r="C65" s="136"/>
      <c r="D65" s="103"/>
      <c r="E65" s="106" t="str">
        <f>IF(OR(ISBLANK(Term1_Early_Dismissal_1[[#This Row],[Start]]),ISBLANK(Term1_Early_Dismissal_1[[#This Row],[End]])),"",(Term1_Early_Dismissal_1[[#This Row],[End]]-Term1_Early_Dismissal_1[[#This Row],[Start]])*1440)</f>
        <v/>
      </c>
      <c r="F65" s="106" t="str">
        <f>IF(ISBLANK(Term1_Early_Dismissal_1[[#This Row],[Activity]]),"",IF(_xlfn.XLOOKUP(Term1_Early_Dismissal_1[[#This Row],[Activity]],Types_of_Activity[Type of Activity],Types_of_Activity[Classification])=1,Term1_Early_Dismissal_1[[#This Row],[Elapsed]],0))</f>
        <v/>
      </c>
      <c r="G65" s="106" t="str">
        <f>IF(ISBLANK(Term1_Early_Dismissal_1[[#This Row],[Activity]]),"",IF(_xlfn.XLOOKUP(Term1_Early_Dismissal_1[[#This Row],[Activity]],Types_of_Activity[Type of Activity],Types_of_Activity[Classification])=2,Term1_Early_Dismissal_1[[#This Row],[Elapsed]],0))</f>
        <v/>
      </c>
      <c r="H65"/>
      <c r="I65" s="136"/>
      <c r="J65" s="136"/>
      <c r="K65" s="103"/>
      <c r="L65" s="106" t="str">
        <f>IF(OR(ISBLANK(Term1_Early_Dismissal_2[[#This Row],[Start]]),ISBLANK(Term1_Early_Dismissal_2[[#This Row],[End]])),"",(Term1_Early_Dismissal_2[[#This Row],[End]]-Term1_Early_Dismissal_2[[#This Row],[Start]])*1440)</f>
        <v/>
      </c>
      <c r="M65" s="106" t="str">
        <f>IF(ISBLANK(Term1_Early_Dismissal_2[[#This Row],[Activity]]),"",IF(_xlfn.XLOOKUP(Term1_Early_Dismissal_2[[#This Row],[Activity]],Types_of_Activity[Type of Activity],Types_of_Activity[Classification])=1,Term1_Early_Dismissal_2[[#This Row],[Elapsed]],0))</f>
        <v/>
      </c>
      <c r="N65" s="106" t="str">
        <f>IF(ISBLANK(Term1_Early_Dismissal_2[[#This Row],[Activity]]),"",IF(_xlfn.XLOOKUP(Term1_Early_Dismissal_2[[#This Row],[Activity]],Types_of_Activity[Type of Activity],Types_of_Activity[Classification])=2,Term1_Early_Dismissal_2[[#This Row],[Elapsed]],0))</f>
        <v/>
      </c>
      <c r="O65"/>
      <c r="P65" s="136"/>
      <c r="Q65" s="136"/>
      <c r="R65" s="103"/>
      <c r="S65" s="106" t="str">
        <f>IF(OR(ISBLANK(Term1_Early_Dismissal_3[[#This Row],[Start]]),ISBLANK(Term1_Early_Dismissal_3[[#This Row],[End]])),"",(Term1_Early_Dismissal_3[[#This Row],[End]]-Term1_Early_Dismissal_3[[#This Row],[Start]])*1440)</f>
        <v/>
      </c>
      <c r="T65" s="106" t="str">
        <f>IF(ISBLANK(Term1_Early_Dismissal_3[[#This Row],[Activity]]),"",IF(_xlfn.XLOOKUP(Term1_Early_Dismissal_3[[#This Row],[Activity]],Types_of_Activity[Type of Activity],Types_of_Activity[Classification])=1,Term1_Early_Dismissal_3[[#This Row],[Elapsed]],0))</f>
        <v/>
      </c>
      <c r="U65" s="106" t="str">
        <f>IF(ISBLANK(Term1_Early_Dismissal_3[[#This Row],[Activity]]),"",IF(_xlfn.XLOOKUP(Term1_Early_Dismissal_3[[#This Row],[Activity]],Types_of_Activity[Type of Activity],Types_of_Activity[Classification])=2,Term1_Early_Dismissal_3[[#This Row],[Elapsed]],0))</f>
        <v/>
      </c>
      <c r="W65" s="136"/>
      <c r="X65" s="136"/>
      <c r="Y65" s="103"/>
      <c r="Z65" s="106" t="str">
        <f>IF(OR(ISBLANK(Term1_Early_Dismissal_4[[#This Row],[Start]]),ISBLANK(Term1_Early_Dismissal_4[[#This Row],[End]])),"",(Term1_Early_Dismissal_4[[#This Row],[End]]-Term1_Early_Dismissal_4[[#This Row],[Start]])*1440)</f>
        <v/>
      </c>
      <c r="AA65" s="106" t="str">
        <f>IF(ISBLANK(Term1_Early_Dismissal_4[[#This Row],[Activity]]),"",IF(_xlfn.XLOOKUP(Term1_Early_Dismissal_4[[#This Row],[Activity]],Types_of_Activity[Type of Activity],Types_of_Activity[Classification])=1,Term1_Early_Dismissal_4[[#This Row],[Elapsed]],0))</f>
        <v/>
      </c>
      <c r="AB65" s="106" t="str">
        <f>IF(ISBLANK(Term1_Early_Dismissal_4[[#This Row],[Activity]]),"",IF(_xlfn.XLOOKUP(Term1_Early_Dismissal_4[[#This Row],[Activity]],Types_of_Activity[Type of Activity],Types_of_Activity[Classification])=2,Term1_Early_Dismissal_4[[#This Row],[Elapsed]],0))</f>
        <v/>
      </c>
      <c r="AD65" s="136"/>
      <c r="AE65" s="136"/>
      <c r="AF65" s="103"/>
      <c r="AG65" s="106" t="str">
        <f>IF(OR(ISBLANK(Term1_Early_Dismissal_5[[#This Row],[Start]]),ISBLANK(Term1_Early_Dismissal_5[[#This Row],[End]])),"",(Term1_Early_Dismissal_5[[#This Row],[End]]-Term1_Early_Dismissal_5[[#This Row],[Start]])*1440)</f>
        <v/>
      </c>
      <c r="AH65" s="106" t="str">
        <f>IF(ISBLANK(Term1_Early_Dismissal_5[[#This Row],[Activity]]),"",IF(_xlfn.XLOOKUP(Term1_Early_Dismissal_5[[#This Row],[Activity]],Types_of_Activity[Type of Activity],Types_of_Activity[Classification])=1,Term1_Early_Dismissal_5[[#This Row],[Elapsed]],0))</f>
        <v/>
      </c>
      <c r="AI65" s="106" t="str">
        <f>IF(ISBLANK(Term1_Early_Dismissal_5[[#This Row],[Activity]]),"",IF(_xlfn.XLOOKUP(Term1_Early_Dismissal_5[[#This Row],[Activity]],Types_of_Activity[Type of Activity],Types_of_Activity[Classification])=2,Term1_Early_Dismissal_5[[#This Row],[Elapsed]],0))</f>
        <v/>
      </c>
      <c r="AK65" s="136"/>
      <c r="AL65" s="136"/>
      <c r="AM65" s="103"/>
      <c r="AN65" s="106" t="str">
        <f>IF(OR(ISBLANK(Term1_Early_Dismissal_6[[#This Row],[Start]]),ISBLANK(Term1_Early_Dismissal_6[[#This Row],[End]])),"",(Term1_Early_Dismissal_6[[#This Row],[End]]-Term1_Early_Dismissal_6[[#This Row],[Start]])*1440)</f>
        <v/>
      </c>
      <c r="AO65" s="106" t="str">
        <f>IF(ISBLANK(Term1_Early_Dismissal_6[[#This Row],[Activity]]),"",IF(_xlfn.XLOOKUP(Term1_Early_Dismissal_6[[#This Row],[Activity]],Types_of_Activity[Type of Activity],Types_of_Activity[Classification])=1,Term1_Early_Dismissal_6[[#This Row],[Elapsed]],0))</f>
        <v/>
      </c>
      <c r="AP65" s="106" t="str">
        <f>IF(ISBLANK(Term1_Early_Dismissal_6[[#This Row],[Activity]]),"",IF(_xlfn.XLOOKUP(Term1_Early_Dismissal_6[[#This Row],[Activity]],Types_of_Activity[Type of Activity],Types_of_Activity[Classification])=2,Term1_Early_Dismissal_6[[#This Row],[Elapsed]],0))</f>
        <v/>
      </c>
    </row>
    <row r="66" spans="2:42" x14ac:dyDescent="0.3">
      <c r="B66" s="136"/>
      <c r="C66" s="136"/>
      <c r="D66" s="103"/>
      <c r="E66" s="106" t="str">
        <f>IF(OR(ISBLANK(Term1_Early_Dismissal_1[[#This Row],[Start]]),ISBLANK(Term1_Early_Dismissal_1[[#This Row],[End]])),"",(Term1_Early_Dismissal_1[[#This Row],[End]]-Term1_Early_Dismissal_1[[#This Row],[Start]])*1440)</f>
        <v/>
      </c>
      <c r="F66" s="106" t="str">
        <f>IF(ISBLANK(Term1_Early_Dismissal_1[[#This Row],[Activity]]),"",IF(_xlfn.XLOOKUP(Term1_Early_Dismissal_1[[#This Row],[Activity]],Types_of_Activity[Type of Activity],Types_of_Activity[Classification])=1,Term1_Early_Dismissal_1[[#This Row],[Elapsed]],0))</f>
        <v/>
      </c>
      <c r="G66" s="106" t="str">
        <f>IF(ISBLANK(Term1_Early_Dismissal_1[[#This Row],[Activity]]),"",IF(_xlfn.XLOOKUP(Term1_Early_Dismissal_1[[#This Row],[Activity]],Types_of_Activity[Type of Activity],Types_of_Activity[Classification])=2,Term1_Early_Dismissal_1[[#This Row],[Elapsed]],0))</f>
        <v/>
      </c>
      <c r="H66"/>
      <c r="I66" s="136"/>
      <c r="J66" s="136"/>
      <c r="K66" s="103"/>
      <c r="L66" s="106" t="str">
        <f>IF(OR(ISBLANK(Term1_Early_Dismissal_2[[#This Row],[Start]]),ISBLANK(Term1_Early_Dismissal_2[[#This Row],[End]])),"",(Term1_Early_Dismissal_2[[#This Row],[End]]-Term1_Early_Dismissal_2[[#This Row],[Start]])*1440)</f>
        <v/>
      </c>
      <c r="M66" s="106" t="str">
        <f>IF(ISBLANK(Term1_Early_Dismissal_2[[#This Row],[Activity]]),"",IF(_xlfn.XLOOKUP(Term1_Early_Dismissal_2[[#This Row],[Activity]],Types_of_Activity[Type of Activity],Types_of_Activity[Classification])=1,Term1_Early_Dismissal_2[[#This Row],[Elapsed]],0))</f>
        <v/>
      </c>
      <c r="N66" s="106" t="str">
        <f>IF(ISBLANK(Term1_Early_Dismissal_2[[#This Row],[Activity]]),"",IF(_xlfn.XLOOKUP(Term1_Early_Dismissal_2[[#This Row],[Activity]],Types_of_Activity[Type of Activity],Types_of_Activity[Classification])=2,Term1_Early_Dismissal_2[[#This Row],[Elapsed]],0))</f>
        <v/>
      </c>
      <c r="O66"/>
      <c r="P66" s="136"/>
      <c r="Q66" s="136"/>
      <c r="R66" s="103"/>
      <c r="S66" s="106" t="str">
        <f>IF(OR(ISBLANK(Term1_Early_Dismissal_3[[#This Row],[Start]]),ISBLANK(Term1_Early_Dismissal_3[[#This Row],[End]])),"",(Term1_Early_Dismissal_3[[#This Row],[End]]-Term1_Early_Dismissal_3[[#This Row],[Start]])*1440)</f>
        <v/>
      </c>
      <c r="T66" s="106" t="str">
        <f>IF(ISBLANK(Term1_Early_Dismissal_3[[#This Row],[Activity]]),"",IF(_xlfn.XLOOKUP(Term1_Early_Dismissal_3[[#This Row],[Activity]],Types_of_Activity[Type of Activity],Types_of_Activity[Classification])=1,Term1_Early_Dismissal_3[[#This Row],[Elapsed]],0))</f>
        <v/>
      </c>
      <c r="U66" s="106" t="str">
        <f>IF(ISBLANK(Term1_Early_Dismissal_3[[#This Row],[Activity]]),"",IF(_xlfn.XLOOKUP(Term1_Early_Dismissal_3[[#This Row],[Activity]],Types_of_Activity[Type of Activity],Types_of_Activity[Classification])=2,Term1_Early_Dismissal_3[[#This Row],[Elapsed]],0))</f>
        <v/>
      </c>
      <c r="W66" s="136"/>
      <c r="X66" s="136"/>
      <c r="Y66" s="103"/>
      <c r="Z66" s="106" t="str">
        <f>IF(OR(ISBLANK(Term1_Early_Dismissal_4[[#This Row],[Start]]),ISBLANK(Term1_Early_Dismissal_4[[#This Row],[End]])),"",(Term1_Early_Dismissal_4[[#This Row],[End]]-Term1_Early_Dismissal_4[[#This Row],[Start]])*1440)</f>
        <v/>
      </c>
      <c r="AA66" s="106" t="str">
        <f>IF(ISBLANK(Term1_Early_Dismissal_4[[#This Row],[Activity]]),"",IF(_xlfn.XLOOKUP(Term1_Early_Dismissal_4[[#This Row],[Activity]],Types_of_Activity[Type of Activity],Types_of_Activity[Classification])=1,Term1_Early_Dismissal_4[[#This Row],[Elapsed]],0))</f>
        <v/>
      </c>
      <c r="AB66" s="106" t="str">
        <f>IF(ISBLANK(Term1_Early_Dismissal_4[[#This Row],[Activity]]),"",IF(_xlfn.XLOOKUP(Term1_Early_Dismissal_4[[#This Row],[Activity]],Types_of_Activity[Type of Activity],Types_of_Activity[Classification])=2,Term1_Early_Dismissal_4[[#This Row],[Elapsed]],0))</f>
        <v/>
      </c>
      <c r="AD66" s="136"/>
      <c r="AE66" s="136"/>
      <c r="AF66" s="103"/>
      <c r="AG66" s="106" t="str">
        <f>IF(OR(ISBLANK(Term1_Early_Dismissal_5[[#This Row],[Start]]),ISBLANK(Term1_Early_Dismissal_5[[#This Row],[End]])),"",(Term1_Early_Dismissal_5[[#This Row],[End]]-Term1_Early_Dismissal_5[[#This Row],[Start]])*1440)</f>
        <v/>
      </c>
      <c r="AH66" s="106" t="str">
        <f>IF(ISBLANK(Term1_Early_Dismissal_5[[#This Row],[Activity]]),"",IF(_xlfn.XLOOKUP(Term1_Early_Dismissal_5[[#This Row],[Activity]],Types_of_Activity[Type of Activity],Types_of_Activity[Classification])=1,Term1_Early_Dismissal_5[[#This Row],[Elapsed]],0))</f>
        <v/>
      </c>
      <c r="AI66" s="106" t="str">
        <f>IF(ISBLANK(Term1_Early_Dismissal_5[[#This Row],[Activity]]),"",IF(_xlfn.XLOOKUP(Term1_Early_Dismissal_5[[#This Row],[Activity]],Types_of_Activity[Type of Activity],Types_of_Activity[Classification])=2,Term1_Early_Dismissal_5[[#This Row],[Elapsed]],0))</f>
        <v/>
      </c>
      <c r="AK66" s="136"/>
      <c r="AL66" s="136"/>
      <c r="AM66" s="103"/>
      <c r="AN66" s="106" t="str">
        <f>IF(OR(ISBLANK(Term1_Early_Dismissal_6[[#This Row],[Start]]),ISBLANK(Term1_Early_Dismissal_6[[#This Row],[End]])),"",(Term1_Early_Dismissal_6[[#This Row],[End]]-Term1_Early_Dismissal_6[[#This Row],[Start]])*1440)</f>
        <v/>
      </c>
      <c r="AO66" s="106" t="str">
        <f>IF(ISBLANK(Term1_Early_Dismissal_6[[#This Row],[Activity]]),"",IF(_xlfn.XLOOKUP(Term1_Early_Dismissal_6[[#This Row],[Activity]],Types_of_Activity[Type of Activity],Types_of_Activity[Classification])=1,Term1_Early_Dismissal_6[[#This Row],[Elapsed]],0))</f>
        <v/>
      </c>
      <c r="AP66" s="106" t="str">
        <f>IF(ISBLANK(Term1_Early_Dismissal_6[[#This Row],[Activity]]),"",IF(_xlfn.XLOOKUP(Term1_Early_Dismissal_6[[#This Row],[Activity]],Types_of_Activity[Type of Activity],Types_of_Activity[Classification])=2,Term1_Early_Dismissal_6[[#This Row],[Elapsed]],0))</f>
        <v/>
      </c>
    </row>
    <row r="67" spans="2:42" x14ac:dyDescent="0.3">
      <c r="B67" s="136"/>
      <c r="C67" s="136"/>
      <c r="D67" s="103"/>
      <c r="E67" s="106" t="str">
        <f>IF(OR(ISBLANK(Term1_Early_Dismissal_1[[#This Row],[Start]]),ISBLANK(Term1_Early_Dismissal_1[[#This Row],[End]])),"",(Term1_Early_Dismissal_1[[#This Row],[End]]-Term1_Early_Dismissal_1[[#This Row],[Start]])*1440)</f>
        <v/>
      </c>
      <c r="F67" s="106" t="str">
        <f>IF(ISBLANK(Term1_Early_Dismissal_1[[#This Row],[Activity]]),"",IF(_xlfn.XLOOKUP(Term1_Early_Dismissal_1[[#This Row],[Activity]],Types_of_Activity[Type of Activity],Types_of_Activity[Classification])=1,Term1_Early_Dismissal_1[[#This Row],[Elapsed]],0))</f>
        <v/>
      </c>
      <c r="G67" s="106" t="str">
        <f>IF(ISBLANK(Term1_Early_Dismissal_1[[#This Row],[Activity]]),"",IF(_xlfn.XLOOKUP(Term1_Early_Dismissal_1[[#This Row],[Activity]],Types_of_Activity[Type of Activity],Types_of_Activity[Classification])=2,Term1_Early_Dismissal_1[[#This Row],[Elapsed]],0))</f>
        <v/>
      </c>
      <c r="H67"/>
      <c r="I67" s="136"/>
      <c r="J67" s="136"/>
      <c r="K67" s="103"/>
      <c r="L67" s="106" t="str">
        <f>IF(OR(ISBLANK(Term1_Early_Dismissal_2[[#This Row],[Start]]),ISBLANK(Term1_Early_Dismissal_2[[#This Row],[End]])),"",(Term1_Early_Dismissal_2[[#This Row],[End]]-Term1_Early_Dismissal_2[[#This Row],[Start]])*1440)</f>
        <v/>
      </c>
      <c r="M67" s="106" t="str">
        <f>IF(ISBLANK(Term1_Early_Dismissal_2[[#This Row],[Activity]]),"",IF(_xlfn.XLOOKUP(Term1_Early_Dismissal_2[[#This Row],[Activity]],Types_of_Activity[Type of Activity],Types_of_Activity[Classification])=1,Term1_Early_Dismissal_2[[#This Row],[Elapsed]],0))</f>
        <v/>
      </c>
      <c r="N67" s="106" t="str">
        <f>IF(ISBLANK(Term1_Early_Dismissal_2[[#This Row],[Activity]]),"",IF(_xlfn.XLOOKUP(Term1_Early_Dismissal_2[[#This Row],[Activity]],Types_of_Activity[Type of Activity],Types_of_Activity[Classification])=2,Term1_Early_Dismissal_2[[#This Row],[Elapsed]],0))</f>
        <v/>
      </c>
      <c r="O67"/>
      <c r="P67" s="136"/>
      <c r="Q67" s="136"/>
      <c r="R67" s="103"/>
      <c r="S67" s="106" t="str">
        <f>IF(OR(ISBLANK(Term1_Early_Dismissal_3[[#This Row],[Start]]),ISBLANK(Term1_Early_Dismissal_3[[#This Row],[End]])),"",(Term1_Early_Dismissal_3[[#This Row],[End]]-Term1_Early_Dismissal_3[[#This Row],[Start]])*1440)</f>
        <v/>
      </c>
      <c r="T67" s="106" t="str">
        <f>IF(ISBLANK(Term1_Early_Dismissal_3[[#This Row],[Activity]]),"",IF(_xlfn.XLOOKUP(Term1_Early_Dismissal_3[[#This Row],[Activity]],Types_of_Activity[Type of Activity],Types_of_Activity[Classification])=1,Term1_Early_Dismissal_3[[#This Row],[Elapsed]],0))</f>
        <v/>
      </c>
      <c r="U67" s="106" t="str">
        <f>IF(ISBLANK(Term1_Early_Dismissal_3[[#This Row],[Activity]]),"",IF(_xlfn.XLOOKUP(Term1_Early_Dismissal_3[[#This Row],[Activity]],Types_of_Activity[Type of Activity],Types_of_Activity[Classification])=2,Term1_Early_Dismissal_3[[#This Row],[Elapsed]],0))</f>
        <v/>
      </c>
      <c r="W67" s="136"/>
      <c r="X67" s="136"/>
      <c r="Y67" s="103"/>
      <c r="Z67" s="106" t="str">
        <f>IF(OR(ISBLANK(Term1_Early_Dismissal_4[[#This Row],[Start]]),ISBLANK(Term1_Early_Dismissal_4[[#This Row],[End]])),"",(Term1_Early_Dismissal_4[[#This Row],[End]]-Term1_Early_Dismissal_4[[#This Row],[Start]])*1440)</f>
        <v/>
      </c>
      <c r="AA67" s="106" t="str">
        <f>IF(ISBLANK(Term1_Early_Dismissal_4[[#This Row],[Activity]]),"",IF(_xlfn.XLOOKUP(Term1_Early_Dismissal_4[[#This Row],[Activity]],Types_of_Activity[Type of Activity],Types_of_Activity[Classification])=1,Term1_Early_Dismissal_4[[#This Row],[Elapsed]],0))</f>
        <v/>
      </c>
      <c r="AB67" s="106" t="str">
        <f>IF(ISBLANK(Term1_Early_Dismissal_4[[#This Row],[Activity]]),"",IF(_xlfn.XLOOKUP(Term1_Early_Dismissal_4[[#This Row],[Activity]],Types_of_Activity[Type of Activity],Types_of_Activity[Classification])=2,Term1_Early_Dismissal_4[[#This Row],[Elapsed]],0))</f>
        <v/>
      </c>
      <c r="AD67" s="136"/>
      <c r="AE67" s="136"/>
      <c r="AF67" s="103"/>
      <c r="AG67" s="106" t="str">
        <f>IF(OR(ISBLANK(Term1_Early_Dismissal_5[[#This Row],[Start]]),ISBLANK(Term1_Early_Dismissal_5[[#This Row],[End]])),"",(Term1_Early_Dismissal_5[[#This Row],[End]]-Term1_Early_Dismissal_5[[#This Row],[Start]])*1440)</f>
        <v/>
      </c>
      <c r="AH67" s="106" t="str">
        <f>IF(ISBLANK(Term1_Early_Dismissal_5[[#This Row],[Activity]]),"",IF(_xlfn.XLOOKUP(Term1_Early_Dismissal_5[[#This Row],[Activity]],Types_of_Activity[Type of Activity],Types_of_Activity[Classification])=1,Term1_Early_Dismissal_5[[#This Row],[Elapsed]],0))</f>
        <v/>
      </c>
      <c r="AI67" s="106" t="str">
        <f>IF(ISBLANK(Term1_Early_Dismissal_5[[#This Row],[Activity]]),"",IF(_xlfn.XLOOKUP(Term1_Early_Dismissal_5[[#This Row],[Activity]],Types_of_Activity[Type of Activity],Types_of_Activity[Classification])=2,Term1_Early_Dismissal_5[[#This Row],[Elapsed]],0))</f>
        <v/>
      </c>
      <c r="AK67" s="136"/>
      <c r="AL67" s="136"/>
      <c r="AM67" s="103"/>
      <c r="AN67" s="106" t="str">
        <f>IF(OR(ISBLANK(Term1_Early_Dismissal_6[[#This Row],[Start]]),ISBLANK(Term1_Early_Dismissal_6[[#This Row],[End]])),"",(Term1_Early_Dismissal_6[[#This Row],[End]]-Term1_Early_Dismissal_6[[#This Row],[Start]])*1440)</f>
        <v/>
      </c>
      <c r="AO67" s="106" t="str">
        <f>IF(ISBLANK(Term1_Early_Dismissal_6[[#This Row],[Activity]]),"",IF(_xlfn.XLOOKUP(Term1_Early_Dismissal_6[[#This Row],[Activity]],Types_of_Activity[Type of Activity],Types_of_Activity[Classification])=1,Term1_Early_Dismissal_6[[#This Row],[Elapsed]],0))</f>
        <v/>
      </c>
      <c r="AP67" s="106" t="str">
        <f>IF(ISBLANK(Term1_Early_Dismissal_6[[#This Row],[Activity]]),"",IF(_xlfn.XLOOKUP(Term1_Early_Dismissal_6[[#This Row],[Activity]],Types_of_Activity[Type of Activity],Types_of_Activity[Classification])=2,Term1_Early_Dismissal_6[[#This Row],[Elapsed]],0))</f>
        <v/>
      </c>
    </row>
    <row r="68" spans="2:42" x14ac:dyDescent="0.3">
      <c r="B68" s="136"/>
      <c r="C68" s="136"/>
      <c r="D68" s="103"/>
      <c r="E68" s="106" t="str">
        <f>IF(OR(ISBLANK(Term1_Early_Dismissal_1[[#This Row],[Start]]),ISBLANK(Term1_Early_Dismissal_1[[#This Row],[End]])),"",(Term1_Early_Dismissal_1[[#This Row],[End]]-Term1_Early_Dismissal_1[[#This Row],[Start]])*1440)</f>
        <v/>
      </c>
      <c r="F68" s="106" t="str">
        <f>IF(ISBLANK(Term1_Early_Dismissal_1[[#This Row],[Activity]]),"",IF(_xlfn.XLOOKUP(Term1_Early_Dismissal_1[[#This Row],[Activity]],Types_of_Activity[Type of Activity],Types_of_Activity[Classification])=1,Term1_Early_Dismissal_1[[#This Row],[Elapsed]],0))</f>
        <v/>
      </c>
      <c r="G68" s="106" t="str">
        <f>IF(ISBLANK(Term1_Early_Dismissal_1[[#This Row],[Activity]]),"",IF(_xlfn.XLOOKUP(Term1_Early_Dismissal_1[[#This Row],[Activity]],Types_of_Activity[Type of Activity],Types_of_Activity[Classification])=2,Term1_Early_Dismissal_1[[#This Row],[Elapsed]],0))</f>
        <v/>
      </c>
      <c r="H68"/>
      <c r="I68" s="136"/>
      <c r="J68" s="136"/>
      <c r="K68" s="103"/>
      <c r="L68" s="106" t="str">
        <f>IF(OR(ISBLANK(Term1_Early_Dismissal_2[[#This Row],[Start]]),ISBLANK(Term1_Early_Dismissal_2[[#This Row],[End]])),"",(Term1_Early_Dismissal_2[[#This Row],[End]]-Term1_Early_Dismissal_2[[#This Row],[Start]])*1440)</f>
        <v/>
      </c>
      <c r="M68" s="106" t="str">
        <f>IF(ISBLANK(Term1_Early_Dismissal_2[[#This Row],[Activity]]),"",IF(_xlfn.XLOOKUP(Term1_Early_Dismissal_2[[#This Row],[Activity]],Types_of_Activity[Type of Activity],Types_of_Activity[Classification])=1,Term1_Early_Dismissal_2[[#This Row],[Elapsed]],0))</f>
        <v/>
      </c>
      <c r="N68" s="106" t="str">
        <f>IF(ISBLANK(Term1_Early_Dismissal_2[[#This Row],[Activity]]),"",IF(_xlfn.XLOOKUP(Term1_Early_Dismissal_2[[#This Row],[Activity]],Types_of_Activity[Type of Activity],Types_of_Activity[Classification])=2,Term1_Early_Dismissal_2[[#This Row],[Elapsed]],0))</f>
        <v/>
      </c>
      <c r="O68"/>
      <c r="P68" s="136"/>
      <c r="Q68" s="136"/>
      <c r="R68" s="103"/>
      <c r="S68" s="106" t="str">
        <f>IF(OR(ISBLANK(Term1_Early_Dismissal_3[[#This Row],[Start]]),ISBLANK(Term1_Early_Dismissal_3[[#This Row],[End]])),"",(Term1_Early_Dismissal_3[[#This Row],[End]]-Term1_Early_Dismissal_3[[#This Row],[Start]])*1440)</f>
        <v/>
      </c>
      <c r="T68" s="106" t="str">
        <f>IF(ISBLANK(Term1_Early_Dismissal_3[[#This Row],[Activity]]),"",IF(_xlfn.XLOOKUP(Term1_Early_Dismissal_3[[#This Row],[Activity]],Types_of_Activity[Type of Activity],Types_of_Activity[Classification])=1,Term1_Early_Dismissal_3[[#This Row],[Elapsed]],0))</f>
        <v/>
      </c>
      <c r="U68" s="106" t="str">
        <f>IF(ISBLANK(Term1_Early_Dismissal_3[[#This Row],[Activity]]),"",IF(_xlfn.XLOOKUP(Term1_Early_Dismissal_3[[#This Row],[Activity]],Types_of_Activity[Type of Activity],Types_of_Activity[Classification])=2,Term1_Early_Dismissal_3[[#This Row],[Elapsed]],0))</f>
        <v/>
      </c>
      <c r="W68" s="136"/>
      <c r="X68" s="136"/>
      <c r="Y68" s="103"/>
      <c r="Z68" s="106" t="str">
        <f>IF(OR(ISBLANK(Term1_Early_Dismissal_4[[#This Row],[Start]]),ISBLANK(Term1_Early_Dismissal_4[[#This Row],[End]])),"",(Term1_Early_Dismissal_4[[#This Row],[End]]-Term1_Early_Dismissal_4[[#This Row],[Start]])*1440)</f>
        <v/>
      </c>
      <c r="AA68" s="106" t="str">
        <f>IF(ISBLANK(Term1_Early_Dismissal_4[[#This Row],[Activity]]),"",IF(_xlfn.XLOOKUP(Term1_Early_Dismissal_4[[#This Row],[Activity]],Types_of_Activity[Type of Activity],Types_of_Activity[Classification])=1,Term1_Early_Dismissal_4[[#This Row],[Elapsed]],0))</f>
        <v/>
      </c>
      <c r="AB68" s="106" t="str">
        <f>IF(ISBLANK(Term1_Early_Dismissal_4[[#This Row],[Activity]]),"",IF(_xlfn.XLOOKUP(Term1_Early_Dismissal_4[[#This Row],[Activity]],Types_of_Activity[Type of Activity],Types_of_Activity[Classification])=2,Term1_Early_Dismissal_4[[#This Row],[Elapsed]],0))</f>
        <v/>
      </c>
      <c r="AD68" s="136"/>
      <c r="AE68" s="136"/>
      <c r="AF68" s="103"/>
      <c r="AG68" s="106" t="str">
        <f>IF(OR(ISBLANK(Term1_Early_Dismissal_5[[#This Row],[Start]]),ISBLANK(Term1_Early_Dismissal_5[[#This Row],[End]])),"",(Term1_Early_Dismissal_5[[#This Row],[End]]-Term1_Early_Dismissal_5[[#This Row],[Start]])*1440)</f>
        <v/>
      </c>
      <c r="AH68" s="106" t="str">
        <f>IF(ISBLANK(Term1_Early_Dismissal_5[[#This Row],[Activity]]),"",IF(_xlfn.XLOOKUP(Term1_Early_Dismissal_5[[#This Row],[Activity]],Types_of_Activity[Type of Activity],Types_of_Activity[Classification])=1,Term1_Early_Dismissal_5[[#This Row],[Elapsed]],0))</f>
        <v/>
      </c>
      <c r="AI68" s="106" t="str">
        <f>IF(ISBLANK(Term1_Early_Dismissal_5[[#This Row],[Activity]]),"",IF(_xlfn.XLOOKUP(Term1_Early_Dismissal_5[[#This Row],[Activity]],Types_of_Activity[Type of Activity],Types_of_Activity[Classification])=2,Term1_Early_Dismissal_5[[#This Row],[Elapsed]],0))</f>
        <v/>
      </c>
      <c r="AK68" s="136"/>
      <c r="AL68" s="136"/>
      <c r="AM68" s="103"/>
      <c r="AN68" s="106" t="str">
        <f>IF(OR(ISBLANK(Term1_Early_Dismissal_6[[#This Row],[Start]]),ISBLANK(Term1_Early_Dismissal_6[[#This Row],[End]])),"",(Term1_Early_Dismissal_6[[#This Row],[End]]-Term1_Early_Dismissal_6[[#This Row],[Start]])*1440)</f>
        <v/>
      </c>
      <c r="AO68" s="106" t="str">
        <f>IF(ISBLANK(Term1_Early_Dismissal_6[[#This Row],[Activity]]),"",IF(_xlfn.XLOOKUP(Term1_Early_Dismissal_6[[#This Row],[Activity]],Types_of_Activity[Type of Activity],Types_of_Activity[Classification])=1,Term1_Early_Dismissal_6[[#This Row],[Elapsed]],0))</f>
        <v/>
      </c>
      <c r="AP68" s="106" t="str">
        <f>IF(ISBLANK(Term1_Early_Dismissal_6[[#This Row],[Activity]]),"",IF(_xlfn.XLOOKUP(Term1_Early_Dismissal_6[[#This Row],[Activity]],Types_of_Activity[Type of Activity],Types_of_Activity[Classification])=2,Term1_Early_Dismissal_6[[#This Row],[Elapsed]],0))</f>
        <v/>
      </c>
    </row>
    <row r="69" spans="2:42" x14ac:dyDescent="0.3">
      <c r="B69" s="136"/>
      <c r="C69" s="136"/>
      <c r="D69" s="103"/>
      <c r="E69" s="106" t="str">
        <f>IF(OR(ISBLANK(Term1_Early_Dismissal_1[[#This Row],[Start]]),ISBLANK(Term1_Early_Dismissal_1[[#This Row],[End]])),"",(Term1_Early_Dismissal_1[[#This Row],[End]]-Term1_Early_Dismissal_1[[#This Row],[Start]])*1440)</f>
        <v/>
      </c>
      <c r="F69" s="106" t="str">
        <f>IF(ISBLANK(Term1_Early_Dismissal_1[[#This Row],[Activity]]),"",IF(_xlfn.XLOOKUP(Term1_Early_Dismissal_1[[#This Row],[Activity]],Types_of_Activity[Type of Activity],Types_of_Activity[Classification])=1,Term1_Early_Dismissal_1[[#This Row],[Elapsed]],0))</f>
        <v/>
      </c>
      <c r="G69" s="106" t="str">
        <f>IF(ISBLANK(Term1_Early_Dismissal_1[[#This Row],[Activity]]),"",IF(_xlfn.XLOOKUP(Term1_Early_Dismissal_1[[#This Row],[Activity]],Types_of_Activity[Type of Activity],Types_of_Activity[Classification])=2,Term1_Early_Dismissal_1[[#This Row],[Elapsed]],0))</f>
        <v/>
      </c>
      <c r="H69"/>
      <c r="I69" s="136"/>
      <c r="J69" s="136"/>
      <c r="K69" s="103"/>
      <c r="L69" s="106" t="str">
        <f>IF(OR(ISBLANK(Term1_Early_Dismissal_2[[#This Row],[Start]]),ISBLANK(Term1_Early_Dismissal_2[[#This Row],[End]])),"",(Term1_Early_Dismissal_2[[#This Row],[End]]-Term1_Early_Dismissal_2[[#This Row],[Start]])*1440)</f>
        <v/>
      </c>
      <c r="M69" s="106" t="str">
        <f>IF(ISBLANK(Term1_Early_Dismissal_2[[#This Row],[Activity]]),"",IF(_xlfn.XLOOKUP(Term1_Early_Dismissal_2[[#This Row],[Activity]],Types_of_Activity[Type of Activity],Types_of_Activity[Classification])=1,Term1_Early_Dismissal_2[[#This Row],[Elapsed]],0))</f>
        <v/>
      </c>
      <c r="N69" s="106" t="str">
        <f>IF(ISBLANK(Term1_Early_Dismissal_2[[#This Row],[Activity]]),"",IF(_xlfn.XLOOKUP(Term1_Early_Dismissal_2[[#This Row],[Activity]],Types_of_Activity[Type of Activity],Types_of_Activity[Classification])=2,Term1_Early_Dismissal_2[[#This Row],[Elapsed]],0))</f>
        <v/>
      </c>
      <c r="O69"/>
      <c r="P69" s="136"/>
      <c r="Q69" s="136"/>
      <c r="R69" s="103"/>
      <c r="S69" s="106" t="str">
        <f>IF(OR(ISBLANK(Term1_Early_Dismissal_3[[#This Row],[Start]]),ISBLANK(Term1_Early_Dismissal_3[[#This Row],[End]])),"",(Term1_Early_Dismissal_3[[#This Row],[End]]-Term1_Early_Dismissal_3[[#This Row],[Start]])*1440)</f>
        <v/>
      </c>
      <c r="T69" s="106" t="str">
        <f>IF(ISBLANK(Term1_Early_Dismissal_3[[#This Row],[Activity]]),"",IF(_xlfn.XLOOKUP(Term1_Early_Dismissal_3[[#This Row],[Activity]],Types_of_Activity[Type of Activity],Types_of_Activity[Classification])=1,Term1_Early_Dismissal_3[[#This Row],[Elapsed]],0))</f>
        <v/>
      </c>
      <c r="U69" s="106" t="str">
        <f>IF(ISBLANK(Term1_Early_Dismissal_3[[#This Row],[Activity]]),"",IF(_xlfn.XLOOKUP(Term1_Early_Dismissal_3[[#This Row],[Activity]],Types_of_Activity[Type of Activity],Types_of_Activity[Classification])=2,Term1_Early_Dismissal_3[[#This Row],[Elapsed]],0))</f>
        <v/>
      </c>
      <c r="W69" s="136"/>
      <c r="X69" s="136"/>
      <c r="Y69" s="103"/>
      <c r="Z69" s="106" t="str">
        <f>IF(OR(ISBLANK(Term1_Early_Dismissal_4[[#This Row],[Start]]),ISBLANK(Term1_Early_Dismissal_4[[#This Row],[End]])),"",(Term1_Early_Dismissal_4[[#This Row],[End]]-Term1_Early_Dismissal_4[[#This Row],[Start]])*1440)</f>
        <v/>
      </c>
      <c r="AA69" s="106" t="str">
        <f>IF(ISBLANK(Term1_Early_Dismissal_4[[#This Row],[Activity]]),"",IF(_xlfn.XLOOKUP(Term1_Early_Dismissal_4[[#This Row],[Activity]],Types_of_Activity[Type of Activity],Types_of_Activity[Classification])=1,Term1_Early_Dismissal_4[[#This Row],[Elapsed]],0))</f>
        <v/>
      </c>
      <c r="AB69" s="106" t="str">
        <f>IF(ISBLANK(Term1_Early_Dismissal_4[[#This Row],[Activity]]),"",IF(_xlfn.XLOOKUP(Term1_Early_Dismissal_4[[#This Row],[Activity]],Types_of_Activity[Type of Activity],Types_of_Activity[Classification])=2,Term1_Early_Dismissal_4[[#This Row],[Elapsed]],0))</f>
        <v/>
      </c>
      <c r="AD69" s="136"/>
      <c r="AE69" s="136"/>
      <c r="AF69" s="103"/>
      <c r="AG69" s="106" t="str">
        <f>IF(OR(ISBLANK(Term1_Early_Dismissal_5[[#This Row],[Start]]),ISBLANK(Term1_Early_Dismissal_5[[#This Row],[End]])),"",(Term1_Early_Dismissal_5[[#This Row],[End]]-Term1_Early_Dismissal_5[[#This Row],[Start]])*1440)</f>
        <v/>
      </c>
      <c r="AH69" s="106" t="str">
        <f>IF(ISBLANK(Term1_Early_Dismissal_5[[#This Row],[Activity]]),"",IF(_xlfn.XLOOKUP(Term1_Early_Dismissal_5[[#This Row],[Activity]],Types_of_Activity[Type of Activity],Types_of_Activity[Classification])=1,Term1_Early_Dismissal_5[[#This Row],[Elapsed]],0))</f>
        <v/>
      </c>
      <c r="AI69" s="106" t="str">
        <f>IF(ISBLANK(Term1_Early_Dismissal_5[[#This Row],[Activity]]),"",IF(_xlfn.XLOOKUP(Term1_Early_Dismissal_5[[#This Row],[Activity]],Types_of_Activity[Type of Activity],Types_of_Activity[Classification])=2,Term1_Early_Dismissal_5[[#This Row],[Elapsed]],0))</f>
        <v/>
      </c>
      <c r="AK69" s="136"/>
      <c r="AL69" s="136"/>
      <c r="AM69" s="103"/>
      <c r="AN69" s="106" t="str">
        <f>IF(OR(ISBLANK(Term1_Early_Dismissal_6[[#This Row],[Start]]),ISBLANK(Term1_Early_Dismissal_6[[#This Row],[End]])),"",(Term1_Early_Dismissal_6[[#This Row],[End]]-Term1_Early_Dismissal_6[[#This Row],[Start]])*1440)</f>
        <v/>
      </c>
      <c r="AO69" s="106" t="str">
        <f>IF(ISBLANK(Term1_Early_Dismissal_6[[#This Row],[Activity]]),"",IF(_xlfn.XLOOKUP(Term1_Early_Dismissal_6[[#This Row],[Activity]],Types_of_Activity[Type of Activity],Types_of_Activity[Classification])=1,Term1_Early_Dismissal_6[[#This Row],[Elapsed]],0))</f>
        <v/>
      </c>
      <c r="AP69" s="106" t="str">
        <f>IF(ISBLANK(Term1_Early_Dismissal_6[[#This Row],[Activity]]),"",IF(_xlfn.XLOOKUP(Term1_Early_Dismissal_6[[#This Row],[Activity]],Types_of_Activity[Type of Activity],Types_of_Activity[Classification])=2,Term1_Early_Dismissal_6[[#This Row],[Elapsed]],0))</f>
        <v/>
      </c>
    </row>
    <row r="70" spans="2:42" x14ac:dyDescent="0.3">
      <c r="B70" s="136"/>
      <c r="C70" s="136"/>
      <c r="D70" s="103"/>
      <c r="E70" s="106" t="str">
        <f>IF(OR(ISBLANK(Term1_Early_Dismissal_1[[#This Row],[Start]]),ISBLANK(Term1_Early_Dismissal_1[[#This Row],[End]])),"",(Term1_Early_Dismissal_1[[#This Row],[End]]-Term1_Early_Dismissal_1[[#This Row],[Start]])*1440)</f>
        <v/>
      </c>
      <c r="F70" s="106" t="str">
        <f>IF(ISBLANK(Term1_Early_Dismissal_1[[#This Row],[Activity]]),"",IF(_xlfn.XLOOKUP(Term1_Early_Dismissal_1[[#This Row],[Activity]],Types_of_Activity[Type of Activity],Types_of_Activity[Classification])=1,Term1_Early_Dismissal_1[[#This Row],[Elapsed]],0))</f>
        <v/>
      </c>
      <c r="G70" s="106" t="str">
        <f>IF(ISBLANK(Term1_Early_Dismissal_1[[#This Row],[Activity]]),"",IF(_xlfn.XLOOKUP(Term1_Early_Dismissal_1[[#This Row],[Activity]],Types_of_Activity[Type of Activity],Types_of_Activity[Classification])=2,Term1_Early_Dismissal_1[[#This Row],[Elapsed]],0))</f>
        <v/>
      </c>
      <c r="H70"/>
      <c r="I70" s="136"/>
      <c r="J70" s="136"/>
      <c r="K70" s="103"/>
      <c r="L70" s="106" t="str">
        <f>IF(OR(ISBLANK(Term1_Early_Dismissal_2[[#This Row],[Start]]),ISBLANK(Term1_Early_Dismissal_2[[#This Row],[End]])),"",(Term1_Early_Dismissal_2[[#This Row],[End]]-Term1_Early_Dismissal_2[[#This Row],[Start]])*1440)</f>
        <v/>
      </c>
      <c r="M70" s="106" t="str">
        <f>IF(ISBLANK(Term1_Early_Dismissal_2[[#This Row],[Activity]]),"",IF(_xlfn.XLOOKUP(Term1_Early_Dismissal_2[[#This Row],[Activity]],Types_of_Activity[Type of Activity],Types_of_Activity[Classification])=1,Term1_Early_Dismissal_2[[#This Row],[Elapsed]],0))</f>
        <v/>
      </c>
      <c r="N70" s="106" t="str">
        <f>IF(ISBLANK(Term1_Early_Dismissal_2[[#This Row],[Activity]]),"",IF(_xlfn.XLOOKUP(Term1_Early_Dismissal_2[[#This Row],[Activity]],Types_of_Activity[Type of Activity],Types_of_Activity[Classification])=2,Term1_Early_Dismissal_2[[#This Row],[Elapsed]],0))</f>
        <v/>
      </c>
      <c r="O70"/>
      <c r="P70" s="136"/>
      <c r="Q70" s="136"/>
      <c r="R70" s="103"/>
      <c r="S70" s="106" t="str">
        <f>IF(OR(ISBLANK(Term1_Early_Dismissal_3[[#This Row],[Start]]),ISBLANK(Term1_Early_Dismissal_3[[#This Row],[End]])),"",(Term1_Early_Dismissal_3[[#This Row],[End]]-Term1_Early_Dismissal_3[[#This Row],[Start]])*1440)</f>
        <v/>
      </c>
      <c r="T70" s="106" t="str">
        <f>IF(ISBLANK(Term1_Early_Dismissal_3[[#This Row],[Activity]]),"",IF(_xlfn.XLOOKUP(Term1_Early_Dismissal_3[[#This Row],[Activity]],Types_of_Activity[Type of Activity],Types_of_Activity[Classification])=1,Term1_Early_Dismissal_3[[#This Row],[Elapsed]],0))</f>
        <v/>
      </c>
      <c r="U70" s="106" t="str">
        <f>IF(ISBLANK(Term1_Early_Dismissal_3[[#This Row],[Activity]]),"",IF(_xlfn.XLOOKUP(Term1_Early_Dismissal_3[[#This Row],[Activity]],Types_of_Activity[Type of Activity],Types_of_Activity[Classification])=2,Term1_Early_Dismissal_3[[#This Row],[Elapsed]],0))</f>
        <v/>
      </c>
      <c r="W70" s="136"/>
      <c r="X70" s="136"/>
      <c r="Y70" s="103"/>
      <c r="Z70" s="106" t="str">
        <f>IF(OR(ISBLANK(Term1_Early_Dismissal_4[[#This Row],[Start]]),ISBLANK(Term1_Early_Dismissal_4[[#This Row],[End]])),"",(Term1_Early_Dismissal_4[[#This Row],[End]]-Term1_Early_Dismissal_4[[#This Row],[Start]])*1440)</f>
        <v/>
      </c>
      <c r="AA70" s="106" t="str">
        <f>IF(ISBLANK(Term1_Early_Dismissal_4[[#This Row],[Activity]]),"",IF(_xlfn.XLOOKUP(Term1_Early_Dismissal_4[[#This Row],[Activity]],Types_of_Activity[Type of Activity],Types_of_Activity[Classification])=1,Term1_Early_Dismissal_4[[#This Row],[Elapsed]],0))</f>
        <v/>
      </c>
      <c r="AB70" s="106" t="str">
        <f>IF(ISBLANK(Term1_Early_Dismissal_4[[#This Row],[Activity]]),"",IF(_xlfn.XLOOKUP(Term1_Early_Dismissal_4[[#This Row],[Activity]],Types_of_Activity[Type of Activity],Types_of_Activity[Classification])=2,Term1_Early_Dismissal_4[[#This Row],[Elapsed]],0))</f>
        <v/>
      </c>
      <c r="AD70" s="136"/>
      <c r="AE70" s="136"/>
      <c r="AF70" s="103"/>
      <c r="AG70" s="106" t="str">
        <f>IF(OR(ISBLANK(Term1_Early_Dismissal_5[[#This Row],[Start]]),ISBLANK(Term1_Early_Dismissal_5[[#This Row],[End]])),"",(Term1_Early_Dismissal_5[[#This Row],[End]]-Term1_Early_Dismissal_5[[#This Row],[Start]])*1440)</f>
        <v/>
      </c>
      <c r="AH70" s="106" t="str">
        <f>IF(ISBLANK(Term1_Early_Dismissal_5[[#This Row],[Activity]]),"",IF(_xlfn.XLOOKUP(Term1_Early_Dismissal_5[[#This Row],[Activity]],Types_of_Activity[Type of Activity],Types_of_Activity[Classification])=1,Term1_Early_Dismissal_5[[#This Row],[Elapsed]],0))</f>
        <v/>
      </c>
      <c r="AI70" s="106" t="str">
        <f>IF(ISBLANK(Term1_Early_Dismissal_5[[#This Row],[Activity]]),"",IF(_xlfn.XLOOKUP(Term1_Early_Dismissal_5[[#This Row],[Activity]],Types_of_Activity[Type of Activity],Types_of_Activity[Classification])=2,Term1_Early_Dismissal_5[[#This Row],[Elapsed]],0))</f>
        <v/>
      </c>
      <c r="AK70" s="136"/>
      <c r="AL70" s="136"/>
      <c r="AM70" s="103"/>
      <c r="AN70" s="106" t="str">
        <f>IF(OR(ISBLANK(Term1_Early_Dismissal_6[[#This Row],[Start]]),ISBLANK(Term1_Early_Dismissal_6[[#This Row],[End]])),"",(Term1_Early_Dismissal_6[[#This Row],[End]]-Term1_Early_Dismissal_6[[#This Row],[Start]])*1440)</f>
        <v/>
      </c>
      <c r="AO70" s="106" t="str">
        <f>IF(ISBLANK(Term1_Early_Dismissal_6[[#This Row],[Activity]]),"",IF(_xlfn.XLOOKUP(Term1_Early_Dismissal_6[[#This Row],[Activity]],Types_of_Activity[Type of Activity],Types_of_Activity[Classification])=1,Term1_Early_Dismissal_6[[#This Row],[Elapsed]],0))</f>
        <v/>
      </c>
      <c r="AP70" s="106" t="str">
        <f>IF(ISBLANK(Term1_Early_Dismissal_6[[#This Row],[Activity]]),"",IF(_xlfn.XLOOKUP(Term1_Early_Dismissal_6[[#This Row],[Activity]],Types_of_Activity[Type of Activity],Types_of_Activity[Classification])=2,Term1_Early_Dismissal_6[[#This Row],[Elapsed]],0))</f>
        <v/>
      </c>
    </row>
    <row r="71" spans="2:42" x14ac:dyDescent="0.3">
      <c r="B71" s="136"/>
      <c r="C71" s="136"/>
      <c r="D71" s="103"/>
      <c r="E71" s="106" t="str">
        <f>IF(OR(ISBLANK(Term1_Early_Dismissal_1[[#This Row],[Start]]),ISBLANK(Term1_Early_Dismissal_1[[#This Row],[End]])),"",(Term1_Early_Dismissal_1[[#This Row],[End]]-Term1_Early_Dismissal_1[[#This Row],[Start]])*1440)</f>
        <v/>
      </c>
      <c r="F71" s="106" t="str">
        <f>IF(ISBLANK(Term1_Early_Dismissal_1[[#This Row],[Activity]]),"",IF(_xlfn.XLOOKUP(Term1_Early_Dismissal_1[[#This Row],[Activity]],Types_of_Activity[Type of Activity],Types_of_Activity[Classification])=1,Term1_Early_Dismissal_1[[#This Row],[Elapsed]],0))</f>
        <v/>
      </c>
      <c r="G71" s="106" t="str">
        <f>IF(ISBLANK(Term1_Early_Dismissal_1[[#This Row],[Activity]]),"",IF(_xlfn.XLOOKUP(Term1_Early_Dismissal_1[[#This Row],[Activity]],Types_of_Activity[Type of Activity],Types_of_Activity[Classification])=2,Term1_Early_Dismissal_1[[#This Row],[Elapsed]],0))</f>
        <v/>
      </c>
      <c r="H71"/>
      <c r="I71" s="136"/>
      <c r="J71" s="136"/>
      <c r="K71" s="103"/>
      <c r="L71" s="106" t="str">
        <f>IF(OR(ISBLANK(Term1_Early_Dismissal_2[[#This Row],[Start]]),ISBLANK(Term1_Early_Dismissal_2[[#This Row],[End]])),"",(Term1_Early_Dismissal_2[[#This Row],[End]]-Term1_Early_Dismissal_2[[#This Row],[Start]])*1440)</f>
        <v/>
      </c>
      <c r="M71" s="106" t="str">
        <f>IF(ISBLANK(Term1_Early_Dismissal_2[[#This Row],[Activity]]),"",IF(_xlfn.XLOOKUP(Term1_Early_Dismissal_2[[#This Row],[Activity]],Types_of_Activity[Type of Activity],Types_of_Activity[Classification])=1,Term1_Early_Dismissal_2[[#This Row],[Elapsed]],0))</f>
        <v/>
      </c>
      <c r="N71" s="106" t="str">
        <f>IF(ISBLANK(Term1_Early_Dismissal_2[[#This Row],[Activity]]),"",IF(_xlfn.XLOOKUP(Term1_Early_Dismissal_2[[#This Row],[Activity]],Types_of_Activity[Type of Activity],Types_of_Activity[Classification])=2,Term1_Early_Dismissal_2[[#This Row],[Elapsed]],0))</f>
        <v/>
      </c>
      <c r="O71"/>
      <c r="P71" s="136"/>
      <c r="Q71" s="136"/>
      <c r="R71" s="103"/>
      <c r="S71" s="106" t="str">
        <f>IF(OR(ISBLANK(Term1_Early_Dismissal_3[[#This Row],[Start]]),ISBLANK(Term1_Early_Dismissal_3[[#This Row],[End]])),"",(Term1_Early_Dismissal_3[[#This Row],[End]]-Term1_Early_Dismissal_3[[#This Row],[Start]])*1440)</f>
        <v/>
      </c>
      <c r="T71" s="106" t="str">
        <f>IF(ISBLANK(Term1_Early_Dismissal_3[[#This Row],[Activity]]),"",IF(_xlfn.XLOOKUP(Term1_Early_Dismissal_3[[#This Row],[Activity]],Types_of_Activity[Type of Activity],Types_of_Activity[Classification])=1,Term1_Early_Dismissal_3[[#This Row],[Elapsed]],0))</f>
        <v/>
      </c>
      <c r="U71" s="106" t="str">
        <f>IF(ISBLANK(Term1_Early_Dismissal_3[[#This Row],[Activity]]),"",IF(_xlfn.XLOOKUP(Term1_Early_Dismissal_3[[#This Row],[Activity]],Types_of_Activity[Type of Activity],Types_of_Activity[Classification])=2,Term1_Early_Dismissal_3[[#This Row],[Elapsed]],0))</f>
        <v/>
      </c>
      <c r="W71" s="136"/>
      <c r="X71" s="136"/>
      <c r="Y71" s="103"/>
      <c r="Z71" s="106" t="str">
        <f>IF(OR(ISBLANK(Term1_Early_Dismissal_4[[#This Row],[Start]]),ISBLANK(Term1_Early_Dismissal_4[[#This Row],[End]])),"",(Term1_Early_Dismissal_4[[#This Row],[End]]-Term1_Early_Dismissal_4[[#This Row],[Start]])*1440)</f>
        <v/>
      </c>
      <c r="AA71" s="106" t="str">
        <f>IF(ISBLANK(Term1_Early_Dismissal_4[[#This Row],[Activity]]),"",IF(_xlfn.XLOOKUP(Term1_Early_Dismissal_4[[#This Row],[Activity]],Types_of_Activity[Type of Activity],Types_of_Activity[Classification])=1,Term1_Early_Dismissal_4[[#This Row],[Elapsed]],0))</f>
        <v/>
      </c>
      <c r="AB71" s="106" t="str">
        <f>IF(ISBLANK(Term1_Early_Dismissal_4[[#This Row],[Activity]]),"",IF(_xlfn.XLOOKUP(Term1_Early_Dismissal_4[[#This Row],[Activity]],Types_of_Activity[Type of Activity],Types_of_Activity[Classification])=2,Term1_Early_Dismissal_4[[#This Row],[Elapsed]],0))</f>
        <v/>
      </c>
      <c r="AD71" s="136"/>
      <c r="AE71" s="136"/>
      <c r="AF71" s="103"/>
      <c r="AG71" s="106" t="str">
        <f>IF(OR(ISBLANK(Term1_Early_Dismissal_5[[#This Row],[Start]]),ISBLANK(Term1_Early_Dismissal_5[[#This Row],[End]])),"",(Term1_Early_Dismissal_5[[#This Row],[End]]-Term1_Early_Dismissal_5[[#This Row],[Start]])*1440)</f>
        <v/>
      </c>
      <c r="AH71" s="106" t="str">
        <f>IF(ISBLANK(Term1_Early_Dismissal_5[[#This Row],[Activity]]),"",IF(_xlfn.XLOOKUP(Term1_Early_Dismissal_5[[#This Row],[Activity]],Types_of_Activity[Type of Activity],Types_of_Activity[Classification])=1,Term1_Early_Dismissal_5[[#This Row],[Elapsed]],0))</f>
        <v/>
      </c>
      <c r="AI71" s="106" t="str">
        <f>IF(ISBLANK(Term1_Early_Dismissal_5[[#This Row],[Activity]]),"",IF(_xlfn.XLOOKUP(Term1_Early_Dismissal_5[[#This Row],[Activity]],Types_of_Activity[Type of Activity],Types_of_Activity[Classification])=2,Term1_Early_Dismissal_5[[#This Row],[Elapsed]],0))</f>
        <v/>
      </c>
      <c r="AK71" s="136"/>
      <c r="AL71" s="136"/>
      <c r="AM71" s="103"/>
      <c r="AN71" s="106" t="str">
        <f>IF(OR(ISBLANK(Term1_Early_Dismissal_6[[#This Row],[Start]]),ISBLANK(Term1_Early_Dismissal_6[[#This Row],[End]])),"",(Term1_Early_Dismissal_6[[#This Row],[End]]-Term1_Early_Dismissal_6[[#This Row],[Start]])*1440)</f>
        <v/>
      </c>
      <c r="AO71" s="106" t="str">
        <f>IF(ISBLANK(Term1_Early_Dismissal_6[[#This Row],[Activity]]),"",IF(_xlfn.XLOOKUP(Term1_Early_Dismissal_6[[#This Row],[Activity]],Types_of_Activity[Type of Activity],Types_of_Activity[Classification])=1,Term1_Early_Dismissal_6[[#This Row],[Elapsed]],0))</f>
        <v/>
      </c>
      <c r="AP71" s="106" t="str">
        <f>IF(ISBLANK(Term1_Early_Dismissal_6[[#This Row],[Activity]]),"",IF(_xlfn.XLOOKUP(Term1_Early_Dismissal_6[[#This Row],[Activity]],Types_of_Activity[Type of Activity],Types_of_Activity[Classification])=2,Term1_Early_Dismissal_6[[#This Row],[Elapsed]],0))</f>
        <v/>
      </c>
    </row>
    <row r="72" spans="2:42" x14ac:dyDescent="0.3">
      <c r="B72" s="136"/>
      <c r="C72" s="136"/>
      <c r="D72" s="103"/>
      <c r="E72" s="106" t="str">
        <f>IF(OR(ISBLANK(Term1_Early_Dismissal_1[[#This Row],[Start]]),ISBLANK(Term1_Early_Dismissal_1[[#This Row],[End]])),"",(Term1_Early_Dismissal_1[[#This Row],[End]]-Term1_Early_Dismissal_1[[#This Row],[Start]])*1440)</f>
        <v/>
      </c>
      <c r="F72" s="106" t="str">
        <f>IF(ISBLANK(Term1_Early_Dismissal_1[[#This Row],[Activity]]),"",IF(_xlfn.XLOOKUP(Term1_Early_Dismissal_1[[#This Row],[Activity]],Types_of_Activity[Type of Activity],Types_of_Activity[Classification])=1,Term1_Early_Dismissal_1[[#This Row],[Elapsed]],0))</f>
        <v/>
      </c>
      <c r="G72" s="106" t="str">
        <f>IF(ISBLANK(Term1_Early_Dismissal_1[[#This Row],[Activity]]),"",IF(_xlfn.XLOOKUP(Term1_Early_Dismissal_1[[#This Row],[Activity]],Types_of_Activity[Type of Activity],Types_of_Activity[Classification])=2,Term1_Early_Dismissal_1[[#This Row],[Elapsed]],0))</f>
        <v/>
      </c>
      <c r="H72"/>
      <c r="I72" s="136"/>
      <c r="J72" s="136"/>
      <c r="K72" s="103"/>
      <c r="L72" s="106" t="str">
        <f>IF(OR(ISBLANK(Term1_Early_Dismissal_2[[#This Row],[Start]]),ISBLANK(Term1_Early_Dismissal_2[[#This Row],[End]])),"",(Term1_Early_Dismissal_2[[#This Row],[End]]-Term1_Early_Dismissal_2[[#This Row],[Start]])*1440)</f>
        <v/>
      </c>
      <c r="M72" s="106" t="str">
        <f>IF(ISBLANK(Term1_Early_Dismissal_2[[#This Row],[Activity]]),"",IF(_xlfn.XLOOKUP(Term1_Early_Dismissal_2[[#This Row],[Activity]],Types_of_Activity[Type of Activity],Types_of_Activity[Classification])=1,Term1_Early_Dismissal_2[[#This Row],[Elapsed]],0))</f>
        <v/>
      </c>
      <c r="N72" s="106" t="str">
        <f>IF(ISBLANK(Term1_Early_Dismissal_2[[#This Row],[Activity]]),"",IF(_xlfn.XLOOKUP(Term1_Early_Dismissal_2[[#This Row],[Activity]],Types_of_Activity[Type of Activity],Types_of_Activity[Classification])=2,Term1_Early_Dismissal_2[[#This Row],[Elapsed]],0))</f>
        <v/>
      </c>
      <c r="O72"/>
      <c r="P72" s="136"/>
      <c r="Q72" s="136"/>
      <c r="R72" s="103"/>
      <c r="S72" s="106" t="str">
        <f>IF(OR(ISBLANK(Term1_Early_Dismissal_3[[#This Row],[Start]]),ISBLANK(Term1_Early_Dismissal_3[[#This Row],[End]])),"",(Term1_Early_Dismissal_3[[#This Row],[End]]-Term1_Early_Dismissal_3[[#This Row],[Start]])*1440)</f>
        <v/>
      </c>
      <c r="T72" s="106" t="str">
        <f>IF(ISBLANK(Term1_Early_Dismissal_3[[#This Row],[Activity]]),"",IF(_xlfn.XLOOKUP(Term1_Early_Dismissal_3[[#This Row],[Activity]],Types_of_Activity[Type of Activity],Types_of_Activity[Classification])=1,Term1_Early_Dismissal_3[[#This Row],[Elapsed]],0))</f>
        <v/>
      </c>
      <c r="U72" s="106" t="str">
        <f>IF(ISBLANK(Term1_Early_Dismissal_3[[#This Row],[Activity]]),"",IF(_xlfn.XLOOKUP(Term1_Early_Dismissal_3[[#This Row],[Activity]],Types_of_Activity[Type of Activity],Types_of_Activity[Classification])=2,Term1_Early_Dismissal_3[[#This Row],[Elapsed]],0))</f>
        <v/>
      </c>
      <c r="W72" s="136"/>
      <c r="X72" s="136"/>
      <c r="Y72" s="103"/>
      <c r="Z72" s="106" t="str">
        <f>IF(OR(ISBLANK(Term1_Early_Dismissal_4[[#This Row],[Start]]),ISBLANK(Term1_Early_Dismissal_4[[#This Row],[End]])),"",(Term1_Early_Dismissal_4[[#This Row],[End]]-Term1_Early_Dismissal_4[[#This Row],[Start]])*1440)</f>
        <v/>
      </c>
      <c r="AA72" s="106" t="str">
        <f>IF(ISBLANK(Term1_Early_Dismissal_4[[#This Row],[Activity]]),"",IF(_xlfn.XLOOKUP(Term1_Early_Dismissal_4[[#This Row],[Activity]],Types_of_Activity[Type of Activity],Types_of_Activity[Classification])=1,Term1_Early_Dismissal_4[[#This Row],[Elapsed]],0))</f>
        <v/>
      </c>
      <c r="AB72" s="106" t="str">
        <f>IF(ISBLANK(Term1_Early_Dismissal_4[[#This Row],[Activity]]),"",IF(_xlfn.XLOOKUP(Term1_Early_Dismissal_4[[#This Row],[Activity]],Types_of_Activity[Type of Activity],Types_of_Activity[Classification])=2,Term1_Early_Dismissal_4[[#This Row],[Elapsed]],0))</f>
        <v/>
      </c>
      <c r="AD72" s="136"/>
      <c r="AE72" s="136"/>
      <c r="AF72" s="103"/>
      <c r="AG72" s="106" t="str">
        <f>IF(OR(ISBLANK(Term1_Early_Dismissal_5[[#This Row],[Start]]),ISBLANK(Term1_Early_Dismissal_5[[#This Row],[End]])),"",(Term1_Early_Dismissal_5[[#This Row],[End]]-Term1_Early_Dismissal_5[[#This Row],[Start]])*1440)</f>
        <v/>
      </c>
      <c r="AH72" s="106" t="str">
        <f>IF(ISBLANK(Term1_Early_Dismissal_5[[#This Row],[Activity]]),"",IF(_xlfn.XLOOKUP(Term1_Early_Dismissal_5[[#This Row],[Activity]],Types_of_Activity[Type of Activity],Types_of_Activity[Classification])=1,Term1_Early_Dismissal_5[[#This Row],[Elapsed]],0))</f>
        <v/>
      </c>
      <c r="AI72" s="106" t="str">
        <f>IF(ISBLANK(Term1_Early_Dismissal_5[[#This Row],[Activity]]),"",IF(_xlfn.XLOOKUP(Term1_Early_Dismissal_5[[#This Row],[Activity]],Types_of_Activity[Type of Activity],Types_of_Activity[Classification])=2,Term1_Early_Dismissal_5[[#This Row],[Elapsed]],0))</f>
        <v/>
      </c>
      <c r="AK72" s="136"/>
      <c r="AL72" s="136"/>
      <c r="AM72" s="103"/>
      <c r="AN72" s="106" t="str">
        <f>IF(OR(ISBLANK(Term1_Early_Dismissal_6[[#This Row],[Start]]),ISBLANK(Term1_Early_Dismissal_6[[#This Row],[End]])),"",(Term1_Early_Dismissal_6[[#This Row],[End]]-Term1_Early_Dismissal_6[[#This Row],[Start]])*1440)</f>
        <v/>
      </c>
      <c r="AO72" s="106" t="str">
        <f>IF(ISBLANK(Term1_Early_Dismissal_6[[#This Row],[Activity]]),"",IF(_xlfn.XLOOKUP(Term1_Early_Dismissal_6[[#This Row],[Activity]],Types_of_Activity[Type of Activity],Types_of_Activity[Classification])=1,Term1_Early_Dismissal_6[[#This Row],[Elapsed]],0))</f>
        <v/>
      </c>
      <c r="AP72" s="106" t="str">
        <f>IF(ISBLANK(Term1_Early_Dismissal_6[[#This Row],[Activity]]),"",IF(_xlfn.XLOOKUP(Term1_Early_Dismissal_6[[#This Row],[Activity]],Types_of_Activity[Type of Activity],Types_of_Activity[Classification])=2,Term1_Early_Dismissal_6[[#This Row],[Elapsed]],0))</f>
        <v/>
      </c>
    </row>
    <row r="73" spans="2:42" x14ac:dyDescent="0.3">
      <c r="B73" s="136"/>
      <c r="C73" s="136"/>
      <c r="D73" s="103"/>
      <c r="E73" s="106" t="str">
        <f>IF(OR(ISBLANK(Term1_Early_Dismissal_1[[#This Row],[Start]]),ISBLANK(Term1_Early_Dismissal_1[[#This Row],[End]])),"",(Term1_Early_Dismissal_1[[#This Row],[End]]-Term1_Early_Dismissal_1[[#This Row],[Start]])*1440)</f>
        <v/>
      </c>
      <c r="F73" s="106" t="str">
        <f>IF(ISBLANK(Term1_Early_Dismissal_1[[#This Row],[Activity]]),"",IF(_xlfn.XLOOKUP(Term1_Early_Dismissal_1[[#This Row],[Activity]],Types_of_Activity[Type of Activity],Types_of_Activity[Classification])=1,Term1_Early_Dismissal_1[[#This Row],[Elapsed]],0))</f>
        <v/>
      </c>
      <c r="G73" s="106" t="str">
        <f>IF(ISBLANK(Term1_Early_Dismissal_1[[#This Row],[Activity]]),"",IF(_xlfn.XLOOKUP(Term1_Early_Dismissal_1[[#This Row],[Activity]],Types_of_Activity[Type of Activity],Types_of_Activity[Classification])=2,Term1_Early_Dismissal_1[[#This Row],[Elapsed]],0))</f>
        <v/>
      </c>
      <c r="H73"/>
      <c r="I73" s="136"/>
      <c r="J73" s="136"/>
      <c r="K73" s="103"/>
      <c r="L73" s="106" t="str">
        <f>IF(OR(ISBLANK(Term1_Early_Dismissal_2[[#This Row],[Start]]),ISBLANK(Term1_Early_Dismissal_2[[#This Row],[End]])),"",(Term1_Early_Dismissal_2[[#This Row],[End]]-Term1_Early_Dismissal_2[[#This Row],[Start]])*1440)</f>
        <v/>
      </c>
      <c r="M73" s="106" t="str">
        <f>IF(ISBLANK(Term1_Early_Dismissal_2[[#This Row],[Activity]]),"",IF(_xlfn.XLOOKUP(Term1_Early_Dismissal_2[[#This Row],[Activity]],Types_of_Activity[Type of Activity],Types_of_Activity[Classification])=1,Term1_Early_Dismissal_2[[#This Row],[Elapsed]],0))</f>
        <v/>
      </c>
      <c r="N73" s="106" t="str">
        <f>IF(ISBLANK(Term1_Early_Dismissal_2[[#This Row],[Activity]]),"",IF(_xlfn.XLOOKUP(Term1_Early_Dismissal_2[[#This Row],[Activity]],Types_of_Activity[Type of Activity],Types_of_Activity[Classification])=2,Term1_Early_Dismissal_2[[#This Row],[Elapsed]],0))</f>
        <v/>
      </c>
      <c r="O73"/>
      <c r="P73" s="136"/>
      <c r="Q73" s="136"/>
      <c r="R73" s="103"/>
      <c r="S73" s="106" t="str">
        <f>IF(OR(ISBLANK(Term1_Early_Dismissal_3[[#This Row],[Start]]),ISBLANK(Term1_Early_Dismissal_3[[#This Row],[End]])),"",(Term1_Early_Dismissal_3[[#This Row],[End]]-Term1_Early_Dismissal_3[[#This Row],[Start]])*1440)</f>
        <v/>
      </c>
      <c r="T73" s="106" t="str">
        <f>IF(ISBLANK(Term1_Early_Dismissal_3[[#This Row],[Activity]]),"",IF(_xlfn.XLOOKUP(Term1_Early_Dismissal_3[[#This Row],[Activity]],Types_of_Activity[Type of Activity],Types_of_Activity[Classification])=1,Term1_Early_Dismissal_3[[#This Row],[Elapsed]],0))</f>
        <v/>
      </c>
      <c r="U73" s="106" t="str">
        <f>IF(ISBLANK(Term1_Early_Dismissal_3[[#This Row],[Activity]]),"",IF(_xlfn.XLOOKUP(Term1_Early_Dismissal_3[[#This Row],[Activity]],Types_of_Activity[Type of Activity],Types_of_Activity[Classification])=2,Term1_Early_Dismissal_3[[#This Row],[Elapsed]],0))</f>
        <v/>
      </c>
      <c r="W73" s="136"/>
      <c r="X73" s="136"/>
      <c r="Y73" s="103"/>
      <c r="Z73" s="106" t="str">
        <f>IF(OR(ISBLANK(Term1_Early_Dismissal_4[[#This Row],[Start]]),ISBLANK(Term1_Early_Dismissal_4[[#This Row],[End]])),"",(Term1_Early_Dismissal_4[[#This Row],[End]]-Term1_Early_Dismissal_4[[#This Row],[Start]])*1440)</f>
        <v/>
      </c>
      <c r="AA73" s="106" t="str">
        <f>IF(ISBLANK(Term1_Early_Dismissal_4[[#This Row],[Activity]]),"",IF(_xlfn.XLOOKUP(Term1_Early_Dismissal_4[[#This Row],[Activity]],Types_of_Activity[Type of Activity],Types_of_Activity[Classification])=1,Term1_Early_Dismissal_4[[#This Row],[Elapsed]],0))</f>
        <v/>
      </c>
      <c r="AB73" s="106" t="str">
        <f>IF(ISBLANK(Term1_Early_Dismissal_4[[#This Row],[Activity]]),"",IF(_xlfn.XLOOKUP(Term1_Early_Dismissal_4[[#This Row],[Activity]],Types_of_Activity[Type of Activity],Types_of_Activity[Classification])=2,Term1_Early_Dismissal_4[[#This Row],[Elapsed]],0))</f>
        <v/>
      </c>
      <c r="AD73" s="136"/>
      <c r="AE73" s="136"/>
      <c r="AF73" s="103"/>
      <c r="AG73" s="106" t="str">
        <f>IF(OR(ISBLANK(Term1_Early_Dismissal_5[[#This Row],[Start]]),ISBLANK(Term1_Early_Dismissal_5[[#This Row],[End]])),"",(Term1_Early_Dismissal_5[[#This Row],[End]]-Term1_Early_Dismissal_5[[#This Row],[Start]])*1440)</f>
        <v/>
      </c>
      <c r="AH73" s="106" t="str">
        <f>IF(ISBLANK(Term1_Early_Dismissal_5[[#This Row],[Activity]]),"",IF(_xlfn.XLOOKUP(Term1_Early_Dismissal_5[[#This Row],[Activity]],Types_of_Activity[Type of Activity],Types_of_Activity[Classification])=1,Term1_Early_Dismissal_5[[#This Row],[Elapsed]],0))</f>
        <v/>
      </c>
      <c r="AI73" s="106" t="str">
        <f>IF(ISBLANK(Term1_Early_Dismissal_5[[#This Row],[Activity]]),"",IF(_xlfn.XLOOKUP(Term1_Early_Dismissal_5[[#This Row],[Activity]],Types_of_Activity[Type of Activity],Types_of_Activity[Classification])=2,Term1_Early_Dismissal_5[[#This Row],[Elapsed]],0))</f>
        <v/>
      </c>
      <c r="AK73" s="136"/>
      <c r="AL73" s="136"/>
      <c r="AM73" s="103"/>
      <c r="AN73" s="106" t="str">
        <f>IF(OR(ISBLANK(Term1_Early_Dismissal_6[[#This Row],[Start]]),ISBLANK(Term1_Early_Dismissal_6[[#This Row],[End]])),"",(Term1_Early_Dismissal_6[[#This Row],[End]]-Term1_Early_Dismissal_6[[#This Row],[Start]])*1440)</f>
        <v/>
      </c>
      <c r="AO73" s="106" t="str">
        <f>IF(ISBLANK(Term1_Early_Dismissal_6[[#This Row],[Activity]]),"",IF(_xlfn.XLOOKUP(Term1_Early_Dismissal_6[[#This Row],[Activity]],Types_of_Activity[Type of Activity],Types_of_Activity[Classification])=1,Term1_Early_Dismissal_6[[#This Row],[Elapsed]],0))</f>
        <v/>
      </c>
      <c r="AP73" s="106" t="str">
        <f>IF(ISBLANK(Term1_Early_Dismissal_6[[#This Row],[Activity]]),"",IF(_xlfn.XLOOKUP(Term1_Early_Dismissal_6[[#This Row],[Activity]],Types_of_Activity[Type of Activity],Types_of_Activity[Classification])=2,Term1_Early_Dismissal_6[[#This Row],[Elapsed]],0))</f>
        <v/>
      </c>
    </row>
    <row r="74" spans="2:42" x14ac:dyDescent="0.3">
      <c r="B74" s="136"/>
      <c r="C74" s="136"/>
      <c r="D74" s="103"/>
      <c r="E74" s="106" t="str">
        <f>IF(OR(ISBLANK(Term1_Early_Dismissal_1[[#This Row],[Start]]),ISBLANK(Term1_Early_Dismissal_1[[#This Row],[End]])),"",(Term1_Early_Dismissal_1[[#This Row],[End]]-Term1_Early_Dismissal_1[[#This Row],[Start]])*1440)</f>
        <v/>
      </c>
      <c r="F74" s="106" t="str">
        <f>IF(ISBLANK(Term1_Early_Dismissal_1[[#This Row],[Activity]]),"",IF(_xlfn.XLOOKUP(Term1_Early_Dismissal_1[[#This Row],[Activity]],Types_of_Activity[Type of Activity],Types_of_Activity[Classification])=1,Term1_Early_Dismissal_1[[#This Row],[Elapsed]],0))</f>
        <v/>
      </c>
      <c r="G74" s="106" t="str">
        <f>IF(ISBLANK(Term1_Early_Dismissal_1[[#This Row],[Activity]]),"",IF(_xlfn.XLOOKUP(Term1_Early_Dismissal_1[[#This Row],[Activity]],Types_of_Activity[Type of Activity],Types_of_Activity[Classification])=2,Term1_Early_Dismissal_1[[#This Row],[Elapsed]],0))</f>
        <v/>
      </c>
      <c r="H74"/>
      <c r="I74" s="136"/>
      <c r="J74" s="136"/>
      <c r="K74" s="103"/>
      <c r="L74" s="106" t="str">
        <f>IF(OR(ISBLANK(Term1_Early_Dismissal_2[[#This Row],[Start]]),ISBLANK(Term1_Early_Dismissal_2[[#This Row],[End]])),"",(Term1_Early_Dismissal_2[[#This Row],[End]]-Term1_Early_Dismissal_2[[#This Row],[Start]])*1440)</f>
        <v/>
      </c>
      <c r="M74" s="106" t="str">
        <f>IF(ISBLANK(Term1_Early_Dismissal_2[[#This Row],[Activity]]),"",IF(_xlfn.XLOOKUP(Term1_Early_Dismissal_2[[#This Row],[Activity]],Types_of_Activity[Type of Activity],Types_of_Activity[Classification])=1,Term1_Early_Dismissal_2[[#This Row],[Elapsed]],0))</f>
        <v/>
      </c>
      <c r="N74" s="106" t="str">
        <f>IF(ISBLANK(Term1_Early_Dismissal_2[[#This Row],[Activity]]),"",IF(_xlfn.XLOOKUP(Term1_Early_Dismissal_2[[#This Row],[Activity]],Types_of_Activity[Type of Activity],Types_of_Activity[Classification])=2,Term1_Early_Dismissal_2[[#This Row],[Elapsed]],0))</f>
        <v/>
      </c>
      <c r="O74"/>
      <c r="P74" s="136"/>
      <c r="Q74" s="136"/>
      <c r="R74" s="103"/>
      <c r="S74" s="106" t="str">
        <f>IF(OR(ISBLANK(Term1_Early_Dismissal_3[[#This Row],[Start]]),ISBLANK(Term1_Early_Dismissal_3[[#This Row],[End]])),"",(Term1_Early_Dismissal_3[[#This Row],[End]]-Term1_Early_Dismissal_3[[#This Row],[Start]])*1440)</f>
        <v/>
      </c>
      <c r="T74" s="106" t="str">
        <f>IF(ISBLANK(Term1_Early_Dismissal_3[[#This Row],[Activity]]),"",IF(_xlfn.XLOOKUP(Term1_Early_Dismissal_3[[#This Row],[Activity]],Types_of_Activity[Type of Activity],Types_of_Activity[Classification])=1,Term1_Early_Dismissal_3[[#This Row],[Elapsed]],0))</f>
        <v/>
      </c>
      <c r="U74" s="106" t="str">
        <f>IF(ISBLANK(Term1_Early_Dismissal_3[[#This Row],[Activity]]),"",IF(_xlfn.XLOOKUP(Term1_Early_Dismissal_3[[#This Row],[Activity]],Types_of_Activity[Type of Activity],Types_of_Activity[Classification])=2,Term1_Early_Dismissal_3[[#This Row],[Elapsed]],0))</f>
        <v/>
      </c>
      <c r="W74" s="136"/>
      <c r="X74" s="136"/>
      <c r="Y74" s="103"/>
      <c r="Z74" s="106" t="str">
        <f>IF(OR(ISBLANK(Term1_Early_Dismissal_4[[#This Row],[Start]]),ISBLANK(Term1_Early_Dismissal_4[[#This Row],[End]])),"",(Term1_Early_Dismissal_4[[#This Row],[End]]-Term1_Early_Dismissal_4[[#This Row],[Start]])*1440)</f>
        <v/>
      </c>
      <c r="AA74" s="106" t="str">
        <f>IF(ISBLANK(Term1_Early_Dismissal_4[[#This Row],[Activity]]),"",IF(_xlfn.XLOOKUP(Term1_Early_Dismissal_4[[#This Row],[Activity]],Types_of_Activity[Type of Activity],Types_of_Activity[Classification])=1,Term1_Early_Dismissal_4[[#This Row],[Elapsed]],0))</f>
        <v/>
      </c>
      <c r="AB74" s="106" t="str">
        <f>IF(ISBLANK(Term1_Early_Dismissal_4[[#This Row],[Activity]]),"",IF(_xlfn.XLOOKUP(Term1_Early_Dismissal_4[[#This Row],[Activity]],Types_of_Activity[Type of Activity],Types_of_Activity[Classification])=2,Term1_Early_Dismissal_4[[#This Row],[Elapsed]],0))</f>
        <v/>
      </c>
      <c r="AD74" s="136"/>
      <c r="AE74" s="136"/>
      <c r="AF74" s="103"/>
      <c r="AG74" s="106" t="str">
        <f>IF(OR(ISBLANK(Term1_Early_Dismissal_5[[#This Row],[Start]]),ISBLANK(Term1_Early_Dismissal_5[[#This Row],[End]])),"",(Term1_Early_Dismissal_5[[#This Row],[End]]-Term1_Early_Dismissal_5[[#This Row],[Start]])*1440)</f>
        <v/>
      </c>
      <c r="AH74" s="106" t="str">
        <f>IF(ISBLANK(Term1_Early_Dismissal_5[[#This Row],[Activity]]),"",IF(_xlfn.XLOOKUP(Term1_Early_Dismissal_5[[#This Row],[Activity]],Types_of_Activity[Type of Activity],Types_of_Activity[Classification])=1,Term1_Early_Dismissal_5[[#This Row],[Elapsed]],0))</f>
        <v/>
      </c>
      <c r="AI74" s="106" t="str">
        <f>IF(ISBLANK(Term1_Early_Dismissal_5[[#This Row],[Activity]]),"",IF(_xlfn.XLOOKUP(Term1_Early_Dismissal_5[[#This Row],[Activity]],Types_of_Activity[Type of Activity],Types_of_Activity[Classification])=2,Term1_Early_Dismissal_5[[#This Row],[Elapsed]],0))</f>
        <v/>
      </c>
      <c r="AK74" s="136"/>
      <c r="AL74" s="136"/>
      <c r="AM74" s="103"/>
      <c r="AN74" s="106" t="str">
        <f>IF(OR(ISBLANK(Term1_Early_Dismissal_6[[#This Row],[Start]]),ISBLANK(Term1_Early_Dismissal_6[[#This Row],[End]])),"",(Term1_Early_Dismissal_6[[#This Row],[End]]-Term1_Early_Dismissal_6[[#This Row],[Start]])*1440)</f>
        <v/>
      </c>
      <c r="AO74" s="106" t="str">
        <f>IF(ISBLANK(Term1_Early_Dismissal_6[[#This Row],[Activity]]),"",IF(_xlfn.XLOOKUP(Term1_Early_Dismissal_6[[#This Row],[Activity]],Types_of_Activity[Type of Activity],Types_of_Activity[Classification])=1,Term1_Early_Dismissal_6[[#This Row],[Elapsed]],0))</f>
        <v/>
      </c>
      <c r="AP74" s="106" t="str">
        <f>IF(ISBLANK(Term1_Early_Dismissal_6[[#This Row],[Activity]]),"",IF(_xlfn.XLOOKUP(Term1_Early_Dismissal_6[[#This Row],[Activity]],Types_of_Activity[Type of Activity],Types_of_Activity[Classification])=2,Term1_Early_Dismissal_6[[#This Row],[Elapsed]],0))</f>
        <v/>
      </c>
    </row>
    <row r="75" spans="2:42" x14ac:dyDescent="0.3">
      <c r="B75" s="136"/>
      <c r="C75" s="136"/>
      <c r="D75" s="103"/>
      <c r="E75" s="106" t="str">
        <f>IF(OR(ISBLANK(Term1_Early_Dismissal_1[[#This Row],[Start]]),ISBLANK(Term1_Early_Dismissal_1[[#This Row],[End]])),"",(Term1_Early_Dismissal_1[[#This Row],[End]]-Term1_Early_Dismissal_1[[#This Row],[Start]])*1440)</f>
        <v/>
      </c>
      <c r="F75" s="106" t="str">
        <f>IF(ISBLANK(Term1_Early_Dismissal_1[[#This Row],[Activity]]),"",IF(_xlfn.XLOOKUP(Term1_Early_Dismissal_1[[#This Row],[Activity]],Types_of_Activity[Type of Activity],Types_of_Activity[Classification])=1,Term1_Early_Dismissal_1[[#This Row],[Elapsed]],0))</f>
        <v/>
      </c>
      <c r="G75" s="106" t="str">
        <f>IF(ISBLANK(Term1_Early_Dismissal_1[[#This Row],[Activity]]),"",IF(_xlfn.XLOOKUP(Term1_Early_Dismissal_1[[#This Row],[Activity]],Types_of_Activity[Type of Activity],Types_of_Activity[Classification])=2,Term1_Early_Dismissal_1[[#This Row],[Elapsed]],0))</f>
        <v/>
      </c>
      <c r="H75"/>
      <c r="I75" s="136"/>
      <c r="J75" s="136"/>
      <c r="K75" s="103"/>
      <c r="L75" s="106" t="str">
        <f>IF(OR(ISBLANK(Term1_Early_Dismissal_2[[#This Row],[Start]]),ISBLANK(Term1_Early_Dismissal_2[[#This Row],[End]])),"",(Term1_Early_Dismissal_2[[#This Row],[End]]-Term1_Early_Dismissal_2[[#This Row],[Start]])*1440)</f>
        <v/>
      </c>
      <c r="M75" s="106" t="str">
        <f>IF(ISBLANK(Term1_Early_Dismissal_2[[#This Row],[Activity]]),"",IF(_xlfn.XLOOKUP(Term1_Early_Dismissal_2[[#This Row],[Activity]],Types_of_Activity[Type of Activity],Types_of_Activity[Classification])=1,Term1_Early_Dismissal_2[[#This Row],[Elapsed]],0))</f>
        <v/>
      </c>
      <c r="N75" s="106" t="str">
        <f>IF(ISBLANK(Term1_Early_Dismissal_2[[#This Row],[Activity]]),"",IF(_xlfn.XLOOKUP(Term1_Early_Dismissal_2[[#This Row],[Activity]],Types_of_Activity[Type of Activity],Types_of_Activity[Classification])=2,Term1_Early_Dismissal_2[[#This Row],[Elapsed]],0))</f>
        <v/>
      </c>
      <c r="O75"/>
      <c r="P75" s="136"/>
      <c r="Q75" s="136"/>
      <c r="R75" s="103"/>
      <c r="S75" s="106" t="str">
        <f>IF(OR(ISBLANK(Term1_Early_Dismissal_3[[#This Row],[Start]]),ISBLANK(Term1_Early_Dismissal_3[[#This Row],[End]])),"",(Term1_Early_Dismissal_3[[#This Row],[End]]-Term1_Early_Dismissal_3[[#This Row],[Start]])*1440)</f>
        <v/>
      </c>
      <c r="T75" s="106" t="str">
        <f>IF(ISBLANK(Term1_Early_Dismissal_3[[#This Row],[Activity]]),"",IF(_xlfn.XLOOKUP(Term1_Early_Dismissal_3[[#This Row],[Activity]],Types_of_Activity[Type of Activity],Types_of_Activity[Classification])=1,Term1_Early_Dismissal_3[[#This Row],[Elapsed]],0))</f>
        <v/>
      </c>
      <c r="U75" s="106" t="str">
        <f>IF(ISBLANK(Term1_Early_Dismissal_3[[#This Row],[Activity]]),"",IF(_xlfn.XLOOKUP(Term1_Early_Dismissal_3[[#This Row],[Activity]],Types_of_Activity[Type of Activity],Types_of_Activity[Classification])=2,Term1_Early_Dismissal_3[[#This Row],[Elapsed]],0))</f>
        <v/>
      </c>
      <c r="W75" s="136"/>
      <c r="X75" s="136"/>
      <c r="Y75" s="103"/>
      <c r="Z75" s="106" t="str">
        <f>IF(OR(ISBLANK(Term1_Early_Dismissal_4[[#This Row],[Start]]),ISBLANK(Term1_Early_Dismissal_4[[#This Row],[End]])),"",(Term1_Early_Dismissal_4[[#This Row],[End]]-Term1_Early_Dismissal_4[[#This Row],[Start]])*1440)</f>
        <v/>
      </c>
      <c r="AA75" s="106" t="str">
        <f>IF(ISBLANK(Term1_Early_Dismissal_4[[#This Row],[Activity]]),"",IF(_xlfn.XLOOKUP(Term1_Early_Dismissal_4[[#This Row],[Activity]],Types_of_Activity[Type of Activity],Types_of_Activity[Classification])=1,Term1_Early_Dismissal_4[[#This Row],[Elapsed]],0))</f>
        <v/>
      </c>
      <c r="AB75" s="106" t="str">
        <f>IF(ISBLANK(Term1_Early_Dismissal_4[[#This Row],[Activity]]),"",IF(_xlfn.XLOOKUP(Term1_Early_Dismissal_4[[#This Row],[Activity]],Types_of_Activity[Type of Activity],Types_of_Activity[Classification])=2,Term1_Early_Dismissal_4[[#This Row],[Elapsed]],0))</f>
        <v/>
      </c>
      <c r="AD75" s="136"/>
      <c r="AE75" s="136"/>
      <c r="AF75" s="103"/>
      <c r="AG75" s="106" t="str">
        <f>IF(OR(ISBLANK(Term1_Early_Dismissal_5[[#This Row],[Start]]),ISBLANK(Term1_Early_Dismissal_5[[#This Row],[End]])),"",(Term1_Early_Dismissal_5[[#This Row],[End]]-Term1_Early_Dismissal_5[[#This Row],[Start]])*1440)</f>
        <v/>
      </c>
      <c r="AH75" s="106" t="str">
        <f>IF(ISBLANK(Term1_Early_Dismissal_5[[#This Row],[Activity]]),"",IF(_xlfn.XLOOKUP(Term1_Early_Dismissal_5[[#This Row],[Activity]],Types_of_Activity[Type of Activity],Types_of_Activity[Classification])=1,Term1_Early_Dismissal_5[[#This Row],[Elapsed]],0))</f>
        <v/>
      </c>
      <c r="AI75" s="106" t="str">
        <f>IF(ISBLANK(Term1_Early_Dismissal_5[[#This Row],[Activity]]),"",IF(_xlfn.XLOOKUP(Term1_Early_Dismissal_5[[#This Row],[Activity]],Types_of_Activity[Type of Activity],Types_of_Activity[Classification])=2,Term1_Early_Dismissal_5[[#This Row],[Elapsed]],0))</f>
        <v/>
      </c>
      <c r="AK75" s="136"/>
      <c r="AL75" s="136"/>
      <c r="AM75" s="103"/>
      <c r="AN75" s="106" t="str">
        <f>IF(OR(ISBLANK(Term1_Early_Dismissal_6[[#This Row],[Start]]),ISBLANK(Term1_Early_Dismissal_6[[#This Row],[End]])),"",(Term1_Early_Dismissal_6[[#This Row],[End]]-Term1_Early_Dismissal_6[[#This Row],[Start]])*1440)</f>
        <v/>
      </c>
      <c r="AO75" s="106" t="str">
        <f>IF(ISBLANK(Term1_Early_Dismissal_6[[#This Row],[Activity]]),"",IF(_xlfn.XLOOKUP(Term1_Early_Dismissal_6[[#This Row],[Activity]],Types_of_Activity[Type of Activity],Types_of_Activity[Classification])=1,Term1_Early_Dismissal_6[[#This Row],[Elapsed]],0))</f>
        <v/>
      </c>
      <c r="AP75" s="106" t="str">
        <f>IF(ISBLANK(Term1_Early_Dismissal_6[[#This Row],[Activity]]),"",IF(_xlfn.XLOOKUP(Term1_Early_Dismissal_6[[#This Row],[Activity]],Types_of_Activity[Type of Activity],Types_of_Activity[Classification])=2,Term1_Early_Dismissal_6[[#This Row],[Elapsed]],0))</f>
        <v/>
      </c>
    </row>
    <row r="76" spans="2:42" x14ac:dyDescent="0.3">
      <c r="B76" s="136"/>
      <c r="C76" s="136"/>
      <c r="D76" s="103"/>
      <c r="E76" s="106" t="str">
        <f>IF(OR(ISBLANK(Term1_Early_Dismissal_1[[#This Row],[Start]]),ISBLANK(Term1_Early_Dismissal_1[[#This Row],[End]])),"",(Term1_Early_Dismissal_1[[#This Row],[End]]-Term1_Early_Dismissal_1[[#This Row],[Start]])*1440)</f>
        <v/>
      </c>
      <c r="F76" s="106" t="str">
        <f>IF(ISBLANK(Term1_Early_Dismissal_1[[#This Row],[Activity]]),"",IF(_xlfn.XLOOKUP(Term1_Early_Dismissal_1[[#This Row],[Activity]],Types_of_Activity[Type of Activity],Types_of_Activity[Classification])=1,Term1_Early_Dismissal_1[[#This Row],[Elapsed]],0))</f>
        <v/>
      </c>
      <c r="G76" s="106" t="str">
        <f>IF(ISBLANK(Term1_Early_Dismissal_1[[#This Row],[Activity]]),"",IF(_xlfn.XLOOKUP(Term1_Early_Dismissal_1[[#This Row],[Activity]],Types_of_Activity[Type of Activity],Types_of_Activity[Classification])=2,Term1_Early_Dismissal_1[[#This Row],[Elapsed]],0))</f>
        <v/>
      </c>
      <c r="H76"/>
      <c r="I76" s="136"/>
      <c r="J76" s="136"/>
      <c r="K76" s="103"/>
      <c r="L76" s="106" t="str">
        <f>IF(OR(ISBLANK(Term1_Early_Dismissal_2[[#This Row],[Start]]),ISBLANK(Term1_Early_Dismissal_2[[#This Row],[End]])),"",(Term1_Early_Dismissal_2[[#This Row],[End]]-Term1_Early_Dismissal_2[[#This Row],[Start]])*1440)</f>
        <v/>
      </c>
      <c r="M76" s="106" t="str">
        <f>IF(ISBLANK(Term1_Early_Dismissal_2[[#This Row],[Activity]]),"",IF(_xlfn.XLOOKUP(Term1_Early_Dismissal_2[[#This Row],[Activity]],Types_of_Activity[Type of Activity],Types_of_Activity[Classification])=1,Term1_Early_Dismissal_2[[#This Row],[Elapsed]],0))</f>
        <v/>
      </c>
      <c r="N76" s="106" t="str">
        <f>IF(ISBLANK(Term1_Early_Dismissal_2[[#This Row],[Activity]]),"",IF(_xlfn.XLOOKUP(Term1_Early_Dismissal_2[[#This Row],[Activity]],Types_of_Activity[Type of Activity],Types_of_Activity[Classification])=2,Term1_Early_Dismissal_2[[#This Row],[Elapsed]],0))</f>
        <v/>
      </c>
      <c r="O76"/>
      <c r="P76" s="136"/>
      <c r="Q76" s="136"/>
      <c r="R76" s="103"/>
      <c r="S76" s="106" t="str">
        <f>IF(OR(ISBLANK(Term1_Early_Dismissal_3[[#This Row],[Start]]),ISBLANK(Term1_Early_Dismissal_3[[#This Row],[End]])),"",(Term1_Early_Dismissal_3[[#This Row],[End]]-Term1_Early_Dismissal_3[[#This Row],[Start]])*1440)</f>
        <v/>
      </c>
      <c r="T76" s="106" t="str">
        <f>IF(ISBLANK(Term1_Early_Dismissal_3[[#This Row],[Activity]]),"",IF(_xlfn.XLOOKUP(Term1_Early_Dismissal_3[[#This Row],[Activity]],Types_of_Activity[Type of Activity],Types_of_Activity[Classification])=1,Term1_Early_Dismissal_3[[#This Row],[Elapsed]],0))</f>
        <v/>
      </c>
      <c r="U76" s="106" t="str">
        <f>IF(ISBLANK(Term1_Early_Dismissal_3[[#This Row],[Activity]]),"",IF(_xlfn.XLOOKUP(Term1_Early_Dismissal_3[[#This Row],[Activity]],Types_of_Activity[Type of Activity],Types_of_Activity[Classification])=2,Term1_Early_Dismissal_3[[#This Row],[Elapsed]],0))</f>
        <v/>
      </c>
      <c r="W76" s="136"/>
      <c r="X76" s="136"/>
      <c r="Y76" s="103"/>
      <c r="Z76" s="106" t="str">
        <f>IF(OR(ISBLANK(Term1_Early_Dismissal_4[[#This Row],[Start]]),ISBLANK(Term1_Early_Dismissal_4[[#This Row],[End]])),"",(Term1_Early_Dismissal_4[[#This Row],[End]]-Term1_Early_Dismissal_4[[#This Row],[Start]])*1440)</f>
        <v/>
      </c>
      <c r="AA76" s="106" t="str">
        <f>IF(ISBLANK(Term1_Early_Dismissal_4[[#This Row],[Activity]]),"",IF(_xlfn.XLOOKUP(Term1_Early_Dismissal_4[[#This Row],[Activity]],Types_of_Activity[Type of Activity],Types_of_Activity[Classification])=1,Term1_Early_Dismissal_4[[#This Row],[Elapsed]],0))</f>
        <v/>
      </c>
      <c r="AB76" s="106" t="str">
        <f>IF(ISBLANK(Term1_Early_Dismissal_4[[#This Row],[Activity]]),"",IF(_xlfn.XLOOKUP(Term1_Early_Dismissal_4[[#This Row],[Activity]],Types_of_Activity[Type of Activity],Types_of_Activity[Classification])=2,Term1_Early_Dismissal_4[[#This Row],[Elapsed]],0))</f>
        <v/>
      </c>
      <c r="AD76" s="136"/>
      <c r="AE76" s="136"/>
      <c r="AF76" s="103"/>
      <c r="AG76" s="106" t="str">
        <f>IF(OR(ISBLANK(Term1_Early_Dismissal_5[[#This Row],[Start]]),ISBLANK(Term1_Early_Dismissal_5[[#This Row],[End]])),"",(Term1_Early_Dismissal_5[[#This Row],[End]]-Term1_Early_Dismissal_5[[#This Row],[Start]])*1440)</f>
        <v/>
      </c>
      <c r="AH76" s="106" t="str">
        <f>IF(ISBLANK(Term1_Early_Dismissal_5[[#This Row],[Activity]]),"",IF(_xlfn.XLOOKUP(Term1_Early_Dismissal_5[[#This Row],[Activity]],Types_of_Activity[Type of Activity],Types_of_Activity[Classification])=1,Term1_Early_Dismissal_5[[#This Row],[Elapsed]],0))</f>
        <v/>
      </c>
      <c r="AI76" s="106" t="str">
        <f>IF(ISBLANK(Term1_Early_Dismissal_5[[#This Row],[Activity]]),"",IF(_xlfn.XLOOKUP(Term1_Early_Dismissal_5[[#This Row],[Activity]],Types_of_Activity[Type of Activity],Types_of_Activity[Classification])=2,Term1_Early_Dismissal_5[[#This Row],[Elapsed]],0))</f>
        <v/>
      </c>
      <c r="AK76" s="136"/>
      <c r="AL76" s="136"/>
      <c r="AM76" s="103"/>
      <c r="AN76" s="106" t="str">
        <f>IF(OR(ISBLANK(Term1_Early_Dismissal_6[[#This Row],[Start]]),ISBLANK(Term1_Early_Dismissal_6[[#This Row],[End]])),"",(Term1_Early_Dismissal_6[[#This Row],[End]]-Term1_Early_Dismissal_6[[#This Row],[Start]])*1440)</f>
        <v/>
      </c>
      <c r="AO76" s="106" t="str">
        <f>IF(ISBLANK(Term1_Early_Dismissal_6[[#This Row],[Activity]]),"",IF(_xlfn.XLOOKUP(Term1_Early_Dismissal_6[[#This Row],[Activity]],Types_of_Activity[Type of Activity],Types_of_Activity[Classification])=1,Term1_Early_Dismissal_6[[#This Row],[Elapsed]],0))</f>
        <v/>
      </c>
      <c r="AP76" s="106" t="str">
        <f>IF(ISBLANK(Term1_Early_Dismissal_6[[#This Row],[Activity]]),"",IF(_xlfn.XLOOKUP(Term1_Early_Dismissal_6[[#This Row],[Activity]],Types_of_Activity[Type of Activity],Types_of_Activity[Classification])=2,Term1_Early_Dismissal_6[[#This Row],[Elapsed]],0))</f>
        <v/>
      </c>
    </row>
    <row r="77" spans="2:42" x14ac:dyDescent="0.3">
      <c r="B77" s="136"/>
      <c r="C77" s="136"/>
      <c r="D77" s="103"/>
      <c r="E77" s="106" t="str">
        <f>IF(OR(ISBLANK(Term1_Early_Dismissal_1[[#This Row],[Start]]),ISBLANK(Term1_Early_Dismissal_1[[#This Row],[End]])),"",(Term1_Early_Dismissal_1[[#This Row],[End]]-Term1_Early_Dismissal_1[[#This Row],[Start]])*1440)</f>
        <v/>
      </c>
      <c r="F77" s="106" t="str">
        <f>IF(ISBLANK(Term1_Early_Dismissal_1[[#This Row],[Activity]]),"",IF(_xlfn.XLOOKUP(Term1_Early_Dismissal_1[[#This Row],[Activity]],Types_of_Activity[Type of Activity],Types_of_Activity[Classification])=1,Term1_Early_Dismissal_1[[#This Row],[Elapsed]],0))</f>
        <v/>
      </c>
      <c r="G77" s="106" t="str">
        <f>IF(ISBLANK(Term1_Early_Dismissal_1[[#This Row],[Activity]]),"",IF(_xlfn.XLOOKUP(Term1_Early_Dismissal_1[[#This Row],[Activity]],Types_of_Activity[Type of Activity],Types_of_Activity[Classification])=2,Term1_Early_Dismissal_1[[#This Row],[Elapsed]],0))</f>
        <v/>
      </c>
      <c r="H77"/>
      <c r="I77" s="136"/>
      <c r="J77" s="136"/>
      <c r="K77" s="103"/>
      <c r="L77" s="106" t="str">
        <f>IF(OR(ISBLANK(Term1_Early_Dismissal_2[[#This Row],[Start]]),ISBLANK(Term1_Early_Dismissal_2[[#This Row],[End]])),"",(Term1_Early_Dismissal_2[[#This Row],[End]]-Term1_Early_Dismissal_2[[#This Row],[Start]])*1440)</f>
        <v/>
      </c>
      <c r="M77" s="106" t="str">
        <f>IF(ISBLANK(Term1_Early_Dismissal_2[[#This Row],[Activity]]),"",IF(_xlfn.XLOOKUP(Term1_Early_Dismissal_2[[#This Row],[Activity]],Types_of_Activity[Type of Activity],Types_of_Activity[Classification])=1,Term1_Early_Dismissal_2[[#This Row],[Elapsed]],0))</f>
        <v/>
      </c>
      <c r="N77" s="106" t="str">
        <f>IF(ISBLANK(Term1_Early_Dismissal_2[[#This Row],[Activity]]),"",IF(_xlfn.XLOOKUP(Term1_Early_Dismissal_2[[#This Row],[Activity]],Types_of_Activity[Type of Activity],Types_of_Activity[Classification])=2,Term1_Early_Dismissal_2[[#This Row],[Elapsed]],0))</f>
        <v/>
      </c>
      <c r="O77"/>
      <c r="P77" s="136"/>
      <c r="Q77" s="136"/>
      <c r="R77" s="103"/>
      <c r="S77" s="106" t="str">
        <f>IF(OR(ISBLANK(Term1_Early_Dismissal_3[[#This Row],[Start]]),ISBLANK(Term1_Early_Dismissal_3[[#This Row],[End]])),"",(Term1_Early_Dismissal_3[[#This Row],[End]]-Term1_Early_Dismissal_3[[#This Row],[Start]])*1440)</f>
        <v/>
      </c>
      <c r="T77" s="106" t="str">
        <f>IF(ISBLANK(Term1_Early_Dismissal_3[[#This Row],[Activity]]),"",IF(_xlfn.XLOOKUP(Term1_Early_Dismissal_3[[#This Row],[Activity]],Types_of_Activity[Type of Activity],Types_of_Activity[Classification])=1,Term1_Early_Dismissal_3[[#This Row],[Elapsed]],0))</f>
        <v/>
      </c>
      <c r="U77" s="106" t="str">
        <f>IF(ISBLANK(Term1_Early_Dismissal_3[[#This Row],[Activity]]),"",IF(_xlfn.XLOOKUP(Term1_Early_Dismissal_3[[#This Row],[Activity]],Types_of_Activity[Type of Activity],Types_of_Activity[Classification])=2,Term1_Early_Dismissal_3[[#This Row],[Elapsed]],0))</f>
        <v/>
      </c>
      <c r="W77" s="136"/>
      <c r="X77" s="136"/>
      <c r="Y77" s="103"/>
      <c r="Z77" s="106" t="str">
        <f>IF(OR(ISBLANK(Term1_Early_Dismissal_4[[#This Row],[Start]]),ISBLANK(Term1_Early_Dismissal_4[[#This Row],[End]])),"",(Term1_Early_Dismissal_4[[#This Row],[End]]-Term1_Early_Dismissal_4[[#This Row],[Start]])*1440)</f>
        <v/>
      </c>
      <c r="AA77" s="106" t="str">
        <f>IF(ISBLANK(Term1_Early_Dismissal_4[[#This Row],[Activity]]),"",IF(_xlfn.XLOOKUP(Term1_Early_Dismissal_4[[#This Row],[Activity]],Types_of_Activity[Type of Activity],Types_of_Activity[Classification])=1,Term1_Early_Dismissal_4[[#This Row],[Elapsed]],0))</f>
        <v/>
      </c>
      <c r="AB77" s="106" t="str">
        <f>IF(ISBLANK(Term1_Early_Dismissal_4[[#This Row],[Activity]]),"",IF(_xlfn.XLOOKUP(Term1_Early_Dismissal_4[[#This Row],[Activity]],Types_of_Activity[Type of Activity],Types_of_Activity[Classification])=2,Term1_Early_Dismissal_4[[#This Row],[Elapsed]],0))</f>
        <v/>
      </c>
      <c r="AD77" s="136"/>
      <c r="AE77" s="136"/>
      <c r="AF77" s="103"/>
      <c r="AG77" s="106" t="str">
        <f>IF(OR(ISBLANK(Term1_Early_Dismissal_5[[#This Row],[Start]]),ISBLANK(Term1_Early_Dismissal_5[[#This Row],[End]])),"",(Term1_Early_Dismissal_5[[#This Row],[End]]-Term1_Early_Dismissal_5[[#This Row],[Start]])*1440)</f>
        <v/>
      </c>
      <c r="AH77" s="106" t="str">
        <f>IF(ISBLANK(Term1_Early_Dismissal_5[[#This Row],[Activity]]),"",IF(_xlfn.XLOOKUP(Term1_Early_Dismissal_5[[#This Row],[Activity]],Types_of_Activity[Type of Activity],Types_of_Activity[Classification])=1,Term1_Early_Dismissal_5[[#This Row],[Elapsed]],0))</f>
        <v/>
      </c>
      <c r="AI77" s="106" t="str">
        <f>IF(ISBLANK(Term1_Early_Dismissal_5[[#This Row],[Activity]]),"",IF(_xlfn.XLOOKUP(Term1_Early_Dismissal_5[[#This Row],[Activity]],Types_of_Activity[Type of Activity],Types_of_Activity[Classification])=2,Term1_Early_Dismissal_5[[#This Row],[Elapsed]],0))</f>
        <v/>
      </c>
      <c r="AK77" s="136"/>
      <c r="AL77" s="136"/>
      <c r="AM77" s="103"/>
      <c r="AN77" s="106" t="str">
        <f>IF(OR(ISBLANK(Term1_Early_Dismissal_6[[#This Row],[Start]]),ISBLANK(Term1_Early_Dismissal_6[[#This Row],[End]])),"",(Term1_Early_Dismissal_6[[#This Row],[End]]-Term1_Early_Dismissal_6[[#This Row],[Start]])*1440)</f>
        <v/>
      </c>
      <c r="AO77" s="106" t="str">
        <f>IF(ISBLANK(Term1_Early_Dismissal_6[[#This Row],[Activity]]),"",IF(_xlfn.XLOOKUP(Term1_Early_Dismissal_6[[#This Row],[Activity]],Types_of_Activity[Type of Activity],Types_of_Activity[Classification])=1,Term1_Early_Dismissal_6[[#This Row],[Elapsed]],0))</f>
        <v/>
      </c>
      <c r="AP77" s="106" t="str">
        <f>IF(ISBLANK(Term1_Early_Dismissal_6[[#This Row],[Activity]]),"",IF(_xlfn.XLOOKUP(Term1_Early_Dismissal_6[[#This Row],[Activity]],Types_of_Activity[Type of Activity],Types_of_Activity[Classification])=2,Term1_Early_Dismissal_6[[#This Row],[Elapsed]],0))</f>
        <v/>
      </c>
    </row>
    <row r="78" spans="2:42" x14ac:dyDescent="0.3">
      <c r="B78" s="136"/>
      <c r="C78" s="136"/>
      <c r="D78" s="103"/>
      <c r="E78" s="106" t="str">
        <f>IF(OR(ISBLANK(Term1_Early_Dismissal_1[[#This Row],[Start]]),ISBLANK(Term1_Early_Dismissal_1[[#This Row],[End]])),"",(Term1_Early_Dismissal_1[[#This Row],[End]]-Term1_Early_Dismissal_1[[#This Row],[Start]])*1440)</f>
        <v/>
      </c>
      <c r="F78" s="106" t="str">
        <f>IF(ISBLANK(Term1_Early_Dismissal_1[[#This Row],[Activity]]),"",IF(_xlfn.XLOOKUP(Term1_Early_Dismissal_1[[#This Row],[Activity]],Types_of_Activity[Type of Activity],Types_of_Activity[Classification])=1,Term1_Early_Dismissal_1[[#This Row],[Elapsed]],0))</f>
        <v/>
      </c>
      <c r="G78" s="106" t="str">
        <f>IF(ISBLANK(Term1_Early_Dismissal_1[[#This Row],[Activity]]),"",IF(_xlfn.XLOOKUP(Term1_Early_Dismissal_1[[#This Row],[Activity]],Types_of_Activity[Type of Activity],Types_of_Activity[Classification])=2,Term1_Early_Dismissal_1[[#This Row],[Elapsed]],0))</f>
        <v/>
      </c>
      <c r="H78"/>
      <c r="I78" s="136"/>
      <c r="J78" s="136"/>
      <c r="K78" s="103"/>
      <c r="L78" s="106" t="str">
        <f>IF(OR(ISBLANK(Term1_Early_Dismissal_2[[#This Row],[Start]]),ISBLANK(Term1_Early_Dismissal_2[[#This Row],[End]])),"",(Term1_Early_Dismissal_2[[#This Row],[End]]-Term1_Early_Dismissal_2[[#This Row],[Start]])*1440)</f>
        <v/>
      </c>
      <c r="M78" s="106" t="str">
        <f>IF(ISBLANK(Term1_Early_Dismissal_2[[#This Row],[Activity]]),"",IF(_xlfn.XLOOKUP(Term1_Early_Dismissal_2[[#This Row],[Activity]],Types_of_Activity[Type of Activity],Types_of_Activity[Classification])=1,Term1_Early_Dismissal_2[[#This Row],[Elapsed]],0))</f>
        <v/>
      </c>
      <c r="N78" s="106" t="str">
        <f>IF(ISBLANK(Term1_Early_Dismissal_2[[#This Row],[Activity]]),"",IF(_xlfn.XLOOKUP(Term1_Early_Dismissal_2[[#This Row],[Activity]],Types_of_Activity[Type of Activity],Types_of_Activity[Classification])=2,Term1_Early_Dismissal_2[[#This Row],[Elapsed]],0))</f>
        <v/>
      </c>
      <c r="O78"/>
      <c r="P78" s="136"/>
      <c r="Q78" s="136"/>
      <c r="R78" s="103"/>
      <c r="S78" s="106" t="str">
        <f>IF(OR(ISBLANK(Term1_Early_Dismissal_3[[#This Row],[Start]]),ISBLANK(Term1_Early_Dismissal_3[[#This Row],[End]])),"",(Term1_Early_Dismissal_3[[#This Row],[End]]-Term1_Early_Dismissal_3[[#This Row],[Start]])*1440)</f>
        <v/>
      </c>
      <c r="T78" s="106" t="str">
        <f>IF(ISBLANK(Term1_Early_Dismissal_3[[#This Row],[Activity]]),"",IF(_xlfn.XLOOKUP(Term1_Early_Dismissal_3[[#This Row],[Activity]],Types_of_Activity[Type of Activity],Types_of_Activity[Classification])=1,Term1_Early_Dismissal_3[[#This Row],[Elapsed]],0))</f>
        <v/>
      </c>
      <c r="U78" s="106" t="str">
        <f>IF(ISBLANK(Term1_Early_Dismissal_3[[#This Row],[Activity]]),"",IF(_xlfn.XLOOKUP(Term1_Early_Dismissal_3[[#This Row],[Activity]],Types_of_Activity[Type of Activity],Types_of_Activity[Classification])=2,Term1_Early_Dismissal_3[[#This Row],[Elapsed]],0))</f>
        <v/>
      </c>
      <c r="W78" s="136"/>
      <c r="X78" s="136"/>
      <c r="Y78" s="103"/>
      <c r="Z78" s="106" t="str">
        <f>IF(OR(ISBLANK(Term1_Early_Dismissal_4[[#This Row],[Start]]),ISBLANK(Term1_Early_Dismissal_4[[#This Row],[End]])),"",(Term1_Early_Dismissal_4[[#This Row],[End]]-Term1_Early_Dismissal_4[[#This Row],[Start]])*1440)</f>
        <v/>
      </c>
      <c r="AA78" s="106" t="str">
        <f>IF(ISBLANK(Term1_Early_Dismissal_4[[#This Row],[Activity]]),"",IF(_xlfn.XLOOKUP(Term1_Early_Dismissal_4[[#This Row],[Activity]],Types_of_Activity[Type of Activity],Types_of_Activity[Classification])=1,Term1_Early_Dismissal_4[[#This Row],[Elapsed]],0))</f>
        <v/>
      </c>
      <c r="AB78" s="106" t="str">
        <f>IF(ISBLANK(Term1_Early_Dismissal_4[[#This Row],[Activity]]),"",IF(_xlfn.XLOOKUP(Term1_Early_Dismissal_4[[#This Row],[Activity]],Types_of_Activity[Type of Activity],Types_of_Activity[Classification])=2,Term1_Early_Dismissal_4[[#This Row],[Elapsed]],0))</f>
        <v/>
      </c>
      <c r="AD78" s="136"/>
      <c r="AE78" s="136"/>
      <c r="AF78" s="103"/>
      <c r="AG78" s="106" t="str">
        <f>IF(OR(ISBLANK(Term1_Early_Dismissal_5[[#This Row],[Start]]),ISBLANK(Term1_Early_Dismissal_5[[#This Row],[End]])),"",(Term1_Early_Dismissal_5[[#This Row],[End]]-Term1_Early_Dismissal_5[[#This Row],[Start]])*1440)</f>
        <v/>
      </c>
      <c r="AH78" s="106" t="str">
        <f>IF(ISBLANK(Term1_Early_Dismissal_5[[#This Row],[Activity]]),"",IF(_xlfn.XLOOKUP(Term1_Early_Dismissal_5[[#This Row],[Activity]],Types_of_Activity[Type of Activity],Types_of_Activity[Classification])=1,Term1_Early_Dismissal_5[[#This Row],[Elapsed]],0))</f>
        <v/>
      </c>
      <c r="AI78" s="106" t="str">
        <f>IF(ISBLANK(Term1_Early_Dismissal_5[[#This Row],[Activity]]),"",IF(_xlfn.XLOOKUP(Term1_Early_Dismissal_5[[#This Row],[Activity]],Types_of_Activity[Type of Activity],Types_of_Activity[Classification])=2,Term1_Early_Dismissal_5[[#This Row],[Elapsed]],0))</f>
        <v/>
      </c>
      <c r="AK78" s="136"/>
      <c r="AL78" s="136"/>
      <c r="AM78" s="103"/>
      <c r="AN78" s="106" t="str">
        <f>IF(OR(ISBLANK(Term1_Early_Dismissal_6[[#This Row],[Start]]),ISBLANK(Term1_Early_Dismissal_6[[#This Row],[End]])),"",(Term1_Early_Dismissal_6[[#This Row],[End]]-Term1_Early_Dismissal_6[[#This Row],[Start]])*1440)</f>
        <v/>
      </c>
      <c r="AO78" s="106" t="str">
        <f>IF(ISBLANK(Term1_Early_Dismissal_6[[#This Row],[Activity]]),"",IF(_xlfn.XLOOKUP(Term1_Early_Dismissal_6[[#This Row],[Activity]],Types_of_Activity[Type of Activity],Types_of_Activity[Classification])=1,Term1_Early_Dismissal_6[[#This Row],[Elapsed]],0))</f>
        <v/>
      </c>
      <c r="AP78" s="106" t="str">
        <f>IF(ISBLANK(Term1_Early_Dismissal_6[[#This Row],[Activity]]),"",IF(_xlfn.XLOOKUP(Term1_Early_Dismissal_6[[#This Row],[Activity]],Types_of_Activity[Type of Activity],Types_of_Activity[Classification])=2,Term1_Early_Dismissal_6[[#This Row],[Elapsed]],0))</f>
        <v/>
      </c>
    </row>
    <row r="79" spans="2:42" x14ac:dyDescent="0.3">
      <c r="B79" s="136"/>
      <c r="C79" s="136"/>
      <c r="D79" s="103"/>
      <c r="E79" s="106" t="str">
        <f>IF(OR(ISBLANK(Term1_Early_Dismissal_1[[#This Row],[Start]]),ISBLANK(Term1_Early_Dismissal_1[[#This Row],[End]])),"",(Term1_Early_Dismissal_1[[#This Row],[End]]-Term1_Early_Dismissal_1[[#This Row],[Start]])*1440)</f>
        <v/>
      </c>
      <c r="F79" s="106" t="str">
        <f>IF(ISBLANK(Term1_Early_Dismissal_1[[#This Row],[Activity]]),"",IF(_xlfn.XLOOKUP(Term1_Early_Dismissal_1[[#This Row],[Activity]],Types_of_Activity[Type of Activity],Types_of_Activity[Classification])=1,Term1_Early_Dismissal_1[[#This Row],[Elapsed]],0))</f>
        <v/>
      </c>
      <c r="G79" s="106" t="str">
        <f>IF(ISBLANK(Term1_Early_Dismissal_1[[#This Row],[Activity]]),"",IF(_xlfn.XLOOKUP(Term1_Early_Dismissal_1[[#This Row],[Activity]],Types_of_Activity[Type of Activity],Types_of_Activity[Classification])=2,Term1_Early_Dismissal_1[[#This Row],[Elapsed]],0))</f>
        <v/>
      </c>
      <c r="H79"/>
      <c r="I79" s="136"/>
      <c r="J79" s="136"/>
      <c r="K79" s="103"/>
      <c r="L79" s="106" t="str">
        <f>IF(OR(ISBLANK(Term1_Early_Dismissal_2[[#This Row],[Start]]),ISBLANK(Term1_Early_Dismissal_2[[#This Row],[End]])),"",(Term1_Early_Dismissal_2[[#This Row],[End]]-Term1_Early_Dismissal_2[[#This Row],[Start]])*1440)</f>
        <v/>
      </c>
      <c r="M79" s="106" t="str">
        <f>IF(ISBLANK(Term1_Early_Dismissal_2[[#This Row],[Activity]]),"",IF(_xlfn.XLOOKUP(Term1_Early_Dismissal_2[[#This Row],[Activity]],Types_of_Activity[Type of Activity],Types_of_Activity[Classification])=1,Term1_Early_Dismissal_2[[#This Row],[Elapsed]],0))</f>
        <v/>
      </c>
      <c r="N79" s="106" t="str">
        <f>IF(ISBLANK(Term1_Early_Dismissal_2[[#This Row],[Activity]]),"",IF(_xlfn.XLOOKUP(Term1_Early_Dismissal_2[[#This Row],[Activity]],Types_of_Activity[Type of Activity],Types_of_Activity[Classification])=2,Term1_Early_Dismissal_2[[#This Row],[Elapsed]],0))</f>
        <v/>
      </c>
      <c r="O79"/>
      <c r="P79" s="136"/>
      <c r="Q79" s="136"/>
      <c r="R79" s="103"/>
      <c r="S79" s="106" t="str">
        <f>IF(OR(ISBLANK(Term1_Early_Dismissal_3[[#This Row],[Start]]),ISBLANK(Term1_Early_Dismissal_3[[#This Row],[End]])),"",(Term1_Early_Dismissal_3[[#This Row],[End]]-Term1_Early_Dismissal_3[[#This Row],[Start]])*1440)</f>
        <v/>
      </c>
      <c r="T79" s="106" t="str">
        <f>IF(ISBLANK(Term1_Early_Dismissal_3[[#This Row],[Activity]]),"",IF(_xlfn.XLOOKUP(Term1_Early_Dismissal_3[[#This Row],[Activity]],Types_of_Activity[Type of Activity],Types_of_Activity[Classification])=1,Term1_Early_Dismissal_3[[#This Row],[Elapsed]],0))</f>
        <v/>
      </c>
      <c r="U79" s="106" t="str">
        <f>IF(ISBLANK(Term1_Early_Dismissal_3[[#This Row],[Activity]]),"",IF(_xlfn.XLOOKUP(Term1_Early_Dismissal_3[[#This Row],[Activity]],Types_of_Activity[Type of Activity],Types_of_Activity[Classification])=2,Term1_Early_Dismissal_3[[#This Row],[Elapsed]],0))</f>
        <v/>
      </c>
      <c r="W79" s="136"/>
      <c r="X79" s="136"/>
      <c r="Y79" s="103"/>
      <c r="Z79" s="106" t="str">
        <f>IF(OR(ISBLANK(Term1_Early_Dismissal_4[[#This Row],[Start]]),ISBLANK(Term1_Early_Dismissal_4[[#This Row],[End]])),"",(Term1_Early_Dismissal_4[[#This Row],[End]]-Term1_Early_Dismissal_4[[#This Row],[Start]])*1440)</f>
        <v/>
      </c>
      <c r="AA79" s="106" t="str">
        <f>IF(ISBLANK(Term1_Early_Dismissal_4[[#This Row],[Activity]]),"",IF(_xlfn.XLOOKUP(Term1_Early_Dismissal_4[[#This Row],[Activity]],Types_of_Activity[Type of Activity],Types_of_Activity[Classification])=1,Term1_Early_Dismissal_4[[#This Row],[Elapsed]],0))</f>
        <v/>
      </c>
      <c r="AB79" s="106" t="str">
        <f>IF(ISBLANK(Term1_Early_Dismissal_4[[#This Row],[Activity]]),"",IF(_xlfn.XLOOKUP(Term1_Early_Dismissal_4[[#This Row],[Activity]],Types_of_Activity[Type of Activity],Types_of_Activity[Classification])=2,Term1_Early_Dismissal_4[[#This Row],[Elapsed]],0))</f>
        <v/>
      </c>
      <c r="AD79" s="136"/>
      <c r="AE79" s="136"/>
      <c r="AF79" s="103"/>
      <c r="AG79" s="106" t="str">
        <f>IF(OR(ISBLANK(Term1_Early_Dismissal_5[[#This Row],[Start]]),ISBLANK(Term1_Early_Dismissal_5[[#This Row],[End]])),"",(Term1_Early_Dismissal_5[[#This Row],[End]]-Term1_Early_Dismissal_5[[#This Row],[Start]])*1440)</f>
        <v/>
      </c>
      <c r="AH79" s="106" t="str">
        <f>IF(ISBLANK(Term1_Early_Dismissal_5[[#This Row],[Activity]]),"",IF(_xlfn.XLOOKUP(Term1_Early_Dismissal_5[[#This Row],[Activity]],Types_of_Activity[Type of Activity],Types_of_Activity[Classification])=1,Term1_Early_Dismissal_5[[#This Row],[Elapsed]],0))</f>
        <v/>
      </c>
      <c r="AI79" s="106" t="str">
        <f>IF(ISBLANK(Term1_Early_Dismissal_5[[#This Row],[Activity]]),"",IF(_xlfn.XLOOKUP(Term1_Early_Dismissal_5[[#This Row],[Activity]],Types_of_Activity[Type of Activity],Types_of_Activity[Classification])=2,Term1_Early_Dismissal_5[[#This Row],[Elapsed]],0))</f>
        <v/>
      </c>
      <c r="AK79" s="136"/>
      <c r="AL79" s="136"/>
      <c r="AM79" s="103"/>
      <c r="AN79" s="106" t="str">
        <f>IF(OR(ISBLANK(Term1_Early_Dismissal_6[[#This Row],[Start]]),ISBLANK(Term1_Early_Dismissal_6[[#This Row],[End]])),"",(Term1_Early_Dismissal_6[[#This Row],[End]]-Term1_Early_Dismissal_6[[#This Row],[Start]])*1440)</f>
        <v/>
      </c>
      <c r="AO79" s="106" t="str">
        <f>IF(ISBLANK(Term1_Early_Dismissal_6[[#This Row],[Activity]]),"",IF(_xlfn.XLOOKUP(Term1_Early_Dismissal_6[[#This Row],[Activity]],Types_of_Activity[Type of Activity],Types_of_Activity[Classification])=1,Term1_Early_Dismissal_6[[#This Row],[Elapsed]],0))</f>
        <v/>
      </c>
      <c r="AP79" s="106" t="str">
        <f>IF(ISBLANK(Term1_Early_Dismissal_6[[#This Row],[Activity]]),"",IF(_xlfn.XLOOKUP(Term1_Early_Dismissal_6[[#This Row],[Activity]],Types_of_Activity[Type of Activity],Types_of_Activity[Classification])=2,Term1_Early_Dismissal_6[[#This Row],[Elapsed]],0))</f>
        <v/>
      </c>
    </row>
    <row r="80" spans="2:42" x14ac:dyDescent="0.3">
      <c r="B80" s="136"/>
      <c r="C80" s="136"/>
      <c r="D80" s="103"/>
      <c r="E80" s="106" t="str">
        <f>IF(OR(ISBLANK(Term1_Early_Dismissal_1[[#This Row],[Start]]),ISBLANK(Term1_Early_Dismissal_1[[#This Row],[End]])),"",(Term1_Early_Dismissal_1[[#This Row],[End]]-Term1_Early_Dismissal_1[[#This Row],[Start]])*1440)</f>
        <v/>
      </c>
      <c r="F80" s="106" t="str">
        <f>IF(ISBLANK(Term1_Early_Dismissal_1[[#This Row],[Activity]]),"",IF(_xlfn.XLOOKUP(Term1_Early_Dismissal_1[[#This Row],[Activity]],Types_of_Activity[Type of Activity],Types_of_Activity[Classification])=1,Term1_Early_Dismissal_1[[#This Row],[Elapsed]],0))</f>
        <v/>
      </c>
      <c r="G80" s="106" t="str">
        <f>IF(ISBLANK(Term1_Early_Dismissal_1[[#This Row],[Activity]]),"",IF(_xlfn.XLOOKUP(Term1_Early_Dismissal_1[[#This Row],[Activity]],Types_of_Activity[Type of Activity],Types_of_Activity[Classification])=2,Term1_Early_Dismissal_1[[#This Row],[Elapsed]],0))</f>
        <v/>
      </c>
      <c r="H80"/>
      <c r="I80" s="136"/>
      <c r="J80" s="136"/>
      <c r="K80" s="103"/>
      <c r="L80" s="106" t="str">
        <f>IF(OR(ISBLANK(Term1_Early_Dismissal_2[[#This Row],[Start]]),ISBLANK(Term1_Early_Dismissal_2[[#This Row],[End]])),"",(Term1_Early_Dismissal_2[[#This Row],[End]]-Term1_Early_Dismissal_2[[#This Row],[Start]])*1440)</f>
        <v/>
      </c>
      <c r="M80" s="106" t="str">
        <f>IF(ISBLANK(Term1_Early_Dismissal_2[[#This Row],[Activity]]),"",IF(_xlfn.XLOOKUP(Term1_Early_Dismissal_2[[#This Row],[Activity]],Types_of_Activity[Type of Activity],Types_of_Activity[Classification])=1,Term1_Early_Dismissal_2[[#This Row],[Elapsed]],0))</f>
        <v/>
      </c>
      <c r="N80" s="106" t="str">
        <f>IF(ISBLANK(Term1_Early_Dismissal_2[[#This Row],[Activity]]),"",IF(_xlfn.XLOOKUP(Term1_Early_Dismissal_2[[#This Row],[Activity]],Types_of_Activity[Type of Activity],Types_of_Activity[Classification])=2,Term1_Early_Dismissal_2[[#This Row],[Elapsed]],0))</f>
        <v/>
      </c>
      <c r="O80"/>
      <c r="P80" s="136"/>
      <c r="Q80" s="136"/>
      <c r="R80" s="103"/>
      <c r="S80" s="106" t="str">
        <f>IF(OR(ISBLANK(Term1_Early_Dismissal_3[[#This Row],[Start]]),ISBLANK(Term1_Early_Dismissal_3[[#This Row],[End]])),"",(Term1_Early_Dismissal_3[[#This Row],[End]]-Term1_Early_Dismissal_3[[#This Row],[Start]])*1440)</f>
        <v/>
      </c>
      <c r="T80" s="106" t="str">
        <f>IF(ISBLANK(Term1_Early_Dismissal_3[[#This Row],[Activity]]),"",IF(_xlfn.XLOOKUP(Term1_Early_Dismissal_3[[#This Row],[Activity]],Types_of_Activity[Type of Activity],Types_of_Activity[Classification])=1,Term1_Early_Dismissal_3[[#This Row],[Elapsed]],0))</f>
        <v/>
      </c>
      <c r="U80" s="106" t="str">
        <f>IF(ISBLANK(Term1_Early_Dismissal_3[[#This Row],[Activity]]),"",IF(_xlfn.XLOOKUP(Term1_Early_Dismissal_3[[#This Row],[Activity]],Types_of_Activity[Type of Activity],Types_of_Activity[Classification])=2,Term1_Early_Dismissal_3[[#This Row],[Elapsed]],0))</f>
        <v/>
      </c>
      <c r="W80" s="136"/>
      <c r="X80" s="136"/>
      <c r="Y80" s="103"/>
      <c r="Z80" s="106" t="str">
        <f>IF(OR(ISBLANK(Term1_Early_Dismissal_4[[#This Row],[Start]]),ISBLANK(Term1_Early_Dismissal_4[[#This Row],[End]])),"",(Term1_Early_Dismissal_4[[#This Row],[End]]-Term1_Early_Dismissal_4[[#This Row],[Start]])*1440)</f>
        <v/>
      </c>
      <c r="AA80" s="106" t="str">
        <f>IF(ISBLANK(Term1_Early_Dismissal_4[[#This Row],[Activity]]),"",IF(_xlfn.XLOOKUP(Term1_Early_Dismissal_4[[#This Row],[Activity]],Types_of_Activity[Type of Activity],Types_of_Activity[Classification])=1,Term1_Early_Dismissal_4[[#This Row],[Elapsed]],0))</f>
        <v/>
      </c>
      <c r="AB80" s="106" t="str">
        <f>IF(ISBLANK(Term1_Early_Dismissal_4[[#This Row],[Activity]]),"",IF(_xlfn.XLOOKUP(Term1_Early_Dismissal_4[[#This Row],[Activity]],Types_of_Activity[Type of Activity],Types_of_Activity[Classification])=2,Term1_Early_Dismissal_4[[#This Row],[Elapsed]],0))</f>
        <v/>
      </c>
      <c r="AD80" s="136"/>
      <c r="AE80" s="136"/>
      <c r="AF80" s="103"/>
      <c r="AG80" s="106" t="str">
        <f>IF(OR(ISBLANK(Term1_Early_Dismissal_5[[#This Row],[Start]]),ISBLANK(Term1_Early_Dismissal_5[[#This Row],[End]])),"",(Term1_Early_Dismissal_5[[#This Row],[End]]-Term1_Early_Dismissal_5[[#This Row],[Start]])*1440)</f>
        <v/>
      </c>
      <c r="AH80" s="106" t="str">
        <f>IF(ISBLANK(Term1_Early_Dismissal_5[[#This Row],[Activity]]),"",IF(_xlfn.XLOOKUP(Term1_Early_Dismissal_5[[#This Row],[Activity]],Types_of_Activity[Type of Activity],Types_of_Activity[Classification])=1,Term1_Early_Dismissal_5[[#This Row],[Elapsed]],0))</f>
        <v/>
      </c>
      <c r="AI80" s="106" t="str">
        <f>IF(ISBLANK(Term1_Early_Dismissal_5[[#This Row],[Activity]]),"",IF(_xlfn.XLOOKUP(Term1_Early_Dismissal_5[[#This Row],[Activity]],Types_of_Activity[Type of Activity],Types_of_Activity[Classification])=2,Term1_Early_Dismissal_5[[#This Row],[Elapsed]],0))</f>
        <v/>
      </c>
      <c r="AK80" s="136"/>
      <c r="AL80" s="136"/>
      <c r="AM80" s="103"/>
      <c r="AN80" s="106" t="str">
        <f>IF(OR(ISBLANK(Term1_Early_Dismissal_6[[#This Row],[Start]]),ISBLANK(Term1_Early_Dismissal_6[[#This Row],[End]])),"",(Term1_Early_Dismissal_6[[#This Row],[End]]-Term1_Early_Dismissal_6[[#This Row],[Start]])*1440)</f>
        <v/>
      </c>
      <c r="AO80" s="106" t="str">
        <f>IF(ISBLANK(Term1_Early_Dismissal_6[[#This Row],[Activity]]),"",IF(_xlfn.XLOOKUP(Term1_Early_Dismissal_6[[#This Row],[Activity]],Types_of_Activity[Type of Activity],Types_of_Activity[Classification])=1,Term1_Early_Dismissal_6[[#This Row],[Elapsed]],0))</f>
        <v/>
      </c>
      <c r="AP80" s="106" t="str">
        <f>IF(ISBLANK(Term1_Early_Dismissal_6[[#This Row],[Activity]]),"",IF(_xlfn.XLOOKUP(Term1_Early_Dismissal_6[[#This Row],[Activity]],Types_of_Activity[Type of Activity],Types_of_Activity[Classification])=2,Term1_Early_Dismissal_6[[#This Row],[Elapsed]],0))</f>
        <v/>
      </c>
    </row>
    <row r="81" spans="2:42" x14ac:dyDescent="0.3">
      <c r="B81" s="136"/>
      <c r="C81" s="136"/>
      <c r="D81" s="103"/>
      <c r="E81" s="106" t="str">
        <f>IF(OR(ISBLANK(Term1_Early_Dismissal_1[[#This Row],[Start]]),ISBLANK(Term1_Early_Dismissal_1[[#This Row],[End]])),"",(Term1_Early_Dismissal_1[[#This Row],[End]]-Term1_Early_Dismissal_1[[#This Row],[Start]])*1440)</f>
        <v/>
      </c>
      <c r="F81" s="106" t="str">
        <f>IF(ISBLANK(Term1_Early_Dismissal_1[[#This Row],[Activity]]),"",IF(_xlfn.XLOOKUP(Term1_Early_Dismissal_1[[#This Row],[Activity]],Types_of_Activity[Type of Activity],Types_of_Activity[Classification])=1,Term1_Early_Dismissal_1[[#This Row],[Elapsed]],0))</f>
        <v/>
      </c>
      <c r="G81" s="106" t="str">
        <f>IF(ISBLANK(Term1_Early_Dismissal_1[[#This Row],[Activity]]),"",IF(_xlfn.XLOOKUP(Term1_Early_Dismissal_1[[#This Row],[Activity]],Types_of_Activity[Type of Activity],Types_of_Activity[Classification])=2,Term1_Early_Dismissal_1[[#This Row],[Elapsed]],0))</f>
        <v/>
      </c>
      <c r="H81"/>
      <c r="I81" s="136"/>
      <c r="J81" s="136"/>
      <c r="K81" s="103"/>
      <c r="L81" s="106" t="str">
        <f>IF(OR(ISBLANK(Term1_Early_Dismissal_2[[#This Row],[Start]]),ISBLANK(Term1_Early_Dismissal_2[[#This Row],[End]])),"",(Term1_Early_Dismissal_2[[#This Row],[End]]-Term1_Early_Dismissal_2[[#This Row],[Start]])*1440)</f>
        <v/>
      </c>
      <c r="M81" s="106" t="str">
        <f>IF(ISBLANK(Term1_Early_Dismissal_2[[#This Row],[Activity]]),"",IF(_xlfn.XLOOKUP(Term1_Early_Dismissal_2[[#This Row],[Activity]],Types_of_Activity[Type of Activity],Types_of_Activity[Classification])=1,Term1_Early_Dismissal_2[[#This Row],[Elapsed]],0))</f>
        <v/>
      </c>
      <c r="N81" s="106" t="str">
        <f>IF(ISBLANK(Term1_Early_Dismissal_2[[#This Row],[Activity]]),"",IF(_xlfn.XLOOKUP(Term1_Early_Dismissal_2[[#This Row],[Activity]],Types_of_Activity[Type of Activity],Types_of_Activity[Classification])=2,Term1_Early_Dismissal_2[[#This Row],[Elapsed]],0))</f>
        <v/>
      </c>
      <c r="O81"/>
      <c r="P81" s="136"/>
      <c r="Q81" s="136"/>
      <c r="R81" s="103"/>
      <c r="S81" s="106" t="str">
        <f>IF(OR(ISBLANK(Term1_Early_Dismissal_3[[#This Row],[Start]]),ISBLANK(Term1_Early_Dismissal_3[[#This Row],[End]])),"",(Term1_Early_Dismissal_3[[#This Row],[End]]-Term1_Early_Dismissal_3[[#This Row],[Start]])*1440)</f>
        <v/>
      </c>
      <c r="T81" s="106" t="str">
        <f>IF(ISBLANK(Term1_Early_Dismissal_3[[#This Row],[Activity]]),"",IF(_xlfn.XLOOKUP(Term1_Early_Dismissal_3[[#This Row],[Activity]],Types_of_Activity[Type of Activity],Types_of_Activity[Classification])=1,Term1_Early_Dismissal_3[[#This Row],[Elapsed]],0))</f>
        <v/>
      </c>
      <c r="U81" s="106" t="str">
        <f>IF(ISBLANK(Term1_Early_Dismissal_3[[#This Row],[Activity]]),"",IF(_xlfn.XLOOKUP(Term1_Early_Dismissal_3[[#This Row],[Activity]],Types_of_Activity[Type of Activity],Types_of_Activity[Classification])=2,Term1_Early_Dismissal_3[[#This Row],[Elapsed]],0))</f>
        <v/>
      </c>
      <c r="W81" s="136"/>
      <c r="X81" s="136"/>
      <c r="Y81" s="103"/>
      <c r="Z81" s="106" t="str">
        <f>IF(OR(ISBLANK(Term1_Early_Dismissal_4[[#This Row],[Start]]),ISBLANK(Term1_Early_Dismissal_4[[#This Row],[End]])),"",(Term1_Early_Dismissal_4[[#This Row],[End]]-Term1_Early_Dismissal_4[[#This Row],[Start]])*1440)</f>
        <v/>
      </c>
      <c r="AA81" s="106" t="str">
        <f>IF(ISBLANK(Term1_Early_Dismissal_4[[#This Row],[Activity]]),"",IF(_xlfn.XLOOKUP(Term1_Early_Dismissal_4[[#This Row],[Activity]],Types_of_Activity[Type of Activity],Types_of_Activity[Classification])=1,Term1_Early_Dismissal_4[[#This Row],[Elapsed]],0))</f>
        <v/>
      </c>
      <c r="AB81" s="106" t="str">
        <f>IF(ISBLANK(Term1_Early_Dismissal_4[[#This Row],[Activity]]),"",IF(_xlfn.XLOOKUP(Term1_Early_Dismissal_4[[#This Row],[Activity]],Types_of_Activity[Type of Activity],Types_of_Activity[Classification])=2,Term1_Early_Dismissal_4[[#This Row],[Elapsed]],0))</f>
        <v/>
      </c>
      <c r="AD81" s="136"/>
      <c r="AE81" s="136"/>
      <c r="AF81" s="103"/>
      <c r="AG81" s="106" t="str">
        <f>IF(OR(ISBLANK(Term1_Early_Dismissal_5[[#This Row],[Start]]),ISBLANK(Term1_Early_Dismissal_5[[#This Row],[End]])),"",(Term1_Early_Dismissal_5[[#This Row],[End]]-Term1_Early_Dismissal_5[[#This Row],[Start]])*1440)</f>
        <v/>
      </c>
      <c r="AH81" s="106" t="str">
        <f>IF(ISBLANK(Term1_Early_Dismissal_5[[#This Row],[Activity]]),"",IF(_xlfn.XLOOKUP(Term1_Early_Dismissal_5[[#This Row],[Activity]],Types_of_Activity[Type of Activity],Types_of_Activity[Classification])=1,Term1_Early_Dismissal_5[[#This Row],[Elapsed]],0))</f>
        <v/>
      </c>
      <c r="AI81" s="106" t="str">
        <f>IF(ISBLANK(Term1_Early_Dismissal_5[[#This Row],[Activity]]),"",IF(_xlfn.XLOOKUP(Term1_Early_Dismissal_5[[#This Row],[Activity]],Types_of_Activity[Type of Activity],Types_of_Activity[Classification])=2,Term1_Early_Dismissal_5[[#This Row],[Elapsed]],0))</f>
        <v/>
      </c>
      <c r="AK81" s="136"/>
      <c r="AL81" s="136"/>
      <c r="AM81" s="103"/>
      <c r="AN81" s="106" t="str">
        <f>IF(OR(ISBLANK(Term1_Early_Dismissal_6[[#This Row],[Start]]),ISBLANK(Term1_Early_Dismissal_6[[#This Row],[End]])),"",(Term1_Early_Dismissal_6[[#This Row],[End]]-Term1_Early_Dismissal_6[[#This Row],[Start]])*1440)</f>
        <v/>
      </c>
      <c r="AO81" s="106" t="str">
        <f>IF(ISBLANK(Term1_Early_Dismissal_6[[#This Row],[Activity]]),"",IF(_xlfn.XLOOKUP(Term1_Early_Dismissal_6[[#This Row],[Activity]],Types_of_Activity[Type of Activity],Types_of_Activity[Classification])=1,Term1_Early_Dismissal_6[[#This Row],[Elapsed]],0))</f>
        <v/>
      </c>
      <c r="AP81" s="106" t="str">
        <f>IF(ISBLANK(Term1_Early_Dismissal_6[[#This Row],[Activity]]),"",IF(_xlfn.XLOOKUP(Term1_Early_Dismissal_6[[#This Row],[Activity]],Types_of_Activity[Type of Activity],Types_of_Activity[Classification])=2,Term1_Early_Dismissal_6[[#This Row],[Elapsed]],0))</f>
        <v/>
      </c>
    </row>
    <row r="82" spans="2:42" x14ac:dyDescent="0.3">
      <c r="B82" s="136"/>
      <c r="C82" s="136"/>
      <c r="D82" s="103"/>
      <c r="E82" s="106" t="str">
        <f>IF(OR(ISBLANK(Term1_Early_Dismissal_1[[#This Row],[Start]]),ISBLANK(Term1_Early_Dismissal_1[[#This Row],[End]])),"",(Term1_Early_Dismissal_1[[#This Row],[End]]-Term1_Early_Dismissal_1[[#This Row],[Start]])*1440)</f>
        <v/>
      </c>
      <c r="F82" s="106" t="str">
        <f>IF(ISBLANK(Term1_Early_Dismissal_1[[#This Row],[Activity]]),"",IF(_xlfn.XLOOKUP(Term1_Early_Dismissal_1[[#This Row],[Activity]],Types_of_Activity[Type of Activity],Types_of_Activity[Classification])=1,Term1_Early_Dismissal_1[[#This Row],[Elapsed]],0))</f>
        <v/>
      </c>
      <c r="G82" s="106" t="str">
        <f>IF(ISBLANK(Term1_Early_Dismissal_1[[#This Row],[Activity]]),"",IF(_xlfn.XLOOKUP(Term1_Early_Dismissal_1[[#This Row],[Activity]],Types_of_Activity[Type of Activity],Types_of_Activity[Classification])=2,Term1_Early_Dismissal_1[[#This Row],[Elapsed]],0))</f>
        <v/>
      </c>
      <c r="H82"/>
      <c r="I82" s="136"/>
      <c r="J82" s="136"/>
      <c r="K82" s="103"/>
      <c r="L82" s="106" t="str">
        <f>IF(OR(ISBLANK(Term1_Early_Dismissal_2[[#This Row],[Start]]),ISBLANK(Term1_Early_Dismissal_2[[#This Row],[End]])),"",(Term1_Early_Dismissal_2[[#This Row],[End]]-Term1_Early_Dismissal_2[[#This Row],[Start]])*1440)</f>
        <v/>
      </c>
      <c r="M82" s="106" t="str">
        <f>IF(ISBLANK(Term1_Early_Dismissal_2[[#This Row],[Activity]]),"",IF(_xlfn.XLOOKUP(Term1_Early_Dismissal_2[[#This Row],[Activity]],Types_of_Activity[Type of Activity],Types_of_Activity[Classification])=1,Term1_Early_Dismissal_2[[#This Row],[Elapsed]],0))</f>
        <v/>
      </c>
      <c r="N82" s="106" t="str">
        <f>IF(ISBLANK(Term1_Early_Dismissal_2[[#This Row],[Activity]]),"",IF(_xlfn.XLOOKUP(Term1_Early_Dismissal_2[[#This Row],[Activity]],Types_of_Activity[Type of Activity],Types_of_Activity[Classification])=2,Term1_Early_Dismissal_2[[#This Row],[Elapsed]],0))</f>
        <v/>
      </c>
      <c r="O82"/>
      <c r="P82" s="136"/>
      <c r="Q82" s="136"/>
      <c r="R82" s="103"/>
      <c r="S82" s="106" t="str">
        <f>IF(OR(ISBLANK(Term1_Early_Dismissal_3[[#This Row],[Start]]),ISBLANK(Term1_Early_Dismissal_3[[#This Row],[End]])),"",(Term1_Early_Dismissal_3[[#This Row],[End]]-Term1_Early_Dismissal_3[[#This Row],[Start]])*1440)</f>
        <v/>
      </c>
      <c r="T82" s="106" t="str">
        <f>IF(ISBLANK(Term1_Early_Dismissal_3[[#This Row],[Activity]]),"",IF(_xlfn.XLOOKUP(Term1_Early_Dismissal_3[[#This Row],[Activity]],Types_of_Activity[Type of Activity],Types_of_Activity[Classification])=1,Term1_Early_Dismissal_3[[#This Row],[Elapsed]],0))</f>
        <v/>
      </c>
      <c r="U82" s="106" t="str">
        <f>IF(ISBLANK(Term1_Early_Dismissal_3[[#This Row],[Activity]]),"",IF(_xlfn.XLOOKUP(Term1_Early_Dismissal_3[[#This Row],[Activity]],Types_of_Activity[Type of Activity],Types_of_Activity[Classification])=2,Term1_Early_Dismissal_3[[#This Row],[Elapsed]],0))</f>
        <v/>
      </c>
      <c r="W82" s="136"/>
      <c r="X82" s="136"/>
      <c r="Y82" s="103"/>
      <c r="Z82" s="106" t="str">
        <f>IF(OR(ISBLANK(Term1_Early_Dismissal_4[[#This Row],[Start]]),ISBLANK(Term1_Early_Dismissal_4[[#This Row],[End]])),"",(Term1_Early_Dismissal_4[[#This Row],[End]]-Term1_Early_Dismissal_4[[#This Row],[Start]])*1440)</f>
        <v/>
      </c>
      <c r="AA82" s="106" t="str">
        <f>IF(ISBLANK(Term1_Early_Dismissal_4[[#This Row],[Activity]]),"",IF(_xlfn.XLOOKUP(Term1_Early_Dismissal_4[[#This Row],[Activity]],Types_of_Activity[Type of Activity],Types_of_Activity[Classification])=1,Term1_Early_Dismissal_4[[#This Row],[Elapsed]],0))</f>
        <v/>
      </c>
      <c r="AB82" s="106" t="str">
        <f>IF(ISBLANK(Term1_Early_Dismissal_4[[#This Row],[Activity]]),"",IF(_xlfn.XLOOKUP(Term1_Early_Dismissal_4[[#This Row],[Activity]],Types_of_Activity[Type of Activity],Types_of_Activity[Classification])=2,Term1_Early_Dismissal_4[[#This Row],[Elapsed]],0))</f>
        <v/>
      </c>
      <c r="AD82" s="136"/>
      <c r="AE82" s="136"/>
      <c r="AF82" s="103"/>
      <c r="AG82" s="106" t="str">
        <f>IF(OR(ISBLANK(Term1_Early_Dismissal_5[[#This Row],[Start]]),ISBLANK(Term1_Early_Dismissal_5[[#This Row],[End]])),"",(Term1_Early_Dismissal_5[[#This Row],[End]]-Term1_Early_Dismissal_5[[#This Row],[Start]])*1440)</f>
        <v/>
      </c>
      <c r="AH82" s="106" t="str">
        <f>IF(ISBLANK(Term1_Early_Dismissal_5[[#This Row],[Activity]]),"",IF(_xlfn.XLOOKUP(Term1_Early_Dismissal_5[[#This Row],[Activity]],Types_of_Activity[Type of Activity],Types_of_Activity[Classification])=1,Term1_Early_Dismissal_5[[#This Row],[Elapsed]],0))</f>
        <v/>
      </c>
      <c r="AI82" s="106" t="str">
        <f>IF(ISBLANK(Term1_Early_Dismissal_5[[#This Row],[Activity]]),"",IF(_xlfn.XLOOKUP(Term1_Early_Dismissal_5[[#This Row],[Activity]],Types_of_Activity[Type of Activity],Types_of_Activity[Classification])=2,Term1_Early_Dismissal_5[[#This Row],[Elapsed]],0))</f>
        <v/>
      </c>
      <c r="AK82" s="136"/>
      <c r="AL82" s="136"/>
      <c r="AM82" s="103"/>
      <c r="AN82" s="106" t="str">
        <f>IF(OR(ISBLANK(Term1_Early_Dismissal_6[[#This Row],[Start]]),ISBLANK(Term1_Early_Dismissal_6[[#This Row],[End]])),"",(Term1_Early_Dismissal_6[[#This Row],[End]]-Term1_Early_Dismissal_6[[#This Row],[Start]])*1440)</f>
        <v/>
      </c>
      <c r="AO82" s="106" t="str">
        <f>IF(ISBLANK(Term1_Early_Dismissal_6[[#This Row],[Activity]]),"",IF(_xlfn.XLOOKUP(Term1_Early_Dismissal_6[[#This Row],[Activity]],Types_of_Activity[Type of Activity],Types_of_Activity[Classification])=1,Term1_Early_Dismissal_6[[#This Row],[Elapsed]],0))</f>
        <v/>
      </c>
      <c r="AP82" s="106" t="str">
        <f>IF(ISBLANK(Term1_Early_Dismissal_6[[#This Row],[Activity]]),"",IF(_xlfn.XLOOKUP(Term1_Early_Dismissal_6[[#This Row],[Activity]],Types_of_Activity[Type of Activity],Types_of_Activity[Classification])=2,Term1_Early_Dismissal_6[[#This Row],[Elapsed]],0))</f>
        <v/>
      </c>
    </row>
    <row r="83" spans="2:42" x14ac:dyDescent="0.3">
      <c r="B83" s="136"/>
      <c r="C83" s="136"/>
      <c r="D83" s="103"/>
      <c r="E83" s="106" t="str">
        <f>IF(OR(ISBLANK(Term1_Early_Dismissal_1[[#This Row],[Start]]),ISBLANK(Term1_Early_Dismissal_1[[#This Row],[End]])),"",(Term1_Early_Dismissal_1[[#This Row],[End]]-Term1_Early_Dismissal_1[[#This Row],[Start]])*1440)</f>
        <v/>
      </c>
      <c r="F83" s="106" t="str">
        <f>IF(ISBLANK(Term1_Early_Dismissal_1[[#This Row],[Activity]]),"",IF(_xlfn.XLOOKUP(Term1_Early_Dismissal_1[[#This Row],[Activity]],Types_of_Activity[Type of Activity],Types_of_Activity[Classification])=1,Term1_Early_Dismissal_1[[#This Row],[Elapsed]],0))</f>
        <v/>
      </c>
      <c r="G83" s="106" t="str">
        <f>IF(ISBLANK(Term1_Early_Dismissal_1[[#This Row],[Activity]]),"",IF(_xlfn.XLOOKUP(Term1_Early_Dismissal_1[[#This Row],[Activity]],Types_of_Activity[Type of Activity],Types_of_Activity[Classification])=2,Term1_Early_Dismissal_1[[#This Row],[Elapsed]],0))</f>
        <v/>
      </c>
      <c r="H83"/>
      <c r="I83" s="136"/>
      <c r="J83" s="136"/>
      <c r="K83" s="103"/>
      <c r="L83" s="106" t="str">
        <f>IF(OR(ISBLANK(Term1_Early_Dismissal_2[[#This Row],[Start]]),ISBLANK(Term1_Early_Dismissal_2[[#This Row],[End]])),"",(Term1_Early_Dismissal_2[[#This Row],[End]]-Term1_Early_Dismissal_2[[#This Row],[Start]])*1440)</f>
        <v/>
      </c>
      <c r="M83" s="106" t="str">
        <f>IF(ISBLANK(Term1_Early_Dismissal_2[[#This Row],[Activity]]),"",IF(_xlfn.XLOOKUP(Term1_Early_Dismissal_2[[#This Row],[Activity]],Types_of_Activity[Type of Activity],Types_of_Activity[Classification])=1,Term1_Early_Dismissal_2[[#This Row],[Elapsed]],0))</f>
        <v/>
      </c>
      <c r="N83" s="106" t="str">
        <f>IF(ISBLANK(Term1_Early_Dismissal_2[[#This Row],[Activity]]),"",IF(_xlfn.XLOOKUP(Term1_Early_Dismissal_2[[#This Row],[Activity]],Types_of_Activity[Type of Activity],Types_of_Activity[Classification])=2,Term1_Early_Dismissal_2[[#This Row],[Elapsed]],0))</f>
        <v/>
      </c>
      <c r="O83"/>
      <c r="P83" s="136"/>
      <c r="Q83" s="136"/>
      <c r="R83" s="103"/>
      <c r="S83" s="106" t="str">
        <f>IF(OR(ISBLANK(Term1_Early_Dismissal_3[[#This Row],[Start]]),ISBLANK(Term1_Early_Dismissal_3[[#This Row],[End]])),"",(Term1_Early_Dismissal_3[[#This Row],[End]]-Term1_Early_Dismissal_3[[#This Row],[Start]])*1440)</f>
        <v/>
      </c>
      <c r="T83" s="106" t="str">
        <f>IF(ISBLANK(Term1_Early_Dismissal_3[[#This Row],[Activity]]),"",IF(_xlfn.XLOOKUP(Term1_Early_Dismissal_3[[#This Row],[Activity]],Types_of_Activity[Type of Activity],Types_of_Activity[Classification])=1,Term1_Early_Dismissal_3[[#This Row],[Elapsed]],0))</f>
        <v/>
      </c>
      <c r="U83" s="106" t="str">
        <f>IF(ISBLANK(Term1_Early_Dismissal_3[[#This Row],[Activity]]),"",IF(_xlfn.XLOOKUP(Term1_Early_Dismissal_3[[#This Row],[Activity]],Types_of_Activity[Type of Activity],Types_of_Activity[Classification])=2,Term1_Early_Dismissal_3[[#This Row],[Elapsed]],0))</f>
        <v/>
      </c>
      <c r="W83" s="136"/>
      <c r="X83" s="136"/>
      <c r="Y83" s="103"/>
      <c r="Z83" s="106" t="str">
        <f>IF(OR(ISBLANK(Term1_Early_Dismissal_4[[#This Row],[Start]]),ISBLANK(Term1_Early_Dismissal_4[[#This Row],[End]])),"",(Term1_Early_Dismissal_4[[#This Row],[End]]-Term1_Early_Dismissal_4[[#This Row],[Start]])*1440)</f>
        <v/>
      </c>
      <c r="AA83" s="106" t="str">
        <f>IF(ISBLANK(Term1_Early_Dismissal_4[[#This Row],[Activity]]),"",IF(_xlfn.XLOOKUP(Term1_Early_Dismissal_4[[#This Row],[Activity]],Types_of_Activity[Type of Activity],Types_of_Activity[Classification])=1,Term1_Early_Dismissal_4[[#This Row],[Elapsed]],0))</f>
        <v/>
      </c>
      <c r="AB83" s="106" t="str">
        <f>IF(ISBLANK(Term1_Early_Dismissal_4[[#This Row],[Activity]]),"",IF(_xlfn.XLOOKUP(Term1_Early_Dismissal_4[[#This Row],[Activity]],Types_of_Activity[Type of Activity],Types_of_Activity[Classification])=2,Term1_Early_Dismissal_4[[#This Row],[Elapsed]],0))</f>
        <v/>
      </c>
      <c r="AD83" s="136"/>
      <c r="AE83" s="136"/>
      <c r="AF83" s="103"/>
      <c r="AG83" s="106" t="str">
        <f>IF(OR(ISBLANK(Term1_Early_Dismissal_5[[#This Row],[Start]]),ISBLANK(Term1_Early_Dismissal_5[[#This Row],[End]])),"",(Term1_Early_Dismissal_5[[#This Row],[End]]-Term1_Early_Dismissal_5[[#This Row],[Start]])*1440)</f>
        <v/>
      </c>
      <c r="AH83" s="106" t="str">
        <f>IF(ISBLANK(Term1_Early_Dismissal_5[[#This Row],[Activity]]),"",IF(_xlfn.XLOOKUP(Term1_Early_Dismissal_5[[#This Row],[Activity]],Types_of_Activity[Type of Activity],Types_of_Activity[Classification])=1,Term1_Early_Dismissal_5[[#This Row],[Elapsed]],0))</f>
        <v/>
      </c>
      <c r="AI83" s="106" t="str">
        <f>IF(ISBLANK(Term1_Early_Dismissal_5[[#This Row],[Activity]]),"",IF(_xlfn.XLOOKUP(Term1_Early_Dismissal_5[[#This Row],[Activity]],Types_of_Activity[Type of Activity],Types_of_Activity[Classification])=2,Term1_Early_Dismissal_5[[#This Row],[Elapsed]],0))</f>
        <v/>
      </c>
      <c r="AK83" s="136"/>
      <c r="AL83" s="136"/>
      <c r="AM83" s="103"/>
      <c r="AN83" s="106" t="str">
        <f>IF(OR(ISBLANK(Term1_Early_Dismissal_6[[#This Row],[Start]]),ISBLANK(Term1_Early_Dismissal_6[[#This Row],[End]])),"",(Term1_Early_Dismissal_6[[#This Row],[End]]-Term1_Early_Dismissal_6[[#This Row],[Start]])*1440)</f>
        <v/>
      </c>
      <c r="AO83" s="106" t="str">
        <f>IF(ISBLANK(Term1_Early_Dismissal_6[[#This Row],[Activity]]),"",IF(_xlfn.XLOOKUP(Term1_Early_Dismissal_6[[#This Row],[Activity]],Types_of_Activity[Type of Activity],Types_of_Activity[Classification])=1,Term1_Early_Dismissal_6[[#This Row],[Elapsed]],0))</f>
        <v/>
      </c>
      <c r="AP83" s="106" t="str">
        <f>IF(ISBLANK(Term1_Early_Dismissal_6[[#This Row],[Activity]]),"",IF(_xlfn.XLOOKUP(Term1_Early_Dismissal_6[[#This Row],[Activity]],Types_of_Activity[Type of Activity],Types_of_Activity[Classification])=2,Term1_Early_Dismissal_6[[#This Row],[Elapsed]],0))</f>
        <v/>
      </c>
    </row>
    <row r="84" spans="2:42" x14ac:dyDescent="0.3">
      <c r="B84" s="136"/>
      <c r="C84" s="136"/>
      <c r="D84" s="103"/>
      <c r="E84" s="106" t="str">
        <f>IF(OR(ISBLANK(Term1_Early_Dismissal_1[[#This Row],[Start]]),ISBLANK(Term1_Early_Dismissal_1[[#This Row],[End]])),"",(Term1_Early_Dismissal_1[[#This Row],[End]]-Term1_Early_Dismissal_1[[#This Row],[Start]])*1440)</f>
        <v/>
      </c>
      <c r="F84" s="106" t="str">
        <f>IF(ISBLANK(Term1_Early_Dismissal_1[[#This Row],[Activity]]),"",IF(_xlfn.XLOOKUP(Term1_Early_Dismissal_1[[#This Row],[Activity]],Types_of_Activity[Type of Activity],Types_of_Activity[Classification])=1,Term1_Early_Dismissal_1[[#This Row],[Elapsed]],0))</f>
        <v/>
      </c>
      <c r="G84" s="106" t="str">
        <f>IF(ISBLANK(Term1_Early_Dismissal_1[[#This Row],[Activity]]),"",IF(_xlfn.XLOOKUP(Term1_Early_Dismissal_1[[#This Row],[Activity]],Types_of_Activity[Type of Activity],Types_of_Activity[Classification])=2,Term1_Early_Dismissal_1[[#This Row],[Elapsed]],0))</f>
        <v/>
      </c>
      <c r="H84"/>
      <c r="I84" s="136"/>
      <c r="J84" s="136"/>
      <c r="K84" s="103"/>
      <c r="L84" s="106" t="str">
        <f>IF(OR(ISBLANK(Term1_Early_Dismissal_2[[#This Row],[Start]]),ISBLANK(Term1_Early_Dismissal_2[[#This Row],[End]])),"",(Term1_Early_Dismissal_2[[#This Row],[End]]-Term1_Early_Dismissal_2[[#This Row],[Start]])*1440)</f>
        <v/>
      </c>
      <c r="M84" s="106" t="str">
        <f>IF(ISBLANK(Term1_Early_Dismissal_2[[#This Row],[Activity]]),"",IF(_xlfn.XLOOKUP(Term1_Early_Dismissal_2[[#This Row],[Activity]],Types_of_Activity[Type of Activity],Types_of_Activity[Classification])=1,Term1_Early_Dismissal_2[[#This Row],[Elapsed]],0))</f>
        <v/>
      </c>
      <c r="N84" s="106" t="str">
        <f>IF(ISBLANK(Term1_Early_Dismissal_2[[#This Row],[Activity]]),"",IF(_xlfn.XLOOKUP(Term1_Early_Dismissal_2[[#This Row],[Activity]],Types_of_Activity[Type of Activity],Types_of_Activity[Classification])=2,Term1_Early_Dismissal_2[[#This Row],[Elapsed]],0))</f>
        <v/>
      </c>
      <c r="O84"/>
      <c r="P84" s="136"/>
      <c r="Q84" s="136"/>
      <c r="R84" s="103"/>
      <c r="S84" s="106" t="str">
        <f>IF(OR(ISBLANK(Term1_Early_Dismissal_3[[#This Row],[Start]]),ISBLANK(Term1_Early_Dismissal_3[[#This Row],[End]])),"",(Term1_Early_Dismissal_3[[#This Row],[End]]-Term1_Early_Dismissal_3[[#This Row],[Start]])*1440)</f>
        <v/>
      </c>
      <c r="T84" s="106" t="str">
        <f>IF(ISBLANK(Term1_Early_Dismissal_3[[#This Row],[Activity]]),"",IF(_xlfn.XLOOKUP(Term1_Early_Dismissal_3[[#This Row],[Activity]],Types_of_Activity[Type of Activity],Types_of_Activity[Classification])=1,Term1_Early_Dismissal_3[[#This Row],[Elapsed]],0))</f>
        <v/>
      </c>
      <c r="U84" s="106" t="str">
        <f>IF(ISBLANK(Term1_Early_Dismissal_3[[#This Row],[Activity]]),"",IF(_xlfn.XLOOKUP(Term1_Early_Dismissal_3[[#This Row],[Activity]],Types_of_Activity[Type of Activity],Types_of_Activity[Classification])=2,Term1_Early_Dismissal_3[[#This Row],[Elapsed]],0))</f>
        <v/>
      </c>
      <c r="W84" s="136"/>
      <c r="X84" s="136"/>
      <c r="Y84" s="103"/>
      <c r="Z84" s="106" t="str">
        <f>IF(OR(ISBLANK(Term1_Early_Dismissal_4[[#This Row],[Start]]),ISBLANK(Term1_Early_Dismissal_4[[#This Row],[End]])),"",(Term1_Early_Dismissal_4[[#This Row],[End]]-Term1_Early_Dismissal_4[[#This Row],[Start]])*1440)</f>
        <v/>
      </c>
      <c r="AA84" s="106" t="str">
        <f>IF(ISBLANK(Term1_Early_Dismissal_4[[#This Row],[Activity]]),"",IF(_xlfn.XLOOKUP(Term1_Early_Dismissal_4[[#This Row],[Activity]],Types_of_Activity[Type of Activity],Types_of_Activity[Classification])=1,Term1_Early_Dismissal_4[[#This Row],[Elapsed]],0))</f>
        <v/>
      </c>
      <c r="AB84" s="106" t="str">
        <f>IF(ISBLANK(Term1_Early_Dismissal_4[[#This Row],[Activity]]),"",IF(_xlfn.XLOOKUP(Term1_Early_Dismissal_4[[#This Row],[Activity]],Types_of_Activity[Type of Activity],Types_of_Activity[Classification])=2,Term1_Early_Dismissal_4[[#This Row],[Elapsed]],0))</f>
        <v/>
      </c>
      <c r="AD84" s="136"/>
      <c r="AE84" s="136"/>
      <c r="AF84" s="103"/>
      <c r="AG84" s="106" t="str">
        <f>IF(OR(ISBLANK(Term1_Early_Dismissal_5[[#This Row],[Start]]),ISBLANK(Term1_Early_Dismissal_5[[#This Row],[End]])),"",(Term1_Early_Dismissal_5[[#This Row],[End]]-Term1_Early_Dismissal_5[[#This Row],[Start]])*1440)</f>
        <v/>
      </c>
      <c r="AH84" s="106" t="str">
        <f>IF(ISBLANK(Term1_Early_Dismissal_5[[#This Row],[Activity]]),"",IF(_xlfn.XLOOKUP(Term1_Early_Dismissal_5[[#This Row],[Activity]],Types_of_Activity[Type of Activity],Types_of_Activity[Classification])=1,Term1_Early_Dismissal_5[[#This Row],[Elapsed]],0))</f>
        <v/>
      </c>
      <c r="AI84" s="106" t="str">
        <f>IF(ISBLANK(Term1_Early_Dismissal_5[[#This Row],[Activity]]),"",IF(_xlfn.XLOOKUP(Term1_Early_Dismissal_5[[#This Row],[Activity]],Types_of_Activity[Type of Activity],Types_of_Activity[Classification])=2,Term1_Early_Dismissal_5[[#This Row],[Elapsed]],0))</f>
        <v/>
      </c>
      <c r="AK84" s="136"/>
      <c r="AL84" s="136"/>
      <c r="AM84" s="103"/>
      <c r="AN84" s="106" t="str">
        <f>IF(OR(ISBLANK(Term1_Early_Dismissal_6[[#This Row],[Start]]),ISBLANK(Term1_Early_Dismissal_6[[#This Row],[End]])),"",(Term1_Early_Dismissal_6[[#This Row],[End]]-Term1_Early_Dismissal_6[[#This Row],[Start]])*1440)</f>
        <v/>
      </c>
      <c r="AO84" s="106" t="str">
        <f>IF(ISBLANK(Term1_Early_Dismissal_6[[#This Row],[Activity]]),"",IF(_xlfn.XLOOKUP(Term1_Early_Dismissal_6[[#This Row],[Activity]],Types_of_Activity[Type of Activity],Types_of_Activity[Classification])=1,Term1_Early_Dismissal_6[[#This Row],[Elapsed]],0))</f>
        <v/>
      </c>
      <c r="AP84" s="106" t="str">
        <f>IF(ISBLANK(Term1_Early_Dismissal_6[[#This Row],[Activity]]),"",IF(_xlfn.XLOOKUP(Term1_Early_Dismissal_6[[#This Row],[Activity]],Types_of_Activity[Type of Activity],Types_of_Activity[Classification])=2,Term1_Early_Dismissal_6[[#This Row],[Elapsed]],0))</f>
        <v/>
      </c>
    </row>
    <row r="85" spans="2:42" x14ac:dyDescent="0.3">
      <c r="B85" s="136"/>
      <c r="C85" s="136"/>
      <c r="D85" s="103"/>
      <c r="E85" s="106" t="str">
        <f>IF(OR(ISBLANK(Term1_Early_Dismissal_1[[#This Row],[Start]]),ISBLANK(Term1_Early_Dismissal_1[[#This Row],[End]])),"",(Term1_Early_Dismissal_1[[#This Row],[End]]-Term1_Early_Dismissal_1[[#This Row],[Start]])*1440)</f>
        <v/>
      </c>
      <c r="F85" s="106" t="str">
        <f>IF(ISBLANK(Term1_Early_Dismissal_1[[#This Row],[Activity]]),"",IF(_xlfn.XLOOKUP(Term1_Early_Dismissal_1[[#This Row],[Activity]],Types_of_Activity[Type of Activity],Types_of_Activity[Classification])=1,Term1_Early_Dismissal_1[[#This Row],[Elapsed]],0))</f>
        <v/>
      </c>
      <c r="G85" s="106" t="str">
        <f>IF(ISBLANK(Term1_Early_Dismissal_1[[#This Row],[Activity]]),"",IF(_xlfn.XLOOKUP(Term1_Early_Dismissal_1[[#This Row],[Activity]],Types_of_Activity[Type of Activity],Types_of_Activity[Classification])=2,Term1_Early_Dismissal_1[[#This Row],[Elapsed]],0))</f>
        <v/>
      </c>
      <c r="H85"/>
      <c r="I85" s="136"/>
      <c r="J85" s="136"/>
      <c r="K85" s="103"/>
      <c r="L85" s="106" t="str">
        <f>IF(OR(ISBLANK(Term1_Early_Dismissal_2[[#This Row],[Start]]),ISBLANK(Term1_Early_Dismissal_2[[#This Row],[End]])),"",(Term1_Early_Dismissal_2[[#This Row],[End]]-Term1_Early_Dismissal_2[[#This Row],[Start]])*1440)</f>
        <v/>
      </c>
      <c r="M85" s="106" t="str">
        <f>IF(ISBLANK(Term1_Early_Dismissal_2[[#This Row],[Activity]]),"",IF(_xlfn.XLOOKUP(Term1_Early_Dismissal_2[[#This Row],[Activity]],Types_of_Activity[Type of Activity],Types_of_Activity[Classification])=1,Term1_Early_Dismissal_2[[#This Row],[Elapsed]],0))</f>
        <v/>
      </c>
      <c r="N85" s="106" t="str">
        <f>IF(ISBLANK(Term1_Early_Dismissal_2[[#This Row],[Activity]]),"",IF(_xlfn.XLOOKUP(Term1_Early_Dismissal_2[[#This Row],[Activity]],Types_of_Activity[Type of Activity],Types_of_Activity[Classification])=2,Term1_Early_Dismissal_2[[#This Row],[Elapsed]],0))</f>
        <v/>
      </c>
      <c r="O85"/>
      <c r="P85" s="136"/>
      <c r="Q85" s="136"/>
      <c r="R85" s="103"/>
      <c r="S85" s="106" t="str">
        <f>IF(OR(ISBLANK(Term1_Early_Dismissal_3[[#This Row],[Start]]),ISBLANK(Term1_Early_Dismissal_3[[#This Row],[End]])),"",(Term1_Early_Dismissal_3[[#This Row],[End]]-Term1_Early_Dismissal_3[[#This Row],[Start]])*1440)</f>
        <v/>
      </c>
      <c r="T85" s="106" t="str">
        <f>IF(ISBLANK(Term1_Early_Dismissal_3[[#This Row],[Activity]]),"",IF(_xlfn.XLOOKUP(Term1_Early_Dismissal_3[[#This Row],[Activity]],Types_of_Activity[Type of Activity],Types_of_Activity[Classification])=1,Term1_Early_Dismissal_3[[#This Row],[Elapsed]],0))</f>
        <v/>
      </c>
      <c r="U85" s="106" t="str">
        <f>IF(ISBLANK(Term1_Early_Dismissal_3[[#This Row],[Activity]]),"",IF(_xlfn.XLOOKUP(Term1_Early_Dismissal_3[[#This Row],[Activity]],Types_of_Activity[Type of Activity],Types_of_Activity[Classification])=2,Term1_Early_Dismissal_3[[#This Row],[Elapsed]],0))</f>
        <v/>
      </c>
      <c r="W85" s="136"/>
      <c r="X85" s="136"/>
      <c r="Y85" s="103"/>
      <c r="Z85" s="106" t="str">
        <f>IF(OR(ISBLANK(Term1_Early_Dismissal_4[[#This Row],[Start]]),ISBLANK(Term1_Early_Dismissal_4[[#This Row],[End]])),"",(Term1_Early_Dismissal_4[[#This Row],[End]]-Term1_Early_Dismissal_4[[#This Row],[Start]])*1440)</f>
        <v/>
      </c>
      <c r="AA85" s="106" t="str">
        <f>IF(ISBLANK(Term1_Early_Dismissal_4[[#This Row],[Activity]]),"",IF(_xlfn.XLOOKUP(Term1_Early_Dismissal_4[[#This Row],[Activity]],Types_of_Activity[Type of Activity],Types_of_Activity[Classification])=1,Term1_Early_Dismissal_4[[#This Row],[Elapsed]],0))</f>
        <v/>
      </c>
      <c r="AB85" s="106" t="str">
        <f>IF(ISBLANK(Term1_Early_Dismissal_4[[#This Row],[Activity]]),"",IF(_xlfn.XLOOKUP(Term1_Early_Dismissal_4[[#This Row],[Activity]],Types_of_Activity[Type of Activity],Types_of_Activity[Classification])=2,Term1_Early_Dismissal_4[[#This Row],[Elapsed]],0))</f>
        <v/>
      </c>
      <c r="AD85" s="136"/>
      <c r="AE85" s="136"/>
      <c r="AF85" s="103"/>
      <c r="AG85" s="106" t="str">
        <f>IF(OR(ISBLANK(Term1_Early_Dismissal_5[[#This Row],[Start]]),ISBLANK(Term1_Early_Dismissal_5[[#This Row],[End]])),"",(Term1_Early_Dismissal_5[[#This Row],[End]]-Term1_Early_Dismissal_5[[#This Row],[Start]])*1440)</f>
        <v/>
      </c>
      <c r="AH85" s="106" t="str">
        <f>IF(ISBLANK(Term1_Early_Dismissal_5[[#This Row],[Activity]]),"",IF(_xlfn.XLOOKUP(Term1_Early_Dismissal_5[[#This Row],[Activity]],Types_of_Activity[Type of Activity],Types_of_Activity[Classification])=1,Term1_Early_Dismissal_5[[#This Row],[Elapsed]],0))</f>
        <v/>
      </c>
      <c r="AI85" s="106" t="str">
        <f>IF(ISBLANK(Term1_Early_Dismissal_5[[#This Row],[Activity]]),"",IF(_xlfn.XLOOKUP(Term1_Early_Dismissal_5[[#This Row],[Activity]],Types_of_Activity[Type of Activity],Types_of_Activity[Classification])=2,Term1_Early_Dismissal_5[[#This Row],[Elapsed]],0))</f>
        <v/>
      </c>
      <c r="AK85" s="136"/>
      <c r="AL85" s="136"/>
      <c r="AM85" s="103"/>
      <c r="AN85" s="106" t="str">
        <f>IF(OR(ISBLANK(Term1_Early_Dismissal_6[[#This Row],[Start]]),ISBLANK(Term1_Early_Dismissal_6[[#This Row],[End]])),"",(Term1_Early_Dismissal_6[[#This Row],[End]]-Term1_Early_Dismissal_6[[#This Row],[Start]])*1440)</f>
        <v/>
      </c>
      <c r="AO85" s="106" t="str">
        <f>IF(ISBLANK(Term1_Early_Dismissal_6[[#This Row],[Activity]]),"",IF(_xlfn.XLOOKUP(Term1_Early_Dismissal_6[[#This Row],[Activity]],Types_of_Activity[Type of Activity],Types_of_Activity[Classification])=1,Term1_Early_Dismissal_6[[#This Row],[Elapsed]],0))</f>
        <v/>
      </c>
      <c r="AP85" s="106" t="str">
        <f>IF(ISBLANK(Term1_Early_Dismissal_6[[#This Row],[Activity]]),"",IF(_xlfn.XLOOKUP(Term1_Early_Dismissal_6[[#This Row],[Activity]],Types_of_Activity[Type of Activity],Types_of_Activity[Classification])=2,Term1_Early_Dismissal_6[[#This Row],[Elapsed]],0))</f>
        <v/>
      </c>
    </row>
    <row r="86" spans="2:42" x14ac:dyDescent="0.3">
      <c r="B86" s="136"/>
      <c r="C86" s="136"/>
      <c r="D86" s="103"/>
      <c r="E86" s="106" t="str">
        <f>IF(OR(ISBLANK(Term1_Early_Dismissal_1[[#This Row],[Start]]),ISBLANK(Term1_Early_Dismissal_1[[#This Row],[End]])),"",(Term1_Early_Dismissal_1[[#This Row],[End]]-Term1_Early_Dismissal_1[[#This Row],[Start]])*1440)</f>
        <v/>
      </c>
      <c r="F86" s="106" t="str">
        <f>IF(ISBLANK(Term1_Early_Dismissal_1[[#This Row],[Activity]]),"",IF(_xlfn.XLOOKUP(Term1_Early_Dismissal_1[[#This Row],[Activity]],Types_of_Activity[Type of Activity],Types_of_Activity[Classification])=1,Term1_Early_Dismissal_1[[#This Row],[Elapsed]],0))</f>
        <v/>
      </c>
      <c r="G86" s="106" t="str">
        <f>IF(ISBLANK(Term1_Early_Dismissal_1[[#This Row],[Activity]]),"",IF(_xlfn.XLOOKUP(Term1_Early_Dismissal_1[[#This Row],[Activity]],Types_of_Activity[Type of Activity],Types_of_Activity[Classification])=2,Term1_Early_Dismissal_1[[#This Row],[Elapsed]],0))</f>
        <v/>
      </c>
      <c r="H86"/>
      <c r="I86" s="136"/>
      <c r="J86" s="136"/>
      <c r="K86" s="103"/>
      <c r="L86" s="106" t="str">
        <f>IF(OR(ISBLANK(Term1_Early_Dismissal_2[[#This Row],[Start]]),ISBLANK(Term1_Early_Dismissal_2[[#This Row],[End]])),"",(Term1_Early_Dismissal_2[[#This Row],[End]]-Term1_Early_Dismissal_2[[#This Row],[Start]])*1440)</f>
        <v/>
      </c>
      <c r="M86" s="106" t="str">
        <f>IF(ISBLANK(Term1_Early_Dismissal_2[[#This Row],[Activity]]),"",IF(_xlfn.XLOOKUP(Term1_Early_Dismissal_2[[#This Row],[Activity]],Types_of_Activity[Type of Activity],Types_of_Activity[Classification])=1,Term1_Early_Dismissal_2[[#This Row],[Elapsed]],0))</f>
        <v/>
      </c>
      <c r="N86" s="106" t="str">
        <f>IF(ISBLANK(Term1_Early_Dismissal_2[[#This Row],[Activity]]),"",IF(_xlfn.XLOOKUP(Term1_Early_Dismissal_2[[#This Row],[Activity]],Types_of_Activity[Type of Activity],Types_of_Activity[Classification])=2,Term1_Early_Dismissal_2[[#This Row],[Elapsed]],0))</f>
        <v/>
      </c>
      <c r="O86"/>
      <c r="P86" s="136"/>
      <c r="Q86" s="136"/>
      <c r="R86" s="103"/>
      <c r="S86" s="106" t="str">
        <f>IF(OR(ISBLANK(Term1_Early_Dismissal_3[[#This Row],[Start]]),ISBLANK(Term1_Early_Dismissal_3[[#This Row],[End]])),"",(Term1_Early_Dismissal_3[[#This Row],[End]]-Term1_Early_Dismissal_3[[#This Row],[Start]])*1440)</f>
        <v/>
      </c>
      <c r="T86" s="106" t="str">
        <f>IF(ISBLANK(Term1_Early_Dismissal_3[[#This Row],[Activity]]),"",IF(_xlfn.XLOOKUP(Term1_Early_Dismissal_3[[#This Row],[Activity]],Types_of_Activity[Type of Activity],Types_of_Activity[Classification])=1,Term1_Early_Dismissal_3[[#This Row],[Elapsed]],0))</f>
        <v/>
      </c>
      <c r="U86" s="106" t="str">
        <f>IF(ISBLANK(Term1_Early_Dismissal_3[[#This Row],[Activity]]),"",IF(_xlfn.XLOOKUP(Term1_Early_Dismissal_3[[#This Row],[Activity]],Types_of_Activity[Type of Activity],Types_of_Activity[Classification])=2,Term1_Early_Dismissal_3[[#This Row],[Elapsed]],0))</f>
        <v/>
      </c>
      <c r="W86" s="136"/>
      <c r="X86" s="136"/>
      <c r="Y86" s="103"/>
      <c r="Z86" s="106" t="str">
        <f>IF(OR(ISBLANK(Term1_Early_Dismissal_4[[#This Row],[Start]]),ISBLANK(Term1_Early_Dismissal_4[[#This Row],[End]])),"",(Term1_Early_Dismissal_4[[#This Row],[End]]-Term1_Early_Dismissal_4[[#This Row],[Start]])*1440)</f>
        <v/>
      </c>
      <c r="AA86" s="106" t="str">
        <f>IF(ISBLANK(Term1_Early_Dismissal_4[[#This Row],[Activity]]),"",IF(_xlfn.XLOOKUP(Term1_Early_Dismissal_4[[#This Row],[Activity]],Types_of_Activity[Type of Activity],Types_of_Activity[Classification])=1,Term1_Early_Dismissal_4[[#This Row],[Elapsed]],0))</f>
        <v/>
      </c>
      <c r="AB86" s="106" t="str">
        <f>IF(ISBLANK(Term1_Early_Dismissal_4[[#This Row],[Activity]]),"",IF(_xlfn.XLOOKUP(Term1_Early_Dismissal_4[[#This Row],[Activity]],Types_of_Activity[Type of Activity],Types_of_Activity[Classification])=2,Term1_Early_Dismissal_4[[#This Row],[Elapsed]],0))</f>
        <v/>
      </c>
      <c r="AD86" s="136"/>
      <c r="AE86" s="136"/>
      <c r="AF86" s="103"/>
      <c r="AG86" s="106" t="str">
        <f>IF(OR(ISBLANK(Term1_Early_Dismissal_5[[#This Row],[Start]]),ISBLANK(Term1_Early_Dismissal_5[[#This Row],[End]])),"",(Term1_Early_Dismissal_5[[#This Row],[End]]-Term1_Early_Dismissal_5[[#This Row],[Start]])*1440)</f>
        <v/>
      </c>
      <c r="AH86" s="106" t="str">
        <f>IF(ISBLANK(Term1_Early_Dismissal_5[[#This Row],[Activity]]),"",IF(_xlfn.XLOOKUP(Term1_Early_Dismissal_5[[#This Row],[Activity]],Types_of_Activity[Type of Activity],Types_of_Activity[Classification])=1,Term1_Early_Dismissal_5[[#This Row],[Elapsed]],0))</f>
        <v/>
      </c>
      <c r="AI86" s="106" t="str">
        <f>IF(ISBLANK(Term1_Early_Dismissal_5[[#This Row],[Activity]]),"",IF(_xlfn.XLOOKUP(Term1_Early_Dismissal_5[[#This Row],[Activity]],Types_of_Activity[Type of Activity],Types_of_Activity[Classification])=2,Term1_Early_Dismissal_5[[#This Row],[Elapsed]],0))</f>
        <v/>
      </c>
      <c r="AK86" s="136"/>
      <c r="AL86" s="136"/>
      <c r="AM86" s="103"/>
      <c r="AN86" s="106" t="str">
        <f>IF(OR(ISBLANK(Term1_Early_Dismissal_6[[#This Row],[Start]]),ISBLANK(Term1_Early_Dismissal_6[[#This Row],[End]])),"",(Term1_Early_Dismissal_6[[#This Row],[End]]-Term1_Early_Dismissal_6[[#This Row],[Start]])*1440)</f>
        <v/>
      </c>
      <c r="AO86" s="106" t="str">
        <f>IF(ISBLANK(Term1_Early_Dismissal_6[[#This Row],[Activity]]),"",IF(_xlfn.XLOOKUP(Term1_Early_Dismissal_6[[#This Row],[Activity]],Types_of_Activity[Type of Activity],Types_of_Activity[Classification])=1,Term1_Early_Dismissal_6[[#This Row],[Elapsed]],0))</f>
        <v/>
      </c>
      <c r="AP86" s="106" t="str">
        <f>IF(ISBLANK(Term1_Early_Dismissal_6[[#This Row],[Activity]]),"",IF(_xlfn.XLOOKUP(Term1_Early_Dismissal_6[[#This Row],[Activity]],Types_of_Activity[Type of Activity],Types_of_Activity[Classification])=2,Term1_Early_Dismissal_6[[#This Row],[Elapsed]],0))</f>
        <v/>
      </c>
    </row>
    <row r="87" spans="2:42" x14ac:dyDescent="0.3">
      <c r="B87" s="136"/>
      <c r="C87" s="136"/>
      <c r="D87" s="103"/>
      <c r="E87" s="106" t="str">
        <f>IF(OR(ISBLANK(Term1_Early_Dismissal_1[[#This Row],[Start]]),ISBLANK(Term1_Early_Dismissal_1[[#This Row],[End]])),"",(Term1_Early_Dismissal_1[[#This Row],[End]]-Term1_Early_Dismissal_1[[#This Row],[Start]])*1440)</f>
        <v/>
      </c>
      <c r="F87" s="106" t="str">
        <f>IF(ISBLANK(Term1_Early_Dismissal_1[[#This Row],[Activity]]),"",IF(_xlfn.XLOOKUP(Term1_Early_Dismissal_1[[#This Row],[Activity]],Types_of_Activity[Type of Activity],Types_of_Activity[Classification])=1,Term1_Early_Dismissal_1[[#This Row],[Elapsed]],0))</f>
        <v/>
      </c>
      <c r="G87" s="106" t="str">
        <f>IF(ISBLANK(Term1_Early_Dismissal_1[[#This Row],[Activity]]),"",IF(_xlfn.XLOOKUP(Term1_Early_Dismissal_1[[#This Row],[Activity]],Types_of_Activity[Type of Activity],Types_of_Activity[Classification])=2,Term1_Early_Dismissal_1[[#This Row],[Elapsed]],0))</f>
        <v/>
      </c>
      <c r="H87"/>
      <c r="I87" s="136"/>
      <c r="J87" s="136"/>
      <c r="K87" s="103"/>
      <c r="L87" s="106" t="str">
        <f>IF(OR(ISBLANK(Term1_Early_Dismissal_2[[#This Row],[Start]]),ISBLANK(Term1_Early_Dismissal_2[[#This Row],[End]])),"",(Term1_Early_Dismissal_2[[#This Row],[End]]-Term1_Early_Dismissal_2[[#This Row],[Start]])*1440)</f>
        <v/>
      </c>
      <c r="M87" s="106" t="str">
        <f>IF(ISBLANK(Term1_Early_Dismissal_2[[#This Row],[Activity]]),"",IF(_xlfn.XLOOKUP(Term1_Early_Dismissal_2[[#This Row],[Activity]],Types_of_Activity[Type of Activity],Types_of_Activity[Classification])=1,Term1_Early_Dismissal_2[[#This Row],[Elapsed]],0))</f>
        <v/>
      </c>
      <c r="N87" s="106" t="str">
        <f>IF(ISBLANK(Term1_Early_Dismissal_2[[#This Row],[Activity]]),"",IF(_xlfn.XLOOKUP(Term1_Early_Dismissal_2[[#This Row],[Activity]],Types_of_Activity[Type of Activity],Types_of_Activity[Classification])=2,Term1_Early_Dismissal_2[[#This Row],[Elapsed]],0))</f>
        <v/>
      </c>
      <c r="O87"/>
      <c r="P87" s="136"/>
      <c r="Q87" s="136"/>
      <c r="R87" s="103"/>
      <c r="S87" s="106" t="str">
        <f>IF(OR(ISBLANK(Term1_Early_Dismissal_3[[#This Row],[Start]]),ISBLANK(Term1_Early_Dismissal_3[[#This Row],[End]])),"",(Term1_Early_Dismissal_3[[#This Row],[End]]-Term1_Early_Dismissal_3[[#This Row],[Start]])*1440)</f>
        <v/>
      </c>
      <c r="T87" s="106" t="str">
        <f>IF(ISBLANK(Term1_Early_Dismissal_3[[#This Row],[Activity]]),"",IF(_xlfn.XLOOKUP(Term1_Early_Dismissal_3[[#This Row],[Activity]],Types_of_Activity[Type of Activity],Types_of_Activity[Classification])=1,Term1_Early_Dismissal_3[[#This Row],[Elapsed]],0))</f>
        <v/>
      </c>
      <c r="U87" s="106" t="str">
        <f>IF(ISBLANK(Term1_Early_Dismissal_3[[#This Row],[Activity]]),"",IF(_xlfn.XLOOKUP(Term1_Early_Dismissal_3[[#This Row],[Activity]],Types_of_Activity[Type of Activity],Types_of_Activity[Classification])=2,Term1_Early_Dismissal_3[[#This Row],[Elapsed]],0))</f>
        <v/>
      </c>
      <c r="W87" s="136"/>
      <c r="X87" s="136"/>
      <c r="Y87" s="103"/>
      <c r="Z87" s="106" t="str">
        <f>IF(OR(ISBLANK(Term1_Early_Dismissal_4[[#This Row],[Start]]),ISBLANK(Term1_Early_Dismissal_4[[#This Row],[End]])),"",(Term1_Early_Dismissal_4[[#This Row],[End]]-Term1_Early_Dismissal_4[[#This Row],[Start]])*1440)</f>
        <v/>
      </c>
      <c r="AA87" s="106" t="str">
        <f>IF(ISBLANK(Term1_Early_Dismissal_4[[#This Row],[Activity]]),"",IF(_xlfn.XLOOKUP(Term1_Early_Dismissal_4[[#This Row],[Activity]],Types_of_Activity[Type of Activity],Types_of_Activity[Classification])=1,Term1_Early_Dismissal_4[[#This Row],[Elapsed]],0))</f>
        <v/>
      </c>
      <c r="AB87" s="106" t="str">
        <f>IF(ISBLANK(Term1_Early_Dismissal_4[[#This Row],[Activity]]),"",IF(_xlfn.XLOOKUP(Term1_Early_Dismissal_4[[#This Row],[Activity]],Types_of_Activity[Type of Activity],Types_of_Activity[Classification])=2,Term1_Early_Dismissal_4[[#This Row],[Elapsed]],0))</f>
        <v/>
      </c>
      <c r="AD87" s="136"/>
      <c r="AE87" s="136"/>
      <c r="AF87" s="103"/>
      <c r="AG87" s="106" t="str">
        <f>IF(OR(ISBLANK(Term1_Early_Dismissal_5[[#This Row],[Start]]),ISBLANK(Term1_Early_Dismissal_5[[#This Row],[End]])),"",(Term1_Early_Dismissal_5[[#This Row],[End]]-Term1_Early_Dismissal_5[[#This Row],[Start]])*1440)</f>
        <v/>
      </c>
      <c r="AH87" s="106" t="str">
        <f>IF(ISBLANK(Term1_Early_Dismissal_5[[#This Row],[Activity]]),"",IF(_xlfn.XLOOKUP(Term1_Early_Dismissal_5[[#This Row],[Activity]],Types_of_Activity[Type of Activity],Types_of_Activity[Classification])=1,Term1_Early_Dismissal_5[[#This Row],[Elapsed]],0))</f>
        <v/>
      </c>
      <c r="AI87" s="106" t="str">
        <f>IF(ISBLANK(Term1_Early_Dismissal_5[[#This Row],[Activity]]),"",IF(_xlfn.XLOOKUP(Term1_Early_Dismissal_5[[#This Row],[Activity]],Types_of_Activity[Type of Activity],Types_of_Activity[Classification])=2,Term1_Early_Dismissal_5[[#This Row],[Elapsed]],0))</f>
        <v/>
      </c>
      <c r="AK87" s="136"/>
      <c r="AL87" s="136"/>
      <c r="AM87" s="103"/>
      <c r="AN87" s="106" t="str">
        <f>IF(OR(ISBLANK(Term1_Early_Dismissal_6[[#This Row],[Start]]),ISBLANK(Term1_Early_Dismissal_6[[#This Row],[End]])),"",(Term1_Early_Dismissal_6[[#This Row],[End]]-Term1_Early_Dismissal_6[[#This Row],[Start]])*1440)</f>
        <v/>
      </c>
      <c r="AO87" s="106" t="str">
        <f>IF(ISBLANK(Term1_Early_Dismissal_6[[#This Row],[Activity]]),"",IF(_xlfn.XLOOKUP(Term1_Early_Dismissal_6[[#This Row],[Activity]],Types_of_Activity[Type of Activity],Types_of_Activity[Classification])=1,Term1_Early_Dismissal_6[[#This Row],[Elapsed]],0))</f>
        <v/>
      </c>
      <c r="AP87" s="106" t="str">
        <f>IF(ISBLANK(Term1_Early_Dismissal_6[[#This Row],[Activity]]),"",IF(_xlfn.XLOOKUP(Term1_Early_Dismissal_6[[#This Row],[Activity]],Types_of_Activity[Type of Activity],Types_of_Activity[Classification])=2,Term1_Early_Dismissal_6[[#This Row],[Elapsed]],0))</f>
        <v/>
      </c>
    </row>
    <row r="88" spans="2:42" x14ac:dyDescent="0.3">
      <c r="B88" s="136"/>
      <c r="C88" s="136"/>
      <c r="D88" s="103"/>
      <c r="E88" s="106" t="str">
        <f>IF(OR(ISBLANK(Term1_Early_Dismissal_1[[#This Row],[Start]]),ISBLANK(Term1_Early_Dismissal_1[[#This Row],[End]])),"",(Term1_Early_Dismissal_1[[#This Row],[End]]-Term1_Early_Dismissal_1[[#This Row],[Start]])*1440)</f>
        <v/>
      </c>
      <c r="F88" s="106" t="str">
        <f>IF(ISBLANK(Term1_Early_Dismissal_1[[#This Row],[Activity]]),"",IF(_xlfn.XLOOKUP(Term1_Early_Dismissal_1[[#This Row],[Activity]],Types_of_Activity[Type of Activity],Types_of_Activity[Classification])=1,Term1_Early_Dismissal_1[[#This Row],[Elapsed]],0))</f>
        <v/>
      </c>
      <c r="G88" s="106" t="str">
        <f>IF(ISBLANK(Term1_Early_Dismissal_1[[#This Row],[Activity]]),"",IF(_xlfn.XLOOKUP(Term1_Early_Dismissal_1[[#This Row],[Activity]],Types_of_Activity[Type of Activity],Types_of_Activity[Classification])=2,Term1_Early_Dismissal_1[[#This Row],[Elapsed]],0))</f>
        <v/>
      </c>
      <c r="H88"/>
      <c r="I88" s="136"/>
      <c r="J88" s="136"/>
      <c r="K88" s="103"/>
      <c r="L88" s="106" t="str">
        <f>IF(OR(ISBLANK(Term1_Early_Dismissal_2[[#This Row],[Start]]),ISBLANK(Term1_Early_Dismissal_2[[#This Row],[End]])),"",(Term1_Early_Dismissal_2[[#This Row],[End]]-Term1_Early_Dismissal_2[[#This Row],[Start]])*1440)</f>
        <v/>
      </c>
      <c r="M88" s="106" t="str">
        <f>IF(ISBLANK(Term1_Early_Dismissal_2[[#This Row],[Activity]]),"",IF(_xlfn.XLOOKUP(Term1_Early_Dismissal_2[[#This Row],[Activity]],Types_of_Activity[Type of Activity],Types_of_Activity[Classification])=1,Term1_Early_Dismissal_2[[#This Row],[Elapsed]],0))</f>
        <v/>
      </c>
      <c r="N88" s="106" t="str">
        <f>IF(ISBLANK(Term1_Early_Dismissal_2[[#This Row],[Activity]]),"",IF(_xlfn.XLOOKUP(Term1_Early_Dismissal_2[[#This Row],[Activity]],Types_of_Activity[Type of Activity],Types_of_Activity[Classification])=2,Term1_Early_Dismissal_2[[#This Row],[Elapsed]],0))</f>
        <v/>
      </c>
      <c r="O88"/>
      <c r="P88" s="136"/>
      <c r="Q88" s="136"/>
      <c r="R88" s="103"/>
      <c r="S88" s="106" t="str">
        <f>IF(OR(ISBLANK(Term1_Early_Dismissal_3[[#This Row],[Start]]),ISBLANK(Term1_Early_Dismissal_3[[#This Row],[End]])),"",(Term1_Early_Dismissal_3[[#This Row],[End]]-Term1_Early_Dismissal_3[[#This Row],[Start]])*1440)</f>
        <v/>
      </c>
      <c r="T88" s="106" t="str">
        <f>IF(ISBLANK(Term1_Early_Dismissal_3[[#This Row],[Activity]]),"",IF(_xlfn.XLOOKUP(Term1_Early_Dismissal_3[[#This Row],[Activity]],Types_of_Activity[Type of Activity],Types_of_Activity[Classification])=1,Term1_Early_Dismissal_3[[#This Row],[Elapsed]],0))</f>
        <v/>
      </c>
      <c r="U88" s="106" t="str">
        <f>IF(ISBLANK(Term1_Early_Dismissal_3[[#This Row],[Activity]]),"",IF(_xlfn.XLOOKUP(Term1_Early_Dismissal_3[[#This Row],[Activity]],Types_of_Activity[Type of Activity],Types_of_Activity[Classification])=2,Term1_Early_Dismissal_3[[#This Row],[Elapsed]],0))</f>
        <v/>
      </c>
      <c r="W88" s="136"/>
      <c r="X88" s="136"/>
      <c r="Y88" s="103"/>
      <c r="Z88" s="106" t="str">
        <f>IF(OR(ISBLANK(Term1_Early_Dismissal_4[[#This Row],[Start]]),ISBLANK(Term1_Early_Dismissal_4[[#This Row],[End]])),"",(Term1_Early_Dismissal_4[[#This Row],[End]]-Term1_Early_Dismissal_4[[#This Row],[Start]])*1440)</f>
        <v/>
      </c>
      <c r="AA88" s="106" t="str">
        <f>IF(ISBLANK(Term1_Early_Dismissal_4[[#This Row],[Activity]]),"",IF(_xlfn.XLOOKUP(Term1_Early_Dismissal_4[[#This Row],[Activity]],Types_of_Activity[Type of Activity],Types_of_Activity[Classification])=1,Term1_Early_Dismissal_4[[#This Row],[Elapsed]],0))</f>
        <v/>
      </c>
      <c r="AB88" s="106" t="str">
        <f>IF(ISBLANK(Term1_Early_Dismissal_4[[#This Row],[Activity]]),"",IF(_xlfn.XLOOKUP(Term1_Early_Dismissal_4[[#This Row],[Activity]],Types_of_Activity[Type of Activity],Types_of_Activity[Classification])=2,Term1_Early_Dismissal_4[[#This Row],[Elapsed]],0))</f>
        <v/>
      </c>
      <c r="AD88" s="136"/>
      <c r="AE88" s="136"/>
      <c r="AF88" s="103"/>
      <c r="AG88" s="106" t="str">
        <f>IF(OR(ISBLANK(Term1_Early_Dismissal_5[[#This Row],[Start]]),ISBLANK(Term1_Early_Dismissal_5[[#This Row],[End]])),"",(Term1_Early_Dismissal_5[[#This Row],[End]]-Term1_Early_Dismissal_5[[#This Row],[Start]])*1440)</f>
        <v/>
      </c>
      <c r="AH88" s="106" t="str">
        <f>IF(ISBLANK(Term1_Early_Dismissal_5[[#This Row],[Activity]]),"",IF(_xlfn.XLOOKUP(Term1_Early_Dismissal_5[[#This Row],[Activity]],Types_of_Activity[Type of Activity],Types_of_Activity[Classification])=1,Term1_Early_Dismissal_5[[#This Row],[Elapsed]],0))</f>
        <v/>
      </c>
      <c r="AI88" s="106" t="str">
        <f>IF(ISBLANK(Term1_Early_Dismissal_5[[#This Row],[Activity]]),"",IF(_xlfn.XLOOKUP(Term1_Early_Dismissal_5[[#This Row],[Activity]],Types_of_Activity[Type of Activity],Types_of_Activity[Classification])=2,Term1_Early_Dismissal_5[[#This Row],[Elapsed]],0))</f>
        <v/>
      </c>
      <c r="AK88" s="136"/>
      <c r="AL88" s="136"/>
      <c r="AM88" s="103"/>
      <c r="AN88" s="106" t="str">
        <f>IF(OR(ISBLANK(Term1_Early_Dismissal_6[[#This Row],[Start]]),ISBLANK(Term1_Early_Dismissal_6[[#This Row],[End]])),"",(Term1_Early_Dismissal_6[[#This Row],[End]]-Term1_Early_Dismissal_6[[#This Row],[Start]])*1440)</f>
        <v/>
      </c>
      <c r="AO88" s="106" t="str">
        <f>IF(ISBLANK(Term1_Early_Dismissal_6[[#This Row],[Activity]]),"",IF(_xlfn.XLOOKUP(Term1_Early_Dismissal_6[[#This Row],[Activity]],Types_of_Activity[Type of Activity],Types_of_Activity[Classification])=1,Term1_Early_Dismissal_6[[#This Row],[Elapsed]],0))</f>
        <v/>
      </c>
      <c r="AP88" s="106" t="str">
        <f>IF(ISBLANK(Term1_Early_Dismissal_6[[#This Row],[Activity]]),"",IF(_xlfn.XLOOKUP(Term1_Early_Dismissal_6[[#This Row],[Activity]],Types_of_Activity[Type of Activity],Types_of_Activity[Classification])=2,Term1_Early_Dismissal_6[[#This Row],[Elapsed]],0))</f>
        <v/>
      </c>
    </row>
    <row r="89" spans="2:42" x14ac:dyDescent="0.3">
      <c r="B89" s="136"/>
      <c r="C89" s="136"/>
      <c r="D89" s="103"/>
      <c r="E89" s="106" t="str">
        <f>IF(OR(ISBLANK(Term1_Early_Dismissal_1[[#This Row],[Start]]),ISBLANK(Term1_Early_Dismissal_1[[#This Row],[End]])),"",(Term1_Early_Dismissal_1[[#This Row],[End]]-Term1_Early_Dismissal_1[[#This Row],[Start]])*1440)</f>
        <v/>
      </c>
      <c r="F89" s="106" t="str">
        <f>IF(ISBLANK(Term1_Early_Dismissal_1[[#This Row],[Activity]]),"",IF(_xlfn.XLOOKUP(Term1_Early_Dismissal_1[[#This Row],[Activity]],Types_of_Activity[Type of Activity],Types_of_Activity[Classification])=1,Term1_Early_Dismissal_1[[#This Row],[Elapsed]],0))</f>
        <v/>
      </c>
      <c r="G89" s="106" t="str">
        <f>IF(ISBLANK(Term1_Early_Dismissal_1[[#This Row],[Activity]]),"",IF(_xlfn.XLOOKUP(Term1_Early_Dismissal_1[[#This Row],[Activity]],Types_of_Activity[Type of Activity],Types_of_Activity[Classification])=2,Term1_Early_Dismissal_1[[#This Row],[Elapsed]],0))</f>
        <v/>
      </c>
      <c r="H89"/>
      <c r="I89" s="136"/>
      <c r="J89" s="136"/>
      <c r="K89" s="103"/>
      <c r="L89" s="106" t="str">
        <f>IF(OR(ISBLANK(Term1_Early_Dismissal_2[[#This Row],[Start]]),ISBLANK(Term1_Early_Dismissal_2[[#This Row],[End]])),"",(Term1_Early_Dismissal_2[[#This Row],[End]]-Term1_Early_Dismissal_2[[#This Row],[Start]])*1440)</f>
        <v/>
      </c>
      <c r="M89" s="106" t="str">
        <f>IF(ISBLANK(Term1_Early_Dismissal_2[[#This Row],[Activity]]),"",IF(_xlfn.XLOOKUP(Term1_Early_Dismissal_2[[#This Row],[Activity]],Types_of_Activity[Type of Activity],Types_of_Activity[Classification])=1,Term1_Early_Dismissal_2[[#This Row],[Elapsed]],0))</f>
        <v/>
      </c>
      <c r="N89" s="106" t="str">
        <f>IF(ISBLANK(Term1_Early_Dismissal_2[[#This Row],[Activity]]),"",IF(_xlfn.XLOOKUP(Term1_Early_Dismissal_2[[#This Row],[Activity]],Types_of_Activity[Type of Activity],Types_of_Activity[Classification])=2,Term1_Early_Dismissal_2[[#This Row],[Elapsed]],0))</f>
        <v/>
      </c>
      <c r="O89"/>
      <c r="P89" s="136"/>
      <c r="Q89" s="136"/>
      <c r="R89" s="103"/>
      <c r="S89" s="106" t="str">
        <f>IF(OR(ISBLANK(Term1_Early_Dismissal_3[[#This Row],[Start]]),ISBLANK(Term1_Early_Dismissal_3[[#This Row],[End]])),"",(Term1_Early_Dismissal_3[[#This Row],[End]]-Term1_Early_Dismissal_3[[#This Row],[Start]])*1440)</f>
        <v/>
      </c>
      <c r="T89" s="106" t="str">
        <f>IF(ISBLANK(Term1_Early_Dismissal_3[[#This Row],[Activity]]),"",IF(_xlfn.XLOOKUP(Term1_Early_Dismissal_3[[#This Row],[Activity]],Types_of_Activity[Type of Activity],Types_of_Activity[Classification])=1,Term1_Early_Dismissal_3[[#This Row],[Elapsed]],0))</f>
        <v/>
      </c>
      <c r="U89" s="106" t="str">
        <f>IF(ISBLANK(Term1_Early_Dismissal_3[[#This Row],[Activity]]),"",IF(_xlfn.XLOOKUP(Term1_Early_Dismissal_3[[#This Row],[Activity]],Types_of_Activity[Type of Activity],Types_of_Activity[Classification])=2,Term1_Early_Dismissal_3[[#This Row],[Elapsed]],0))</f>
        <v/>
      </c>
      <c r="W89" s="136"/>
      <c r="X89" s="136"/>
      <c r="Y89" s="103"/>
      <c r="Z89" s="106" t="str">
        <f>IF(OR(ISBLANK(Term1_Early_Dismissal_4[[#This Row],[Start]]),ISBLANK(Term1_Early_Dismissal_4[[#This Row],[End]])),"",(Term1_Early_Dismissal_4[[#This Row],[End]]-Term1_Early_Dismissal_4[[#This Row],[Start]])*1440)</f>
        <v/>
      </c>
      <c r="AA89" s="106" t="str">
        <f>IF(ISBLANK(Term1_Early_Dismissal_4[[#This Row],[Activity]]),"",IF(_xlfn.XLOOKUP(Term1_Early_Dismissal_4[[#This Row],[Activity]],Types_of_Activity[Type of Activity],Types_of_Activity[Classification])=1,Term1_Early_Dismissal_4[[#This Row],[Elapsed]],0))</f>
        <v/>
      </c>
      <c r="AB89" s="106" t="str">
        <f>IF(ISBLANK(Term1_Early_Dismissal_4[[#This Row],[Activity]]),"",IF(_xlfn.XLOOKUP(Term1_Early_Dismissal_4[[#This Row],[Activity]],Types_of_Activity[Type of Activity],Types_of_Activity[Classification])=2,Term1_Early_Dismissal_4[[#This Row],[Elapsed]],0))</f>
        <v/>
      </c>
      <c r="AD89" s="136"/>
      <c r="AE89" s="136"/>
      <c r="AF89" s="103"/>
      <c r="AG89" s="106" t="str">
        <f>IF(OR(ISBLANK(Term1_Early_Dismissal_5[[#This Row],[Start]]),ISBLANK(Term1_Early_Dismissal_5[[#This Row],[End]])),"",(Term1_Early_Dismissal_5[[#This Row],[End]]-Term1_Early_Dismissal_5[[#This Row],[Start]])*1440)</f>
        <v/>
      </c>
      <c r="AH89" s="106" t="str">
        <f>IF(ISBLANK(Term1_Early_Dismissal_5[[#This Row],[Activity]]),"",IF(_xlfn.XLOOKUP(Term1_Early_Dismissal_5[[#This Row],[Activity]],Types_of_Activity[Type of Activity],Types_of_Activity[Classification])=1,Term1_Early_Dismissal_5[[#This Row],[Elapsed]],0))</f>
        <v/>
      </c>
      <c r="AI89" s="106" t="str">
        <f>IF(ISBLANK(Term1_Early_Dismissal_5[[#This Row],[Activity]]),"",IF(_xlfn.XLOOKUP(Term1_Early_Dismissal_5[[#This Row],[Activity]],Types_of_Activity[Type of Activity],Types_of_Activity[Classification])=2,Term1_Early_Dismissal_5[[#This Row],[Elapsed]],0))</f>
        <v/>
      </c>
      <c r="AK89" s="136"/>
      <c r="AL89" s="136"/>
      <c r="AM89" s="103"/>
      <c r="AN89" s="106" t="str">
        <f>IF(OR(ISBLANK(Term1_Early_Dismissal_6[[#This Row],[Start]]),ISBLANK(Term1_Early_Dismissal_6[[#This Row],[End]])),"",(Term1_Early_Dismissal_6[[#This Row],[End]]-Term1_Early_Dismissal_6[[#This Row],[Start]])*1440)</f>
        <v/>
      </c>
      <c r="AO89" s="106" t="str">
        <f>IF(ISBLANK(Term1_Early_Dismissal_6[[#This Row],[Activity]]),"",IF(_xlfn.XLOOKUP(Term1_Early_Dismissal_6[[#This Row],[Activity]],Types_of_Activity[Type of Activity],Types_of_Activity[Classification])=1,Term1_Early_Dismissal_6[[#This Row],[Elapsed]],0))</f>
        <v/>
      </c>
      <c r="AP89" s="106" t="str">
        <f>IF(ISBLANK(Term1_Early_Dismissal_6[[#This Row],[Activity]]),"",IF(_xlfn.XLOOKUP(Term1_Early_Dismissal_6[[#This Row],[Activity]],Types_of_Activity[Type of Activity],Types_of_Activity[Classification])=2,Term1_Early_Dismissal_6[[#This Row],[Elapsed]],0))</f>
        <v/>
      </c>
    </row>
    <row r="90" spans="2:42" x14ac:dyDescent="0.3">
      <c r="B90"/>
      <c r="C90"/>
      <c r="D90"/>
      <c r="E90"/>
      <c r="F90"/>
      <c r="G90"/>
      <c r="H90"/>
      <c r="I90"/>
      <c r="J90"/>
      <c r="K90"/>
      <c r="L90"/>
      <c r="M90"/>
      <c r="N90"/>
      <c r="O90"/>
      <c r="P90"/>
      <c r="Q90"/>
      <c r="R90"/>
      <c r="S90"/>
      <c r="T90"/>
      <c r="U90"/>
    </row>
    <row r="91" spans="2:42" x14ac:dyDescent="0.3">
      <c r="B91"/>
      <c r="C91"/>
      <c r="D91"/>
      <c r="E91"/>
      <c r="F91"/>
      <c r="G91"/>
      <c r="H91"/>
      <c r="I91"/>
      <c r="J91"/>
      <c r="K91"/>
      <c r="L91"/>
      <c r="M91"/>
      <c r="N91"/>
      <c r="O91"/>
      <c r="P91"/>
      <c r="Q91"/>
      <c r="R91"/>
      <c r="S91"/>
      <c r="T91"/>
      <c r="U91"/>
    </row>
    <row r="92" spans="2:42" x14ac:dyDescent="0.3">
      <c r="B92"/>
      <c r="C92"/>
      <c r="D92"/>
      <c r="E92"/>
      <c r="F92"/>
      <c r="G92"/>
      <c r="H92"/>
      <c r="I92"/>
      <c r="J92"/>
      <c r="K92"/>
      <c r="L92"/>
      <c r="M92"/>
      <c r="N92"/>
      <c r="O92"/>
      <c r="P92"/>
      <c r="Q92"/>
      <c r="R92"/>
      <c r="S92"/>
      <c r="T92"/>
      <c r="U92"/>
    </row>
    <row r="93" spans="2:42" x14ac:dyDescent="0.3">
      <c r="B93"/>
      <c r="C93"/>
      <c r="D93"/>
      <c r="E93"/>
      <c r="F93"/>
      <c r="G93"/>
      <c r="H93"/>
      <c r="I93"/>
      <c r="J93"/>
      <c r="K93"/>
      <c r="L93"/>
      <c r="M93"/>
      <c r="N93"/>
      <c r="O93"/>
      <c r="P93"/>
      <c r="Q93"/>
      <c r="R93"/>
      <c r="S93"/>
      <c r="T93"/>
      <c r="U93"/>
    </row>
    <row r="94" spans="2:42" x14ac:dyDescent="0.3">
      <c r="B94"/>
      <c r="C94"/>
      <c r="D94"/>
      <c r="E94"/>
      <c r="F94"/>
      <c r="G94"/>
      <c r="H94"/>
      <c r="I94"/>
      <c r="J94"/>
      <c r="K94"/>
      <c r="L94"/>
      <c r="M94"/>
      <c r="N94"/>
      <c r="O94"/>
      <c r="P94"/>
      <c r="Q94"/>
      <c r="R94"/>
      <c r="S94"/>
      <c r="T94"/>
      <c r="U94"/>
    </row>
    <row r="95" spans="2:42" x14ac:dyDescent="0.3">
      <c r="B95"/>
      <c r="C95"/>
      <c r="D95"/>
      <c r="E95"/>
      <c r="F95"/>
      <c r="G95"/>
      <c r="H95"/>
      <c r="I95"/>
      <c r="J95"/>
      <c r="K95"/>
      <c r="L95"/>
      <c r="M95"/>
      <c r="N95"/>
      <c r="O95"/>
      <c r="P95"/>
      <c r="Q95"/>
      <c r="R95"/>
      <c r="S95"/>
      <c r="T95"/>
      <c r="U95"/>
    </row>
    <row r="96" spans="2:42" x14ac:dyDescent="0.3">
      <c r="B96"/>
      <c r="C96"/>
      <c r="D96"/>
      <c r="E96"/>
      <c r="F96"/>
      <c r="G96"/>
      <c r="H96"/>
      <c r="I96"/>
      <c r="J96"/>
      <c r="K96"/>
      <c r="L96"/>
      <c r="M96"/>
      <c r="N96"/>
      <c r="O96"/>
      <c r="P96"/>
      <c r="Q96"/>
      <c r="R96"/>
      <c r="S96"/>
      <c r="T96"/>
      <c r="U96"/>
    </row>
    <row r="97" spans="2:21" ht="30.75" x14ac:dyDescent="0.45">
      <c r="B97" s="105" t="s">
        <v>25</v>
      </c>
      <c r="F97" s="106"/>
      <c r="G97" s="106"/>
      <c r="H97"/>
      <c r="I97" s="105" t="s">
        <v>26</v>
      </c>
      <c r="M97" s="106"/>
      <c r="N97" s="106"/>
      <c r="O97"/>
      <c r="P97" s="105" t="s">
        <v>27</v>
      </c>
      <c r="T97" s="106"/>
      <c r="U97" s="106"/>
    </row>
    <row r="98" spans="2:21" ht="33" x14ac:dyDescent="0.3">
      <c r="B98" s="120" t="s">
        <v>16</v>
      </c>
      <c r="C98" s="120" t="s">
        <v>17</v>
      </c>
      <c r="D98" s="120" t="s">
        <v>19</v>
      </c>
      <c r="E98" s="120" t="s">
        <v>18</v>
      </c>
      <c r="F98" s="120" t="s">
        <v>20</v>
      </c>
      <c r="G98" s="121" t="s">
        <v>4100</v>
      </c>
      <c r="H98"/>
      <c r="I98" s="120" t="s">
        <v>16</v>
      </c>
      <c r="J98" s="120" t="s">
        <v>17</v>
      </c>
      <c r="K98" s="120" t="s">
        <v>19</v>
      </c>
      <c r="L98" s="120" t="s">
        <v>18</v>
      </c>
      <c r="M98" s="120" t="s">
        <v>20</v>
      </c>
      <c r="N98" s="121" t="s">
        <v>4100</v>
      </c>
      <c r="O98"/>
      <c r="P98" s="120" t="s">
        <v>16</v>
      </c>
      <c r="Q98" s="120" t="s">
        <v>17</v>
      </c>
      <c r="R98" s="120" t="s">
        <v>19</v>
      </c>
      <c r="S98" s="120" t="s">
        <v>18</v>
      </c>
      <c r="T98" s="120" t="s">
        <v>20</v>
      </c>
      <c r="U98" s="121" t="s">
        <v>4100</v>
      </c>
    </row>
    <row r="99" spans="2:21" x14ac:dyDescent="0.3">
      <c r="B99" s="136"/>
      <c r="C99" s="136"/>
      <c r="D99" s="103"/>
      <c r="E99" s="106" t="str">
        <f>IF(OR(ISBLANK(Term1_Special_Day_1[[#This Row],[Start]]),ISBLANK(Term1_Special_Day_1[[#This Row],[End]])),"",(Term1_Special_Day_1[[#This Row],[End]]-Term1_Special_Day_1[[#This Row],[Start]])*1440)</f>
        <v/>
      </c>
      <c r="F99" s="106" t="str">
        <f>IF(ISBLANK(Term1_Special_Day_1[[#This Row],[Activity]]),"",IF(_xlfn.XLOOKUP(Term1_Special_Day_1[[#This Row],[Activity]],Types_of_Activity[Type of Activity],Types_of_Activity[Classification])=1,Term1_Special_Day_1[[#This Row],[Elapsed]],0))</f>
        <v/>
      </c>
      <c r="G99" s="106" t="str">
        <f>IF(ISBLANK(Term1_Special_Day_1[[#This Row],[Activity]]),"",IF(_xlfn.XLOOKUP(Term1_Special_Day_1[[#This Row],[Activity]],Types_of_Activity[Type of Activity],Types_of_Activity[Classification])=2,Term1_Special_Day_1[[#This Row],[Elapsed]],0))</f>
        <v/>
      </c>
      <c r="H99"/>
      <c r="I99" s="136"/>
      <c r="J99" s="136"/>
      <c r="K99" s="103"/>
      <c r="L99" s="106" t="str">
        <f>IF(OR(ISBLANK(Term1_Special_Day_2[[#This Row],[Start]]),ISBLANK(Term1_Special_Day_2[[#This Row],[End]])),"",(Term1_Special_Day_2[[#This Row],[End]]-Term1_Special_Day_2[[#This Row],[Start]])*1440)</f>
        <v/>
      </c>
      <c r="M99" s="106" t="str">
        <f>IF(ISBLANK(Term1_Special_Day_2[[#This Row],[Activity]]),"",IF(_xlfn.XLOOKUP(Term1_Special_Day_2[[#This Row],[Activity]],Types_of_Activity[Type of Activity],Types_of_Activity[Classification])=1,Term1_Special_Day_2[[#This Row],[Elapsed]],0))</f>
        <v/>
      </c>
      <c r="N99" s="106" t="str">
        <f>IF(ISBLANK(Term1_Special_Day_2[[#This Row],[Activity]]),"",IF(_xlfn.XLOOKUP(Term1_Special_Day_2[[#This Row],[Activity]],Types_of_Activity[Type of Activity],Types_of_Activity[Classification])=2,Term1_Special_Day_2[[#This Row],[Elapsed]],0))</f>
        <v/>
      </c>
      <c r="O99"/>
      <c r="P99" s="136"/>
      <c r="Q99" s="136"/>
      <c r="R99" s="103"/>
      <c r="S99" s="106" t="str">
        <f>IF(OR(ISBLANK(Term1_Special_Day_3[[#This Row],[Start]]),ISBLANK(Term1_Special_Day_3[[#This Row],[End]])),"",(Term1_Special_Day_3[[#This Row],[End]]-Term1_Special_Day_3[[#This Row],[Start]])*1440)</f>
        <v/>
      </c>
      <c r="T99" s="106" t="str">
        <f>IF(ISBLANK(Term1_Special_Day_3[[#This Row],[Activity]]),"",IF(_xlfn.XLOOKUP(Term1_Special_Day_3[[#This Row],[Activity]],Types_of_Activity[Type of Activity],Types_of_Activity[Classification])=1,Term1_Special_Day_3[[#This Row],[Elapsed]],0))</f>
        <v/>
      </c>
      <c r="U99" s="106" t="str">
        <f>IF(ISBLANK(Term1_Special_Day_3[[#This Row],[Activity]]),"",IF(_xlfn.XLOOKUP(Term1_Special_Day_3[[#This Row],[Activity]],Types_of_Activity[Type of Activity],Types_of_Activity[Classification])=2,Term1_Special_Day_3[[#This Row],[Elapsed]],0))</f>
        <v/>
      </c>
    </row>
    <row r="100" spans="2:21" x14ac:dyDescent="0.3">
      <c r="B100" s="136"/>
      <c r="C100" s="136"/>
      <c r="D100" s="103"/>
      <c r="E100" s="106" t="str">
        <f>IF(OR(ISBLANK(Term1_Special_Day_1[[#This Row],[Start]]),ISBLANK(Term1_Special_Day_1[[#This Row],[End]])),"",(Term1_Special_Day_1[[#This Row],[End]]-Term1_Special_Day_1[[#This Row],[Start]])*1440)</f>
        <v/>
      </c>
      <c r="F100" s="106" t="str">
        <f>IF(ISBLANK(Term1_Special_Day_1[[#This Row],[Activity]]),"",IF(_xlfn.XLOOKUP(Term1_Special_Day_1[[#This Row],[Activity]],Types_of_Activity[Type of Activity],Types_of_Activity[Classification])=1,Term1_Special_Day_1[[#This Row],[Elapsed]],0))</f>
        <v/>
      </c>
      <c r="G100" s="106" t="str">
        <f>IF(ISBLANK(Term1_Special_Day_1[[#This Row],[Activity]]),"",IF(_xlfn.XLOOKUP(Term1_Special_Day_1[[#This Row],[Activity]],Types_of_Activity[Type of Activity],Types_of_Activity[Classification])=2,Term1_Special_Day_1[[#This Row],[Elapsed]],0))</f>
        <v/>
      </c>
      <c r="H100"/>
      <c r="I100" s="136"/>
      <c r="J100" s="136"/>
      <c r="K100" s="103"/>
      <c r="L100" s="106" t="str">
        <f>IF(OR(ISBLANK(Term1_Special_Day_2[[#This Row],[Start]]),ISBLANK(Term1_Special_Day_2[[#This Row],[End]])),"",(Term1_Special_Day_2[[#This Row],[End]]-Term1_Special_Day_2[[#This Row],[Start]])*1440)</f>
        <v/>
      </c>
      <c r="M100" s="106" t="str">
        <f>IF(ISBLANK(Term1_Special_Day_2[[#This Row],[Activity]]),"",IF(_xlfn.XLOOKUP(Term1_Special_Day_2[[#This Row],[Activity]],Types_of_Activity[Type of Activity],Types_of_Activity[Classification])=1,Term1_Special_Day_2[[#This Row],[Elapsed]],0))</f>
        <v/>
      </c>
      <c r="N100" s="106" t="str">
        <f>IF(ISBLANK(Term1_Special_Day_2[[#This Row],[Activity]]),"",IF(_xlfn.XLOOKUP(Term1_Special_Day_2[[#This Row],[Activity]],Types_of_Activity[Type of Activity],Types_of_Activity[Classification])=2,Term1_Special_Day_2[[#This Row],[Elapsed]],0))</f>
        <v/>
      </c>
      <c r="O100"/>
      <c r="P100" s="136"/>
      <c r="Q100" s="136"/>
      <c r="R100" s="103"/>
      <c r="S100" s="106" t="str">
        <f>IF(OR(ISBLANK(Term1_Special_Day_3[[#This Row],[Start]]),ISBLANK(Term1_Special_Day_3[[#This Row],[End]])),"",(Term1_Special_Day_3[[#This Row],[End]]-Term1_Special_Day_3[[#This Row],[Start]])*1440)</f>
        <v/>
      </c>
      <c r="T100" s="106" t="str">
        <f>IF(ISBLANK(Term1_Special_Day_3[[#This Row],[Activity]]),"",IF(_xlfn.XLOOKUP(Term1_Special_Day_3[[#This Row],[Activity]],Types_of_Activity[Type of Activity],Types_of_Activity[Classification])=1,Term1_Special_Day_3[[#This Row],[Elapsed]],0))</f>
        <v/>
      </c>
      <c r="U100" s="106" t="str">
        <f>IF(ISBLANK(Term1_Special_Day_3[[#This Row],[Activity]]),"",IF(_xlfn.XLOOKUP(Term1_Special_Day_3[[#This Row],[Activity]],Types_of_Activity[Type of Activity],Types_of_Activity[Classification])=2,Term1_Special_Day_3[[#This Row],[Elapsed]],0))</f>
        <v/>
      </c>
    </row>
    <row r="101" spans="2:21" x14ac:dyDescent="0.3">
      <c r="B101" s="136"/>
      <c r="C101" s="136"/>
      <c r="D101" s="103"/>
      <c r="E101" s="106" t="str">
        <f>IF(OR(ISBLANK(Term1_Special_Day_1[[#This Row],[Start]]),ISBLANK(Term1_Special_Day_1[[#This Row],[End]])),"",(Term1_Special_Day_1[[#This Row],[End]]-Term1_Special_Day_1[[#This Row],[Start]])*1440)</f>
        <v/>
      </c>
      <c r="F101" s="106" t="str">
        <f>IF(ISBLANK(Term1_Special_Day_1[[#This Row],[Activity]]),"",IF(_xlfn.XLOOKUP(Term1_Special_Day_1[[#This Row],[Activity]],Types_of_Activity[Type of Activity],Types_of_Activity[Classification])=1,Term1_Special_Day_1[[#This Row],[Elapsed]],0))</f>
        <v/>
      </c>
      <c r="G101" s="106" t="str">
        <f>IF(ISBLANK(Term1_Special_Day_1[[#This Row],[Activity]]),"",IF(_xlfn.XLOOKUP(Term1_Special_Day_1[[#This Row],[Activity]],Types_of_Activity[Type of Activity],Types_of_Activity[Classification])=2,Term1_Special_Day_1[[#This Row],[Elapsed]],0))</f>
        <v/>
      </c>
      <c r="H101"/>
      <c r="I101" s="136"/>
      <c r="J101" s="136"/>
      <c r="K101" s="103"/>
      <c r="L101" s="106" t="str">
        <f>IF(OR(ISBLANK(Term1_Special_Day_2[[#This Row],[Start]]),ISBLANK(Term1_Special_Day_2[[#This Row],[End]])),"",(Term1_Special_Day_2[[#This Row],[End]]-Term1_Special_Day_2[[#This Row],[Start]])*1440)</f>
        <v/>
      </c>
      <c r="M101" s="106" t="str">
        <f>IF(ISBLANK(Term1_Special_Day_2[[#This Row],[Activity]]),"",IF(_xlfn.XLOOKUP(Term1_Special_Day_2[[#This Row],[Activity]],Types_of_Activity[Type of Activity],Types_of_Activity[Classification])=1,Term1_Special_Day_2[[#This Row],[Elapsed]],0))</f>
        <v/>
      </c>
      <c r="N101" s="106" t="str">
        <f>IF(ISBLANK(Term1_Special_Day_2[[#This Row],[Activity]]),"",IF(_xlfn.XLOOKUP(Term1_Special_Day_2[[#This Row],[Activity]],Types_of_Activity[Type of Activity],Types_of_Activity[Classification])=2,Term1_Special_Day_2[[#This Row],[Elapsed]],0))</f>
        <v/>
      </c>
      <c r="O101"/>
      <c r="P101" s="136"/>
      <c r="Q101" s="136"/>
      <c r="R101" s="103"/>
      <c r="S101" s="106" t="str">
        <f>IF(OR(ISBLANK(Term1_Special_Day_3[[#This Row],[Start]]),ISBLANK(Term1_Special_Day_3[[#This Row],[End]])),"",(Term1_Special_Day_3[[#This Row],[End]]-Term1_Special_Day_3[[#This Row],[Start]])*1440)</f>
        <v/>
      </c>
      <c r="T101" s="106" t="str">
        <f>IF(ISBLANK(Term1_Special_Day_3[[#This Row],[Activity]]),"",IF(_xlfn.XLOOKUP(Term1_Special_Day_3[[#This Row],[Activity]],Types_of_Activity[Type of Activity],Types_of_Activity[Classification])=1,Term1_Special_Day_3[[#This Row],[Elapsed]],0))</f>
        <v/>
      </c>
      <c r="U101" s="106" t="str">
        <f>IF(ISBLANK(Term1_Special_Day_3[[#This Row],[Activity]]),"",IF(_xlfn.XLOOKUP(Term1_Special_Day_3[[#This Row],[Activity]],Types_of_Activity[Type of Activity],Types_of_Activity[Classification])=2,Term1_Special_Day_3[[#This Row],[Elapsed]],0))</f>
        <v/>
      </c>
    </row>
    <row r="102" spans="2:21" x14ac:dyDescent="0.3">
      <c r="B102" s="136"/>
      <c r="C102" s="136"/>
      <c r="D102" s="103"/>
      <c r="E102" s="106" t="str">
        <f>IF(OR(ISBLANK(Term1_Special_Day_1[[#This Row],[Start]]),ISBLANK(Term1_Special_Day_1[[#This Row],[End]])),"",(Term1_Special_Day_1[[#This Row],[End]]-Term1_Special_Day_1[[#This Row],[Start]])*1440)</f>
        <v/>
      </c>
      <c r="F102" s="106" t="str">
        <f>IF(ISBLANK(Term1_Special_Day_1[[#This Row],[Activity]]),"",IF(_xlfn.XLOOKUP(Term1_Special_Day_1[[#This Row],[Activity]],Types_of_Activity[Type of Activity],Types_of_Activity[Classification])=1,Term1_Special_Day_1[[#This Row],[Elapsed]],0))</f>
        <v/>
      </c>
      <c r="G102" s="106" t="str">
        <f>IF(ISBLANK(Term1_Special_Day_1[[#This Row],[Activity]]),"",IF(_xlfn.XLOOKUP(Term1_Special_Day_1[[#This Row],[Activity]],Types_of_Activity[Type of Activity],Types_of_Activity[Classification])=2,Term1_Special_Day_1[[#This Row],[Elapsed]],0))</f>
        <v/>
      </c>
      <c r="H102"/>
      <c r="I102" s="136"/>
      <c r="J102" s="136"/>
      <c r="K102" s="103"/>
      <c r="L102" s="106" t="str">
        <f>IF(OR(ISBLANK(Term1_Special_Day_2[[#This Row],[Start]]),ISBLANK(Term1_Special_Day_2[[#This Row],[End]])),"",(Term1_Special_Day_2[[#This Row],[End]]-Term1_Special_Day_2[[#This Row],[Start]])*1440)</f>
        <v/>
      </c>
      <c r="M102" s="106" t="str">
        <f>IF(ISBLANK(Term1_Special_Day_2[[#This Row],[Activity]]),"",IF(_xlfn.XLOOKUP(Term1_Special_Day_2[[#This Row],[Activity]],Types_of_Activity[Type of Activity],Types_of_Activity[Classification])=1,Term1_Special_Day_2[[#This Row],[Elapsed]],0))</f>
        <v/>
      </c>
      <c r="N102" s="106" t="str">
        <f>IF(ISBLANK(Term1_Special_Day_2[[#This Row],[Activity]]),"",IF(_xlfn.XLOOKUP(Term1_Special_Day_2[[#This Row],[Activity]],Types_of_Activity[Type of Activity],Types_of_Activity[Classification])=2,Term1_Special_Day_2[[#This Row],[Elapsed]],0))</f>
        <v/>
      </c>
      <c r="O102"/>
      <c r="P102" s="136"/>
      <c r="Q102" s="136"/>
      <c r="R102" s="103"/>
      <c r="S102" s="106" t="str">
        <f>IF(OR(ISBLANK(Term1_Special_Day_3[[#This Row],[Start]]),ISBLANK(Term1_Special_Day_3[[#This Row],[End]])),"",(Term1_Special_Day_3[[#This Row],[End]]-Term1_Special_Day_3[[#This Row],[Start]])*1440)</f>
        <v/>
      </c>
      <c r="T102" s="106" t="str">
        <f>IF(ISBLANK(Term1_Special_Day_3[[#This Row],[Activity]]),"",IF(_xlfn.XLOOKUP(Term1_Special_Day_3[[#This Row],[Activity]],Types_of_Activity[Type of Activity],Types_of_Activity[Classification])=1,Term1_Special_Day_3[[#This Row],[Elapsed]],0))</f>
        <v/>
      </c>
      <c r="U102" s="106" t="str">
        <f>IF(ISBLANK(Term1_Special_Day_3[[#This Row],[Activity]]),"",IF(_xlfn.XLOOKUP(Term1_Special_Day_3[[#This Row],[Activity]],Types_of_Activity[Type of Activity],Types_of_Activity[Classification])=2,Term1_Special_Day_3[[#This Row],[Elapsed]],0))</f>
        <v/>
      </c>
    </row>
    <row r="103" spans="2:21" x14ac:dyDescent="0.3">
      <c r="B103" s="136"/>
      <c r="C103" s="136"/>
      <c r="D103" s="103"/>
      <c r="E103" s="106" t="str">
        <f>IF(OR(ISBLANK(Term1_Special_Day_1[[#This Row],[Start]]),ISBLANK(Term1_Special_Day_1[[#This Row],[End]])),"",(Term1_Special_Day_1[[#This Row],[End]]-Term1_Special_Day_1[[#This Row],[Start]])*1440)</f>
        <v/>
      </c>
      <c r="F103" s="106" t="str">
        <f>IF(ISBLANK(Term1_Special_Day_1[[#This Row],[Activity]]),"",IF(_xlfn.XLOOKUP(Term1_Special_Day_1[[#This Row],[Activity]],Types_of_Activity[Type of Activity],Types_of_Activity[Classification])=1,Term1_Special_Day_1[[#This Row],[Elapsed]],0))</f>
        <v/>
      </c>
      <c r="G103" s="106" t="str">
        <f>IF(ISBLANK(Term1_Special_Day_1[[#This Row],[Activity]]),"",IF(_xlfn.XLOOKUP(Term1_Special_Day_1[[#This Row],[Activity]],Types_of_Activity[Type of Activity],Types_of_Activity[Classification])=2,Term1_Special_Day_1[[#This Row],[Elapsed]],0))</f>
        <v/>
      </c>
      <c r="H103"/>
      <c r="I103" s="136"/>
      <c r="J103" s="136"/>
      <c r="K103" s="103"/>
      <c r="L103" s="106" t="str">
        <f>IF(OR(ISBLANK(Term1_Special_Day_2[[#This Row],[Start]]),ISBLANK(Term1_Special_Day_2[[#This Row],[End]])),"",(Term1_Special_Day_2[[#This Row],[End]]-Term1_Special_Day_2[[#This Row],[Start]])*1440)</f>
        <v/>
      </c>
      <c r="M103" s="106" t="str">
        <f>IF(ISBLANK(Term1_Special_Day_2[[#This Row],[Activity]]),"",IF(_xlfn.XLOOKUP(Term1_Special_Day_2[[#This Row],[Activity]],Types_of_Activity[Type of Activity],Types_of_Activity[Classification])=1,Term1_Special_Day_2[[#This Row],[Elapsed]],0))</f>
        <v/>
      </c>
      <c r="N103" s="106" t="str">
        <f>IF(ISBLANK(Term1_Special_Day_2[[#This Row],[Activity]]),"",IF(_xlfn.XLOOKUP(Term1_Special_Day_2[[#This Row],[Activity]],Types_of_Activity[Type of Activity],Types_of_Activity[Classification])=2,Term1_Special_Day_2[[#This Row],[Elapsed]],0))</f>
        <v/>
      </c>
      <c r="O103"/>
      <c r="P103" s="136"/>
      <c r="Q103" s="136"/>
      <c r="R103" s="103"/>
      <c r="S103" s="106" t="str">
        <f>IF(OR(ISBLANK(Term1_Special_Day_3[[#This Row],[Start]]),ISBLANK(Term1_Special_Day_3[[#This Row],[End]])),"",(Term1_Special_Day_3[[#This Row],[End]]-Term1_Special_Day_3[[#This Row],[Start]])*1440)</f>
        <v/>
      </c>
      <c r="T103" s="106" t="str">
        <f>IF(ISBLANK(Term1_Special_Day_3[[#This Row],[Activity]]),"",IF(_xlfn.XLOOKUP(Term1_Special_Day_3[[#This Row],[Activity]],Types_of_Activity[Type of Activity],Types_of_Activity[Classification])=1,Term1_Special_Day_3[[#This Row],[Elapsed]],0))</f>
        <v/>
      </c>
      <c r="U103" s="106" t="str">
        <f>IF(ISBLANK(Term1_Special_Day_3[[#This Row],[Activity]]),"",IF(_xlfn.XLOOKUP(Term1_Special_Day_3[[#This Row],[Activity]],Types_of_Activity[Type of Activity],Types_of_Activity[Classification])=2,Term1_Special_Day_3[[#This Row],[Elapsed]],0))</f>
        <v/>
      </c>
    </row>
    <row r="104" spans="2:21" x14ac:dyDescent="0.3">
      <c r="B104" s="136"/>
      <c r="C104" s="136"/>
      <c r="D104" s="103"/>
      <c r="E104" s="106" t="str">
        <f>IF(OR(ISBLANK(Term1_Special_Day_1[[#This Row],[Start]]),ISBLANK(Term1_Special_Day_1[[#This Row],[End]])),"",(Term1_Special_Day_1[[#This Row],[End]]-Term1_Special_Day_1[[#This Row],[Start]])*1440)</f>
        <v/>
      </c>
      <c r="F104" s="106" t="str">
        <f>IF(ISBLANK(Term1_Special_Day_1[[#This Row],[Activity]]),"",IF(_xlfn.XLOOKUP(Term1_Special_Day_1[[#This Row],[Activity]],Types_of_Activity[Type of Activity],Types_of_Activity[Classification])=1,Term1_Special_Day_1[[#This Row],[Elapsed]],0))</f>
        <v/>
      </c>
      <c r="G104" s="106" t="str">
        <f>IF(ISBLANK(Term1_Special_Day_1[[#This Row],[Activity]]),"",IF(_xlfn.XLOOKUP(Term1_Special_Day_1[[#This Row],[Activity]],Types_of_Activity[Type of Activity],Types_of_Activity[Classification])=2,Term1_Special_Day_1[[#This Row],[Elapsed]],0))</f>
        <v/>
      </c>
      <c r="H104"/>
      <c r="I104" s="136"/>
      <c r="J104" s="136"/>
      <c r="K104" s="103"/>
      <c r="L104" s="106" t="str">
        <f>IF(OR(ISBLANK(Term1_Special_Day_2[[#This Row],[Start]]),ISBLANK(Term1_Special_Day_2[[#This Row],[End]])),"",(Term1_Special_Day_2[[#This Row],[End]]-Term1_Special_Day_2[[#This Row],[Start]])*1440)</f>
        <v/>
      </c>
      <c r="M104" s="106" t="str">
        <f>IF(ISBLANK(Term1_Special_Day_2[[#This Row],[Activity]]),"",IF(_xlfn.XLOOKUP(Term1_Special_Day_2[[#This Row],[Activity]],Types_of_Activity[Type of Activity],Types_of_Activity[Classification])=1,Term1_Special_Day_2[[#This Row],[Elapsed]],0))</f>
        <v/>
      </c>
      <c r="N104" s="106" t="str">
        <f>IF(ISBLANK(Term1_Special_Day_2[[#This Row],[Activity]]),"",IF(_xlfn.XLOOKUP(Term1_Special_Day_2[[#This Row],[Activity]],Types_of_Activity[Type of Activity],Types_of_Activity[Classification])=2,Term1_Special_Day_2[[#This Row],[Elapsed]],0))</f>
        <v/>
      </c>
      <c r="O104"/>
      <c r="P104" s="136"/>
      <c r="Q104" s="136"/>
      <c r="R104" s="103"/>
      <c r="S104" s="106" t="str">
        <f>IF(OR(ISBLANK(Term1_Special_Day_3[[#This Row],[Start]]),ISBLANK(Term1_Special_Day_3[[#This Row],[End]])),"",(Term1_Special_Day_3[[#This Row],[End]]-Term1_Special_Day_3[[#This Row],[Start]])*1440)</f>
        <v/>
      </c>
      <c r="T104" s="106" t="str">
        <f>IF(ISBLANK(Term1_Special_Day_3[[#This Row],[Activity]]),"",IF(_xlfn.XLOOKUP(Term1_Special_Day_3[[#This Row],[Activity]],Types_of_Activity[Type of Activity],Types_of_Activity[Classification])=1,Term1_Special_Day_3[[#This Row],[Elapsed]],0))</f>
        <v/>
      </c>
      <c r="U104" s="106" t="str">
        <f>IF(ISBLANK(Term1_Special_Day_3[[#This Row],[Activity]]),"",IF(_xlfn.XLOOKUP(Term1_Special_Day_3[[#This Row],[Activity]],Types_of_Activity[Type of Activity],Types_of_Activity[Classification])=2,Term1_Special_Day_3[[#This Row],[Elapsed]],0))</f>
        <v/>
      </c>
    </row>
    <row r="105" spans="2:21" x14ac:dyDescent="0.3">
      <c r="B105" s="136"/>
      <c r="C105" s="136"/>
      <c r="D105" s="103"/>
      <c r="E105" s="106" t="str">
        <f>IF(OR(ISBLANK(Term1_Special_Day_1[[#This Row],[Start]]),ISBLANK(Term1_Special_Day_1[[#This Row],[End]])),"",(Term1_Special_Day_1[[#This Row],[End]]-Term1_Special_Day_1[[#This Row],[Start]])*1440)</f>
        <v/>
      </c>
      <c r="F105" s="106" t="str">
        <f>IF(ISBLANK(Term1_Special_Day_1[[#This Row],[Activity]]),"",IF(_xlfn.XLOOKUP(Term1_Special_Day_1[[#This Row],[Activity]],Types_of_Activity[Type of Activity],Types_of_Activity[Classification])=1,Term1_Special_Day_1[[#This Row],[Elapsed]],0))</f>
        <v/>
      </c>
      <c r="G105" s="106" t="str">
        <f>IF(ISBLANK(Term1_Special_Day_1[[#This Row],[Activity]]),"",IF(_xlfn.XLOOKUP(Term1_Special_Day_1[[#This Row],[Activity]],Types_of_Activity[Type of Activity],Types_of_Activity[Classification])=2,Term1_Special_Day_1[[#This Row],[Elapsed]],0))</f>
        <v/>
      </c>
      <c r="H105"/>
      <c r="I105" s="136"/>
      <c r="J105" s="136"/>
      <c r="K105" s="103"/>
      <c r="L105" s="106" t="str">
        <f>IF(OR(ISBLANK(Term1_Special_Day_2[[#This Row],[Start]]),ISBLANK(Term1_Special_Day_2[[#This Row],[End]])),"",(Term1_Special_Day_2[[#This Row],[End]]-Term1_Special_Day_2[[#This Row],[Start]])*1440)</f>
        <v/>
      </c>
      <c r="M105" s="106" t="str">
        <f>IF(ISBLANK(Term1_Special_Day_2[[#This Row],[Activity]]),"",IF(_xlfn.XLOOKUP(Term1_Special_Day_2[[#This Row],[Activity]],Types_of_Activity[Type of Activity],Types_of_Activity[Classification])=1,Term1_Special_Day_2[[#This Row],[Elapsed]],0))</f>
        <v/>
      </c>
      <c r="N105" s="106" t="str">
        <f>IF(ISBLANK(Term1_Special_Day_2[[#This Row],[Activity]]),"",IF(_xlfn.XLOOKUP(Term1_Special_Day_2[[#This Row],[Activity]],Types_of_Activity[Type of Activity],Types_of_Activity[Classification])=2,Term1_Special_Day_2[[#This Row],[Elapsed]],0))</f>
        <v/>
      </c>
      <c r="O105"/>
      <c r="P105" s="136"/>
      <c r="Q105" s="136"/>
      <c r="R105" s="103"/>
      <c r="S105" s="106" t="str">
        <f>IF(OR(ISBLANK(Term1_Special_Day_3[[#This Row],[Start]]),ISBLANK(Term1_Special_Day_3[[#This Row],[End]])),"",(Term1_Special_Day_3[[#This Row],[End]]-Term1_Special_Day_3[[#This Row],[Start]])*1440)</f>
        <v/>
      </c>
      <c r="T105" s="106" t="str">
        <f>IF(ISBLANK(Term1_Special_Day_3[[#This Row],[Activity]]),"",IF(_xlfn.XLOOKUP(Term1_Special_Day_3[[#This Row],[Activity]],Types_of_Activity[Type of Activity],Types_of_Activity[Classification])=1,Term1_Special_Day_3[[#This Row],[Elapsed]],0))</f>
        <v/>
      </c>
      <c r="U105" s="106" t="str">
        <f>IF(ISBLANK(Term1_Special_Day_3[[#This Row],[Activity]]),"",IF(_xlfn.XLOOKUP(Term1_Special_Day_3[[#This Row],[Activity]],Types_of_Activity[Type of Activity],Types_of_Activity[Classification])=2,Term1_Special_Day_3[[#This Row],[Elapsed]],0))</f>
        <v/>
      </c>
    </row>
    <row r="106" spans="2:21" x14ac:dyDescent="0.3">
      <c r="B106" s="136"/>
      <c r="C106" s="136"/>
      <c r="D106" s="103"/>
      <c r="E106" s="106" t="str">
        <f>IF(OR(ISBLANK(Term1_Special_Day_1[[#This Row],[Start]]),ISBLANK(Term1_Special_Day_1[[#This Row],[End]])),"",(Term1_Special_Day_1[[#This Row],[End]]-Term1_Special_Day_1[[#This Row],[Start]])*1440)</f>
        <v/>
      </c>
      <c r="F106" s="106" t="str">
        <f>IF(ISBLANK(Term1_Special_Day_1[[#This Row],[Activity]]),"",IF(_xlfn.XLOOKUP(Term1_Special_Day_1[[#This Row],[Activity]],Types_of_Activity[Type of Activity],Types_of_Activity[Classification])=1,Term1_Special_Day_1[[#This Row],[Elapsed]],0))</f>
        <v/>
      </c>
      <c r="G106" s="106" t="str">
        <f>IF(ISBLANK(Term1_Special_Day_1[[#This Row],[Activity]]),"",IF(_xlfn.XLOOKUP(Term1_Special_Day_1[[#This Row],[Activity]],Types_of_Activity[Type of Activity],Types_of_Activity[Classification])=2,Term1_Special_Day_1[[#This Row],[Elapsed]],0))</f>
        <v/>
      </c>
      <c r="H106"/>
      <c r="I106" s="136"/>
      <c r="J106" s="136"/>
      <c r="K106" s="103"/>
      <c r="L106" s="106" t="str">
        <f>IF(OR(ISBLANK(Term1_Special_Day_2[[#This Row],[Start]]),ISBLANK(Term1_Special_Day_2[[#This Row],[End]])),"",(Term1_Special_Day_2[[#This Row],[End]]-Term1_Special_Day_2[[#This Row],[Start]])*1440)</f>
        <v/>
      </c>
      <c r="M106" s="106" t="str">
        <f>IF(ISBLANK(Term1_Special_Day_2[[#This Row],[Activity]]),"",IF(_xlfn.XLOOKUP(Term1_Special_Day_2[[#This Row],[Activity]],Types_of_Activity[Type of Activity],Types_of_Activity[Classification])=1,Term1_Special_Day_2[[#This Row],[Elapsed]],0))</f>
        <v/>
      </c>
      <c r="N106" s="106" t="str">
        <f>IF(ISBLANK(Term1_Special_Day_2[[#This Row],[Activity]]),"",IF(_xlfn.XLOOKUP(Term1_Special_Day_2[[#This Row],[Activity]],Types_of_Activity[Type of Activity],Types_of_Activity[Classification])=2,Term1_Special_Day_2[[#This Row],[Elapsed]],0))</f>
        <v/>
      </c>
      <c r="O106"/>
      <c r="P106" s="136"/>
      <c r="Q106" s="136"/>
      <c r="R106" s="103"/>
      <c r="S106" s="106" t="str">
        <f>IF(OR(ISBLANK(Term1_Special_Day_3[[#This Row],[Start]]),ISBLANK(Term1_Special_Day_3[[#This Row],[End]])),"",(Term1_Special_Day_3[[#This Row],[End]]-Term1_Special_Day_3[[#This Row],[Start]])*1440)</f>
        <v/>
      </c>
      <c r="T106" s="106" t="str">
        <f>IF(ISBLANK(Term1_Special_Day_3[[#This Row],[Activity]]),"",IF(_xlfn.XLOOKUP(Term1_Special_Day_3[[#This Row],[Activity]],Types_of_Activity[Type of Activity],Types_of_Activity[Classification])=1,Term1_Special_Day_3[[#This Row],[Elapsed]],0))</f>
        <v/>
      </c>
      <c r="U106" s="106" t="str">
        <f>IF(ISBLANK(Term1_Special_Day_3[[#This Row],[Activity]]),"",IF(_xlfn.XLOOKUP(Term1_Special_Day_3[[#This Row],[Activity]],Types_of_Activity[Type of Activity],Types_of_Activity[Classification])=2,Term1_Special_Day_3[[#This Row],[Elapsed]],0))</f>
        <v/>
      </c>
    </row>
    <row r="107" spans="2:21" x14ac:dyDescent="0.3">
      <c r="B107" s="136"/>
      <c r="C107" s="136"/>
      <c r="D107" s="103"/>
      <c r="E107" s="106" t="str">
        <f>IF(OR(ISBLANK(Term1_Special_Day_1[[#This Row],[Start]]),ISBLANK(Term1_Special_Day_1[[#This Row],[End]])),"",(Term1_Special_Day_1[[#This Row],[End]]-Term1_Special_Day_1[[#This Row],[Start]])*1440)</f>
        <v/>
      </c>
      <c r="F107" s="106" t="str">
        <f>IF(ISBLANK(Term1_Special_Day_1[[#This Row],[Activity]]),"",IF(_xlfn.XLOOKUP(Term1_Special_Day_1[[#This Row],[Activity]],Types_of_Activity[Type of Activity],Types_of_Activity[Classification])=1,Term1_Special_Day_1[[#This Row],[Elapsed]],0))</f>
        <v/>
      </c>
      <c r="G107" s="106" t="str">
        <f>IF(ISBLANK(Term1_Special_Day_1[[#This Row],[Activity]]),"",IF(_xlfn.XLOOKUP(Term1_Special_Day_1[[#This Row],[Activity]],Types_of_Activity[Type of Activity],Types_of_Activity[Classification])=2,Term1_Special_Day_1[[#This Row],[Elapsed]],0))</f>
        <v/>
      </c>
      <c r="H107"/>
      <c r="I107" s="136"/>
      <c r="J107" s="136"/>
      <c r="K107" s="103"/>
      <c r="L107" s="106" t="str">
        <f>IF(OR(ISBLANK(Term1_Special_Day_2[[#This Row],[Start]]),ISBLANK(Term1_Special_Day_2[[#This Row],[End]])),"",(Term1_Special_Day_2[[#This Row],[End]]-Term1_Special_Day_2[[#This Row],[Start]])*1440)</f>
        <v/>
      </c>
      <c r="M107" s="106" t="str">
        <f>IF(ISBLANK(Term1_Special_Day_2[[#This Row],[Activity]]),"",IF(_xlfn.XLOOKUP(Term1_Special_Day_2[[#This Row],[Activity]],Types_of_Activity[Type of Activity],Types_of_Activity[Classification])=1,Term1_Special_Day_2[[#This Row],[Elapsed]],0))</f>
        <v/>
      </c>
      <c r="N107" s="106" t="str">
        <f>IF(ISBLANK(Term1_Special_Day_2[[#This Row],[Activity]]),"",IF(_xlfn.XLOOKUP(Term1_Special_Day_2[[#This Row],[Activity]],Types_of_Activity[Type of Activity],Types_of_Activity[Classification])=2,Term1_Special_Day_2[[#This Row],[Elapsed]],0))</f>
        <v/>
      </c>
      <c r="O107"/>
      <c r="P107" s="136"/>
      <c r="Q107" s="136"/>
      <c r="R107" s="103"/>
      <c r="S107" s="106" t="str">
        <f>IF(OR(ISBLANK(Term1_Special_Day_3[[#This Row],[Start]]),ISBLANK(Term1_Special_Day_3[[#This Row],[End]])),"",(Term1_Special_Day_3[[#This Row],[End]]-Term1_Special_Day_3[[#This Row],[Start]])*1440)</f>
        <v/>
      </c>
      <c r="T107" s="106" t="str">
        <f>IF(ISBLANK(Term1_Special_Day_3[[#This Row],[Activity]]),"",IF(_xlfn.XLOOKUP(Term1_Special_Day_3[[#This Row],[Activity]],Types_of_Activity[Type of Activity],Types_of_Activity[Classification])=1,Term1_Special_Day_3[[#This Row],[Elapsed]],0))</f>
        <v/>
      </c>
      <c r="U107" s="106" t="str">
        <f>IF(ISBLANK(Term1_Special_Day_3[[#This Row],[Activity]]),"",IF(_xlfn.XLOOKUP(Term1_Special_Day_3[[#This Row],[Activity]],Types_of_Activity[Type of Activity],Types_of_Activity[Classification])=2,Term1_Special_Day_3[[#This Row],[Elapsed]],0))</f>
        <v/>
      </c>
    </row>
    <row r="108" spans="2:21" x14ac:dyDescent="0.3">
      <c r="B108" s="136"/>
      <c r="C108" s="136"/>
      <c r="D108" s="103"/>
      <c r="E108" s="106" t="str">
        <f>IF(OR(ISBLANK(Term1_Special_Day_1[[#This Row],[Start]]),ISBLANK(Term1_Special_Day_1[[#This Row],[End]])),"",(Term1_Special_Day_1[[#This Row],[End]]-Term1_Special_Day_1[[#This Row],[Start]])*1440)</f>
        <v/>
      </c>
      <c r="F108" s="106" t="str">
        <f>IF(ISBLANK(Term1_Special_Day_1[[#This Row],[Activity]]),"",IF(_xlfn.XLOOKUP(Term1_Special_Day_1[[#This Row],[Activity]],Types_of_Activity[Type of Activity],Types_of_Activity[Classification])=1,Term1_Special_Day_1[[#This Row],[Elapsed]],0))</f>
        <v/>
      </c>
      <c r="G108" s="106" t="str">
        <f>IF(ISBLANK(Term1_Special_Day_1[[#This Row],[Activity]]),"",IF(_xlfn.XLOOKUP(Term1_Special_Day_1[[#This Row],[Activity]],Types_of_Activity[Type of Activity],Types_of_Activity[Classification])=2,Term1_Special_Day_1[[#This Row],[Elapsed]],0))</f>
        <v/>
      </c>
      <c r="H108"/>
      <c r="I108" s="136"/>
      <c r="J108" s="136"/>
      <c r="K108" s="103"/>
      <c r="L108" s="106" t="str">
        <f>IF(OR(ISBLANK(Term1_Special_Day_2[[#This Row],[Start]]),ISBLANK(Term1_Special_Day_2[[#This Row],[End]])),"",(Term1_Special_Day_2[[#This Row],[End]]-Term1_Special_Day_2[[#This Row],[Start]])*1440)</f>
        <v/>
      </c>
      <c r="M108" s="106" t="str">
        <f>IF(ISBLANK(Term1_Special_Day_2[[#This Row],[Activity]]),"",IF(_xlfn.XLOOKUP(Term1_Special_Day_2[[#This Row],[Activity]],Types_of_Activity[Type of Activity],Types_of_Activity[Classification])=1,Term1_Special_Day_2[[#This Row],[Elapsed]],0))</f>
        <v/>
      </c>
      <c r="N108" s="106" t="str">
        <f>IF(ISBLANK(Term1_Special_Day_2[[#This Row],[Activity]]),"",IF(_xlfn.XLOOKUP(Term1_Special_Day_2[[#This Row],[Activity]],Types_of_Activity[Type of Activity],Types_of_Activity[Classification])=2,Term1_Special_Day_2[[#This Row],[Elapsed]],0))</f>
        <v/>
      </c>
      <c r="O108"/>
      <c r="P108" s="136"/>
      <c r="Q108" s="136"/>
      <c r="R108" s="103"/>
      <c r="S108" s="106" t="str">
        <f>IF(OR(ISBLANK(Term1_Special_Day_3[[#This Row],[Start]]),ISBLANK(Term1_Special_Day_3[[#This Row],[End]])),"",(Term1_Special_Day_3[[#This Row],[End]]-Term1_Special_Day_3[[#This Row],[Start]])*1440)</f>
        <v/>
      </c>
      <c r="T108" s="106" t="str">
        <f>IF(ISBLANK(Term1_Special_Day_3[[#This Row],[Activity]]),"",IF(_xlfn.XLOOKUP(Term1_Special_Day_3[[#This Row],[Activity]],Types_of_Activity[Type of Activity],Types_of_Activity[Classification])=1,Term1_Special_Day_3[[#This Row],[Elapsed]],0))</f>
        <v/>
      </c>
      <c r="U108" s="106" t="str">
        <f>IF(ISBLANK(Term1_Special_Day_3[[#This Row],[Activity]]),"",IF(_xlfn.XLOOKUP(Term1_Special_Day_3[[#This Row],[Activity]],Types_of_Activity[Type of Activity],Types_of_Activity[Classification])=2,Term1_Special_Day_3[[#This Row],[Elapsed]],0))</f>
        <v/>
      </c>
    </row>
    <row r="109" spans="2:21" x14ac:dyDescent="0.3">
      <c r="B109" s="136"/>
      <c r="C109" s="136"/>
      <c r="D109" s="103"/>
      <c r="E109" s="106" t="str">
        <f>IF(OR(ISBLANK(Term1_Special_Day_1[[#This Row],[Start]]),ISBLANK(Term1_Special_Day_1[[#This Row],[End]])),"",(Term1_Special_Day_1[[#This Row],[End]]-Term1_Special_Day_1[[#This Row],[Start]])*1440)</f>
        <v/>
      </c>
      <c r="F109" s="106" t="str">
        <f>IF(ISBLANK(Term1_Special_Day_1[[#This Row],[Activity]]),"",IF(_xlfn.XLOOKUP(Term1_Special_Day_1[[#This Row],[Activity]],Types_of_Activity[Type of Activity],Types_of_Activity[Classification])=1,Term1_Special_Day_1[[#This Row],[Elapsed]],0))</f>
        <v/>
      </c>
      <c r="G109" s="106" t="str">
        <f>IF(ISBLANK(Term1_Special_Day_1[[#This Row],[Activity]]),"",IF(_xlfn.XLOOKUP(Term1_Special_Day_1[[#This Row],[Activity]],Types_of_Activity[Type of Activity],Types_of_Activity[Classification])=2,Term1_Special_Day_1[[#This Row],[Elapsed]],0))</f>
        <v/>
      </c>
      <c r="H109"/>
      <c r="I109" s="136"/>
      <c r="J109" s="136"/>
      <c r="K109" s="103"/>
      <c r="L109" s="106" t="str">
        <f>IF(OR(ISBLANK(Term1_Special_Day_2[[#This Row],[Start]]),ISBLANK(Term1_Special_Day_2[[#This Row],[End]])),"",(Term1_Special_Day_2[[#This Row],[End]]-Term1_Special_Day_2[[#This Row],[Start]])*1440)</f>
        <v/>
      </c>
      <c r="M109" s="106" t="str">
        <f>IF(ISBLANK(Term1_Special_Day_2[[#This Row],[Activity]]),"",IF(_xlfn.XLOOKUP(Term1_Special_Day_2[[#This Row],[Activity]],Types_of_Activity[Type of Activity],Types_of_Activity[Classification])=1,Term1_Special_Day_2[[#This Row],[Elapsed]],0))</f>
        <v/>
      </c>
      <c r="N109" s="106" t="str">
        <f>IF(ISBLANK(Term1_Special_Day_2[[#This Row],[Activity]]),"",IF(_xlfn.XLOOKUP(Term1_Special_Day_2[[#This Row],[Activity]],Types_of_Activity[Type of Activity],Types_of_Activity[Classification])=2,Term1_Special_Day_2[[#This Row],[Elapsed]],0))</f>
        <v/>
      </c>
      <c r="O109"/>
      <c r="P109" s="136"/>
      <c r="Q109" s="136"/>
      <c r="R109" s="103"/>
      <c r="S109" s="106" t="str">
        <f>IF(OR(ISBLANK(Term1_Special_Day_3[[#This Row],[Start]]),ISBLANK(Term1_Special_Day_3[[#This Row],[End]])),"",(Term1_Special_Day_3[[#This Row],[End]]-Term1_Special_Day_3[[#This Row],[Start]])*1440)</f>
        <v/>
      </c>
      <c r="T109" s="106" t="str">
        <f>IF(ISBLANK(Term1_Special_Day_3[[#This Row],[Activity]]),"",IF(_xlfn.XLOOKUP(Term1_Special_Day_3[[#This Row],[Activity]],Types_of_Activity[Type of Activity],Types_of_Activity[Classification])=1,Term1_Special_Day_3[[#This Row],[Elapsed]],0))</f>
        <v/>
      </c>
      <c r="U109" s="106" t="str">
        <f>IF(ISBLANK(Term1_Special_Day_3[[#This Row],[Activity]]),"",IF(_xlfn.XLOOKUP(Term1_Special_Day_3[[#This Row],[Activity]],Types_of_Activity[Type of Activity],Types_of_Activity[Classification])=2,Term1_Special_Day_3[[#This Row],[Elapsed]],0))</f>
        <v/>
      </c>
    </row>
    <row r="110" spans="2:21" x14ac:dyDescent="0.3">
      <c r="B110" s="136"/>
      <c r="C110" s="136"/>
      <c r="D110" s="103"/>
      <c r="E110" s="106" t="str">
        <f>IF(OR(ISBLANK(Term1_Special_Day_1[[#This Row],[Start]]),ISBLANK(Term1_Special_Day_1[[#This Row],[End]])),"",(Term1_Special_Day_1[[#This Row],[End]]-Term1_Special_Day_1[[#This Row],[Start]])*1440)</f>
        <v/>
      </c>
      <c r="F110" s="106" t="str">
        <f>IF(ISBLANK(Term1_Special_Day_1[[#This Row],[Activity]]),"",IF(_xlfn.XLOOKUP(Term1_Special_Day_1[[#This Row],[Activity]],Types_of_Activity[Type of Activity],Types_of_Activity[Classification])=1,Term1_Special_Day_1[[#This Row],[Elapsed]],0))</f>
        <v/>
      </c>
      <c r="G110" s="106" t="str">
        <f>IF(ISBLANK(Term1_Special_Day_1[[#This Row],[Activity]]),"",IF(_xlfn.XLOOKUP(Term1_Special_Day_1[[#This Row],[Activity]],Types_of_Activity[Type of Activity],Types_of_Activity[Classification])=2,Term1_Special_Day_1[[#This Row],[Elapsed]],0))</f>
        <v/>
      </c>
      <c r="H110"/>
      <c r="I110" s="136"/>
      <c r="J110" s="136"/>
      <c r="K110" s="103"/>
      <c r="L110" s="106" t="str">
        <f>IF(OR(ISBLANK(Term1_Special_Day_2[[#This Row],[Start]]),ISBLANK(Term1_Special_Day_2[[#This Row],[End]])),"",(Term1_Special_Day_2[[#This Row],[End]]-Term1_Special_Day_2[[#This Row],[Start]])*1440)</f>
        <v/>
      </c>
      <c r="M110" s="106" t="str">
        <f>IF(ISBLANK(Term1_Special_Day_2[[#This Row],[Activity]]),"",IF(_xlfn.XLOOKUP(Term1_Special_Day_2[[#This Row],[Activity]],Types_of_Activity[Type of Activity],Types_of_Activity[Classification])=1,Term1_Special_Day_2[[#This Row],[Elapsed]],0))</f>
        <v/>
      </c>
      <c r="N110" s="106" t="str">
        <f>IF(ISBLANK(Term1_Special_Day_2[[#This Row],[Activity]]),"",IF(_xlfn.XLOOKUP(Term1_Special_Day_2[[#This Row],[Activity]],Types_of_Activity[Type of Activity],Types_of_Activity[Classification])=2,Term1_Special_Day_2[[#This Row],[Elapsed]],0))</f>
        <v/>
      </c>
      <c r="O110"/>
      <c r="P110" s="136"/>
      <c r="Q110" s="136"/>
      <c r="R110" s="103"/>
      <c r="S110" s="106" t="str">
        <f>IF(OR(ISBLANK(Term1_Special_Day_3[[#This Row],[Start]]),ISBLANK(Term1_Special_Day_3[[#This Row],[End]])),"",(Term1_Special_Day_3[[#This Row],[End]]-Term1_Special_Day_3[[#This Row],[Start]])*1440)</f>
        <v/>
      </c>
      <c r="T110" s="106" t="str">
        <f>IF(ISBLANK(Term1_Special_Day_3[[#This Row],[Activity]]),"",IF(_xlfn.XLOOKUP(Term1_Special_Day_3[[#This Row],[Activity]],Types_of_Activity[Type of Activity],Types_of_Activity[Classification])=1,Term1_Special_Day_3[[#This Row],[Elapsed]],0))</f>
        <v/>
      </c>
      <c r="U110" s="106" t="str">
        <f>IF(ISBLANK(Term1_Special_Day_3[[#This Row],[Activity]]),"",IF(_xlfn.XLOOKUP(Term1_Special_Day_3[[#This Row],[Activity]],Types_of_Activity[Type of Activity],Types_of_Activity[Classification])=2,Term1_Special_Day_3[[#This Row],[Elapsed]],0))</f>
        <v/>
      </c>
    </row>
    <row r="111" spans="2:21" x14ac:dyDescent="0.3">
      <c r="B111" s="136"/>
      <c r="C111" s="136"/>
      <c r="D111" s="103"/>
      <c r="E111" s="106" t="str">
        <f>IF(OR(ISBLANK(Term1_Special_Day_1[[#This Row],[Start]]),ISBLANK(Term1_Special_Day_1[[#This Row],[End]])),"",(Term1_Special_Day_1[[#This Row],[End]]-Term1_Special_Day_1[[#This Row],[Start]])*1440)</f>
        <v/>
      </c>
      <c r="F111" s="106" t="str">
        <f>IF(ISBLANK(Term1_Special_Day_1[[#This Row],[Activity]]),"",IF(_xlfn.XLOOKUP(Term1_Special_Day_1[[#This Row],[Activity]],Types_of_Activity[Type of Activity],Types_of_Activity[Classification])=1,Term1_Special_Day_1[[#This Row],[Elapsed]],0))</f>
        <v/>
      </c>
      <c r="G111" s="106" t="str">
        <f>IF(ISBLANK(Term1_Special_Day_1[[#This Row],[Activity]]),"",IF(_xlfn.XLOOKUP(Term1_Special_Day_1[[#This Row],[Activity]],Types_of_Activity[Type of Activity],Types_of_Activity[Classification])=2,Term1_Special_Day_1[[#This Row],[Elapsed]],0))</f>
        <v/>
      </c>
      <c r="H111"/>
      <c r="I111" s="136"/>
      <c r="J111" s="136"/>
      <c r="K111" s="103"/>
      <c r="L111" s="106" t="str">
        <f>IF(OR(ISBLANK(Term1_Special_Day_2[[#This Row],[Start]]),ISBLANK(Term1_Special_Day_2[[#This Row],[End]])),"",(Term1_Special_Day_2[[#This Row],[End]]-Term1_Special_Day_2[[#This Row],[Start]])*1440)</f>
        <v/>
      </c>
      <c r="M111" s="106" t="str">
        <f>IF(ISBLANK(Term1_Special_Day_2[[#This Row],[Activity]]),"",IF(_xlfn.XLOOKUP(Term1_Special_Day_2[[#This Row],[Activity]],Types_of_Activity[Type of Activity],Types_of_Activity[Classification])=1,Term1_Special_Day_2[[#This Row],[Elapsed]],0))</f>
        <v/>
      </c>
      <c r="N111" s="106" t="str">
        <f>IF(ISBLANK(Term1_Special_Day_2[[#This Row],[Activity]]),"",IF(_xlfn.XLOOKUP(Term1_Special_Day_2[[#This Row],[Activity]],Types_of_Activity[Type of Activity],Types_of_Activity[Classification])=2,Term1_Special_Day_2[[#This Row],[Elapsed]],0))</f>
        <v/>
      </c>
      <c r="O111"/>
      <c r="P111" s="136"/>
      <c r="Q111" s="136"/>
      <c r="R111" s="103"/>
      <c r="S111" s="106" t="str">
        <f>IF(OR(ISBLANK(Term1_Special_Day_3[[#This Row],[Start]]),ISBLANK(Term1_Special_Day_3[[#This Row],[End]])),"",(Term1_Special_Day_3[[#This Row],[End]]-Term1_Special_Day_3[[#This Row],[Start]])*1440)</f>
        <v/>
      </c>
      <c r="T111" s="106" t="str">
        <f>IF(ISBLANK(Term1_Special_Day_3[[#This Row],[Activity]]),"",IF(_xlfn.XLOOKUP(Term1_Special_Day_3[[#This Row],[Activity]],Types_of_Activity[Type of Activity],Types_of_Activity[Classification])=1,Term1_Special_Day_3[[#This Row],[Elapsed]],0))</f>
        <v/>
      </c>
      <c r="U111" s="106" t="str">
        <f>IF(ISBLANK(Term1_Special_Day_3[[#This Row],[Activity]]),"",IF(_xlfn.XLOOKUP(Term1_Special_Day_3[[#This Row],[Activity]],Types_of_Activity[Type of Activity],Types_of_Activity[Classification])=2,Term1_Special_Day_3[[#This Row],[Elapsed]],0))</f>
        <v/>
      </c>
    </row>
    <row r="112" spans="2:21" x14ac:dyDescent="0.3">
      <c r="B112" s="136"/>
      <c r="C112" s="136"/>
      <c r="D112" s="103"/>
      <c r="E112" s="106" t="str">
        <f>IF(OR(ISBLANK(Term1_Special_Day_1[[#This Row],[Start]]),ISBLANK(Term1_Special_Day_1[[#This Row],[End]])),"",(Term1_Special_Day_1[[#This Row],[End]]-Term1_Special_Day_1[[#This Row],[Start]])*1440)</f>
        <v/>
      </c>
      <c r="F112" s="106" t="str">
        <f>IF(ISBLANK(Term1_Special_Day_1[[#This Row],[Activity]]),"",IF(_xlfn.XLOOKUP(Term1_Special_Day_1[[#This Row],[Activity]],Types_of_Activity[Type of Activity],Types_of_Activity[Classification])=1,Term1_Special_Day_1[[#This Row],[Elapsed]],0))</f>
        <v/>
      </c>
      <c r="G112" s="106" t="str">
        <f>IF(ISBLANK(Term1_Special_Day_1[[#This Row],[Activity]]),"",IF(_xlfn.XLOOKUP(Term1_Special_Day_1[[#This Row],[Activity]],Types_of_Activity[Type of Activity],Types_of_Activity[Classification])=2,Term1_Special_Day_1[[#This Row],[Elapsed]],0))</f>
        <v/>
      </c>
      <c r="H112"/>
      <c r="I112" s="136"/>
      <c r="J112" s="136"/>
      <c r="K112" s="103"/>
      <c r="L112" s="106" t="str">
        <f>IF(OR(ISBLANK(Term1_Special_Day_2[[#This Row],[Start]]),ISBLANK(Term1_Special_Day_2[[#This Row],[End]])),"",(Term1_Special_Day_2[[#This Row],[End]]-Term1_Special_Day_2[[#This Row],[Start]])*1440)</f>
        <v/>
      </c>
      <c r="M112" s="106" t="str">
        <f>IF(ISBLANK(Term1_Special_Day_2[[#This Row],[Activity]]),"",IF(_xlfn.XLOOKUP(Term1_Special_Day_2[[#This Row],[Activity]],Types_of_Activity[Type of Activity],Types_of_Activity[Classification])=1,Term1_Special_Day_2[[#This Row],[Elapsed]],0))</f>
        <v/>
      </c>
      <c r="N112" s="106" t="str">
        <f>IF(ISBLANK(Term1_Special_Day_2[[#This Row],[Activity]]),"",IF(_xlfn.XLOOKUP(Term1_Special_Day_2[[#This Row],[Activity]],Types_of_Activity[Type of Activity],Types_of_Activity[Classification])=2,Term1_Special_Day_2[[#This Row],[Elapsed]],0))</f>
        <v/>
      </c>
      <c r="O112"/>
      <c r="P112" s="136"/>
      <c r="Q112" s="136"/>
      <c r="R112" s="103"/>
      <c r="S112" s="106" t="str">
        <f>IF(OR(ISBLANK(Term1_Special_Day_3[[#This Row],[Start]]),ISBLANK(Term1_Special_Day_3[[#This Row],[End]])),"",(Term1_Special_Day_3[[#This Row],[End]]-Term1_Special_Day_3[[#This Row],[Start]])*1440)</f>
        <v/>
      </c>
      <c r="T112" s="106" t="str">
        <f>IF(ISBLANK(Term1_Special_Day_3[[#This Row],[Activity]]),"",IF(_xlfn.XLOOKUP(Term1_Special_Day_3[[#This Row],[Activity]],Types_of_Activity[Type of Activity],Types_of_Activity[Classification])=1,Term1_Special_Day_3[[#This Row],[Elapsed]],0))</f>
        <v/>
      </c>
      <c r="U112" s="106" t="str">
        <f>IF(ISBLANK(Term1_Special_Day_3[[#This Row],[Activity]]),"",IF(_xlfn.XLOOKUP(Term1_Special_Day_3[[#This Row],[Activity]],Types_of_Activity[Type of Activity],Types_of_Activity[Classification])=2,Term1_Special_Day_3[[#This Row],[Elapsed]],0))</f>
        <v/>
      </c>
    </row>
    <row r="113" spans="2:21" x14ac:dyDescent="0.3">
      <c r="B113" s="136"/>
      <c r="C113" s="136"/>
      <c r="D113" s="103"/>
      <c r="E113" s="106" t="str">
        <f>IF(OR(ISBLANK(Term1_Special_Day_1[[#This Row],[Start]]),ISBLANK(Term1_Special_Day_1[[#This Row],[End]])),"",(Term1_Special_Day_1[[#This Row],[End]]-Term1_Special_Day_1[[#This Row],[Start]])*1440)</f>
        <v/>
      </c>
      <c r="F113" s="106" t="str">
        <f>IF(ISBLANK(Term1_Special_Day_1[[#This Row],[Activity]]),"",IF(_xlfn.XLOOKUP(Term1_Special_Day_1[[#This Row],[Activity]],Types_of_Activity[Type of Activity],Types_of_Activity[Classification])=1,Term1_Special_Day_1[[#This Row],[Elapsed]],0))</f>
        <v/>
      </c>
      <c r="G113" s="106" t="str">
        <f>IF(ISBLANK(Term1_Special_Day_1[[#This Row],[Activity]]),"",IF(_xlfn.XLOOKUP(Term1_Special_Day_1[[#This Row],[Activity]],Types_of_Activity[Type of Activity],Types_of_Activity[Classification])=2,Term1_Special_Day_1[[#This Row],[Elapsed]],0))</f>
        <v/>
      </c>
      <c r="H113"/>
      <c r="I113" s="136"/>
      <c r="J113" s="136"/>
      <c r="K113" s="103"/>
      <c r="L113" s="106" t="str">
        <f>IF(OR(ISBLANK(Term1_Special_Day_2[[#This Row],[Start]]),ISBLANK(Term1_Special_Day_2[[#This Row],[End]])),"",(Term1_Special_Day_2[[#This Row],[End]]-Term1_Special_Day_2[[#This Row],[Start]])*1440)</f>
        <v/>
      </c>
      <c r="M113" s="106" t="str">
        <f>IF(ISBLANK(Term1_Special_Day_2[[#This Row],[Activity]]),"",IF(_xlfn.XLOOKUP(Term1_Special_Day_2[[#This Row],[Activity]],Types_of_Activity[Type of Activity],Types_of_Activity[Classification])=1,Term1_Special_Day_2[[#This Row],[Elapsed]],0))</f>
        <v/>
      </c>
      <c r="N113" s="106" t="str">
        <f>IF(ISBLANK(Term1_Special_Day_2[[#This Row],[Activity]]),"",IF(_xlfn.XLOOKUP(Term1_Special_Day_2[[#This Row],[Activity]],Types_of_Activity[Type of Activity],Types_of_Activity[Classification])=2,Term1_Special_Day_2[[#This Row],[Elapsed]],0))</f>
        <v/>
      </c>
      <c r="O113"/>
      <c r="P113" s="136"/>
      <c r="Q113" s="136"/>
      <c r="R113" s="103"/>
      <c r="S113" s="106" t="str">
        <f>IF(OR(ISBLANK(Term1_Special_Day_3[[#This Row],[Start]]),ISBLANK(Term1_Special_Day_3[[#This Row],[End]])),"",(Term1_Special_Day_3[[#This Row],[End]]-Term1_Special_Day_3[[#This Row],[Start]])*1440)</f>
        <v/>
      </c>
      <c r="T113" s="106" t="str">
        <f>IF(ISBLANK(Term1_Special_Day_3[[#This Row],[Activity]]),"",IF(_xlfn.XLOOKUP(Term1_Special_Day_3[[#This Row],[Activity]],Types_of_Activity[Type of Activity],Types_of_Activity[Classification])=1,Term1_Special_Day_3[[#This Row],[Elapsed]],0))</f>
        <v/>
      </c>
      <c r="U113" s="106" t="str">
        <f>IF(ISBLANK(Term1_Special_Day_3[[#This Row],[Activity]]),"",IF(_xlfn.XLOOKUP(Term1_Special_Day_3[[#This Row],[Activity]],Types_of_Activity[Type of Activity],Types_of_Activity[Classification])=2,Term1_Special_Day_3[[#This Row],[Elapsed]],0))</f>
        <v/>
      </c>
    </row>
    <row r="114" spans="2:21" x14ac:dyDescent="0.3">
      <c r="B114" s="136"/>
      <c r="C114" s="136"/>
      <c r="D114" s="103"/>
      <c r="E114" s="106" t="str">
        <f>IF(OR(ISBLANK(Term1_Special_Day_1[[#This Row],[Start]]),ISBLANK(Term1_Special_Day_1[[#This Row],[End]])),"",(Term1_Special_Day_1[[#This Row],[End]]-Term1_Special_Day_1[[#This Row],[Start]])*1440)</f>
        <v/>
      </c>
      <c r="F114" s="106" t="str">
        <f>IF(ISBLANK(Term1_Special_Day_1[[#This Row],[Activity]]),"",IF(_xlfn.XLOOKUP(Term1_Special_Day_1[[#This Row],[Activity]],Types_of_Activity[Type of Activity],Types_of_Activity[Classification])=1,Term1_Special_Day_1[[#This Row],[Elapsed]],0))</f>
        <v/>
      </c>
      <c r="G114" s="106" t="str">
        <f>IF(ISBLANK(Term1_Special_Day_1[[#This Row],[Activity]]),"",IF(_xlfn.XLOOKUP(Term1_Special_Day_1[[#This Row],[Activity]],Types_of_Activity[Type of Activity],Types_of_Activity[Classification])=2,Term1_Special_Day_1[[#This Row],[Elapsed]],0))</f>
        <v/>
      </c>
      <c r="H114"/>
      <c r="I114" s="136"/>
      <c r="J114" s="136"/>
      <c r="K114" s="103"/>
      <c r="L114" s="106" t="str">
        <f>IF(OR(ISBLANK(Term1_Special_Day_2[[#This Row],[Start]]),ISBLANK(Term1_Special_Day_2[[#This Row],[End]])),"",(Term1_Special_Day_2[[#This Row],[End]]-Term1_Special_Day_2[[#This Row],[Start]])*1440)</f>
        <v/>
      </c>
      <c r="M114" s="106" t="str">
        <f>IF(ISBLANK(Term1_Special_Day_2[[#This Row],[Activity]]),"",IF(_xlfn.XLOOKUP(Term1_Special_Day_2[[#This Row],[Activity]],Types_of_Activity[Type of Activity],Types_of_Activity[Classification])=1,Term1_Special_Day_2[[#This Row],[Elapsed]],0))</f>
        <v/>
      </c>
      <c r="N114" s="106" t="str">
        <f>IF(ISBLANK(Term1_Special_Day_2[[#This Row],[Activity]]),"",IF(_xlfn.XLOOKUP(Term1_Special_Day_2[[#This Row],[Activity]],Types_of_Activity[Type of Activity],Types_of_Activity[Classification])=2,Term1_Special_Day_2[[#This Row],[Elapsed]],0))</f>
        <v/>
      </c>
      <c r="O114"/>
      <c r="P114" s="136"/>
      <c r="Q114" s="136"/>
      <c r="R114" s="103"/>
      <c r="S114" s="106" t="str">
        <f>IF(OR(ISBLANK(Term1_Special_Day_3[[#This Row],[Start]]),ISBLANK(Term1_Special_Day_3[[#This Row],[End]])),"",(Term1_Special_Day_3[[#This Row],[End]]-Term1_Special_Day_3[[#This Row],[Start]])*1440)</f>
        <v/>
      </c>
      <c r="T114" s="106" t="str">
        <f>IF(ISBLANK(Term1_Special_Day_3[[#This Row],[Activity]]),"",IF(_xlfn.XLOOKUP(Term1_Special_Day_3[[#This Row],[Activity]],Types_of_Activity[Type of Activity],Types_of_Activity[Classification])=1,Term1_Special_Day_3[[#This Row],[Elapsed]],0))</f>
        <v/>
      </c>
      <c r="U114" s="106" t="str">
        <f>IF(ISBLANK(Term1_Special_Day_3[[#This Row],[Activity]]),"",IF(_xlfn.XLOOKUP(Term1_Special_Day_3[[#This Row],[Activity]],Types_of_Activity[Type of Activity],Types_of_Activity[Classification])=2,Term1_Special_Day_3[[#This Row],[Elapsed]],0))</f>
        <v/>
      </c>
    </row>
    <row r="115" spans="2:21" x14ac:dyDescent="0.3">
      <c r="B115" s="136"/>
      <c r="C115" s="136"/>
      <c r="D115" s="103"/>
      <c r="E115" s="106" t="str">
        <f>IF(OR(ISBLANK(Term1_Special_Day_1[[#This Row],[Start]]),ISBLANK(Term1_Special_Day_1[[#This Row],[End]])),"",(Term1_Special_Day_1[[#This Row],[End]]-Term1_Special_Day_1[[#This Row],[Start]])*1440)</f>
        <v/>
      </c>
      <c r="F115" s="106" t="str">
        <f>IF(ISBLANK(Term1_Special_Day_1[[#This Row],[Activity]]),"",IF(_xlfn.XLOOKUP(Term1_Special_Day_1[[#This Row],[Activity]],Types_of_Activity[Type of Activity],Types_of_Activity[Classification])=1,Term1_Special_Day_1[[#This Row],[Elapsed]],0))</f>
        <v/>
      </c>
      <c r="G115" s="106" t="str">
        <f>IF(ISBLANK(Term1_Special_Day_1[[#This Row],[Activity]]),"",IF(_xlfn.XLOOKUP(Term1_Special_Day_1[[#This Row],[Activity]],Types_of_Activity[Type of Activity],Types_of_Activity[Classification])=2,Term1_Special_Day_1[[#This Row],[Elapsed]],0))</f>
        <v/>
      </c>
      <c r="H115"/>
      <c r="I115" s="136"/>
      <c r="J115" s="136"/>
      <c r="K115" s="103"/>
      <c r="L115" s="106" t="str">
        <f>IF(OR(ISBLANK(Term1_Special_Day_2[[#This Row],[Start]]),ISBLANK(Term1_Special_Day_2[[#This Row],[End]])),"",(Term1_Special_Day_2[[#This Row],[End]]-Term1_Special_Day_2[[#This Row],[Start]])*1440)</f>
        <v/>
      </c>
      <c r="M115" s="106" t="str">
        <f>IF(ISBLANK(Term1_Special_Day_2[[#This Row],[Activity]]),"",IF(_xlfn.XLOOKUP(Term1_Special_Day_2[[#This Row],[Activity]],Types_of_Activity[Type of Activity],Types_of_Activity[Classification])=1,Term1_Special_Day_2[[#This Row],[Elapsed]],0))</f>
        <v/>
      </c>
      <c r="N115" s="106" t="str">
        <f>IF(ISBLANK(Term1_Special_Day_2[[#This Row],[Activity]]),"",IF(_xlfn.XLOOKUP(Term1_Special_Day_2[[#This Row],[Activity]],Types_of_Activity[Type of Activity],Types_of_Activity[Classification])=2,Term1_Special_Day_2[[#This Row],[Elapsed]],0))</f>
        <v/>
      </c>
      <c r="O115"/>
      <c r="P115" s="136"/>
      <c r="Q115" s="136"/>
      <c r="R115" s="103"/>
      <c r="S115" s="106" t="str">
        <f>IF(OR(ISBLANK(Term1_Special_Day_3[[#This Row],[Start]]),ISBLANK(Term1_Special_Day_3[[#This Row],[End]])),"",(Term1_Special_Day_3[[#This Row],[End]]-Term1_Special_Day_3[[#This Row],[Start]])*1440)</f>
        <v/>
      </c>
      <c r="T115" s="106" t="str">
        <f>IF(ISBLANK(Term1_Special_Day_3[[#This Row],[Activity]]),"",IF(_xlfn.XLOOKUP(Term1_Special_Day_3[[#This Row],[Activity]],Types_of_Activity[Type of Activity],Types_of_Activity[Classification])=1,Term1_Special_Day_3[[#This Row],[Elapsed]],0))</f>
        <v/>
      </c>
      <c r="U115" s="106" t="str">
        <f>IF(ISBLANK(Term1_Special_Day_3[[#This Row],[Activity]]),"",IF(_xlfn.XLOOKUP(Term1_Special_Day_3[[#This Row],[Activity]],Types_of_Activity[Type of Activity],Types_of_Activity[Classification])=2,Term1_Special_Day_3[[#This Row],[Elapsed]],0))</f>
        <v/>
      </c>
    </row>
    <row r="116" spans="2:21" x14ac:dyDescent="0.3">
      <c r="B116" s="136"/>
      <c r="C116" s="136"/>
      <c r="D116" s="103"/>
      <c r="E116" s="106" t="str">
        <f>IF(OR(ISBLANK(Term1_Special_Day_1[[#This Row],[Start]]),ISBLANK(Term1_Special_Day_1[[#This Row],[End]])),"",(Term1_Special_Day_1[[#This Row],[End]]-Term1_Special_Day_1[[#This Row],[Start]])*1440)</f>
        <v/>
      </c>
      <c r="F116" s="106" t="str">
        <f>IF(ISBLANK(Term1_Special_Day_1[[#This Row],[Activity]]),"",IF(_xlfn.XLOOKUP(Term1_Special_Day_1[[#This Row],[Activity]],Types_of_Activity[Type of Activity],Types_of_Activity[Classification])=1,Term1_Special_Day_1[[#This Row],[Elapsed]],0))</f>
        <v/>
      </c>
      <c r="G116" s="106" t="str">
        <f>IF(ISBLANK(Term1_Special_Day_1[[#This Row],[Activity]]),"",IF(_xlfn.XLOOKUP(Term1_Special_Day_1[[#This Row],[Activity]],Types_of_Activity[Type of Activity],Types_of_Activity[Classification])=2,Term1_Special_Day_1[[#This Row],[Elapsed]],0))</f>
        <v/>
      </c>
      <c r="H116"/>
      <c r="I116" s="136"/>
      <c r="J116" s="136"/>
      <c r="K116" s="103"/>
      <c r="L116" s="106" t="str">
        <f>IF(OR(ISBLANK(Term1_Special_Day_2[[#This Row],[Start]]),ISBLANK(Term1_Special_Day_2[[#This Row],[End]])),"",(Term1_Special_Day_2[[#This Row],[End]]-Term1_Special_Day_2[[#This Row],[Start]])*1440)</f>
        <v/>
      </c>
      <c r="M116" s="106" t="str">
        <f>IF(ISBLANK(Term1_Special_Day_2[[#This Row],[Activity]]),"",IF(_xlfn.XLOOKUP(Term1_Special_Day_2[[#This Row],[Activity]],Types_of_Activity[Type of Activity],Types_of_Activity[Classification])=1,Term1_Special_Day_2[[#This Row],[Elapsed]],0))</f>
        <v/>
      </c>
      <c r="N116" s="106" t="str">
        <f>IF(ISBLANK(Term1_Special_Day_2[[#This Row],[Activity]]),"",IF(_xlfn.XLOOKUP(Term1_Special_Day_2[[#This Row],[Activity]],Types_of_Activity[Type of Activity],Types_of_Activity[Classification])=2,Term1_Special_Day_2[[#This Row],[Elapsed]],0))</f>
        <v/>
      </c>
      <c r="O116"/>
      <c r="P116" s="136"/>
      <c r="Q116" s="136"/>
      <c r="R116" s="103"/>
      <c r="S116" s="106" t="str">
        <f>IF(OR(ISBLANK(Term1_Special_Day_3[[#This Row],[Start]]),ISBLANK(Term1_Special_Day_3[[#This Row],[End]])),"",(Term1_Special_Day_3[[#This Row],[End]]-Term1_Special_Day_3[[#This Row],[Start]])*1440)</f>
        <v/>
      </c>
      <c r="T116" s="106" t="str">
        <f>IF(ISBLANK(Term1_Special_Day_3[[#This Row],[Activity]]),"",IF(_xlfn.XLOOKUP(Term1_Special_Day_3[[#This Row],[Activity]],Types_of_Activity[Type of Activity],Types_of_Activity[Classification])=1,Term1_Special_Day_3[[#This Row],[Elapsed]],0))</f>
        <v/>
      </c>
      <c r="U116" s="106" t="str">
        <f>IF(ISBLANK(Term1_Special_Day_3[[#This Row],[Activity]]),"",IF(_xlfn.XLOOKUP(Term1_Special_Day_3[[#This Row],[Activity]],Types_of_Activity[Type of Activity],Types_of_Activity[Classification])=2,Term1_Special_Day_3[[#This Row],[Elapsed]],0))</f>
        <v/>
      </c>
    </row>
    <row r="117" spans="2:21" x14ac:dyDescent="0.3">
      <c r="B117" s="136"/>
      <c r="C117" s="136"/>
      <c r="D117" s="103"/>
      <c r="E117" s="106" t="str">
        <f>IF(OR(ISBLANK(Term1_Special_Day_1[[#This Row],[Start]]),ISBLANK(Term1_Special_Day_1[[#This Row],[End]])),"",(Term1_Special_Day_1[[#This Row],[End]]-Term1_Special_Day_1[[#This Row],[Start]])*1440)</f>
        <v/>
      </c>
      <c r="F117" s="106" t="str">
        <f>IF(ISBLANK(Term1_Special_Day_1[[#This Row],[Activity]]),"",IF(_xlfn.XLOOKUP(Term1_Special_Day_1[[#This Row],[Activity]],Types_of_Activity[Type of Activity],Types_of_Activity[Classification])=1,Term1_Special_Day_1[[#This Row],[Elapsed]],0))</f>
        <v/>
      </c>
      <c r="G117" s="106" t="str">
        <f>IF(ISBLANK(Term1_Special_Day_1[[#This Row],[Activity]]),"",IF(_xlfn.XLOOKUP(Term1_Special_Day_1[[#This Row],[Activity]],Types_of_Activity[Type of Activity],Types_of_Activity[Classification])=2,Term1_Special_Day_1[[#This Row],[Elapsed]],0))</f>
        <v/>
      </c>
      <c r="H117"/>
      <c r="I117" s="136"/>
      <c r="J117" s="136"/>
      <c r="K117" s="103"/>
      <c r="L117" s="106" t="str">
        <f>IF(OR(ISBLANK(Term1_Special_Day_2[[#This Row],[Start]]),ISBLANK(Term1_Special_Day_2[[#This Row],[End]])),"",(Term1_Special_Day_2[[#This Row],[End]]-Term1_Special_Day_2[[#This Row],[Start]])*1440)</f>
        <v/>
      </c>
      <c r="M117" s="106" t="str">
        <f>IF(ISBLANK(Term1_Special_Day_2[[#This Row],[Activity]]),"",IF(_xlfn.XLOOKUP(Term1_Special_Day_2[[#This Row],[Activity]],Types_of_Activity[Type of Activity],Types_of_Activity[Classification])=1,Term1_Special_Day_2[[#This Row],[Elapsed]],0))</f>
        <v/>
      </c>
      <c r="N117" s="106" t="str">
        <f>IF(ISBLANK(Term1_Special_Day_2[[#This Row],[Activity]]),"",IF(_xlfn.XLOOKUP(Term1_Special_Day_2[[#This Row],[Activity]],Types_of_Activity[Type of Activity],Types_of_Activity[Classification])=2,Term1_Special_Day_2[[#This Row],[Elapsed]],0))</f>
        <v/>
      </c>
      <c r="O117"/>
      <c r="P117" s="136"/>
      <c r="Q117" s="136"/>
      <c r="R117" s="103"/>
      <c r="S117" s="106" t="str">
        <f>IF(OR(ISBLANK(Term1_Special_Day_3[[#This Row],[Start]]),ISBLANK(Term1_Special_Day_3[[#This Row],[End]])),"",(Term1_Special_Day_3[[#This Row],[End]]-Term1_Special_Day_3[[#This Row],[Start]])*1440)</f>
        <v/>
      </c>
      <c r="T117" s="106" t="str">
        <f>IF(ISBLANK(Term1_Special_Day_3[[#This Row],[Activity]]),"",IF(_xlfn.XLOOKUP(Term1_Special_Day_3[[#This Row],[Activity]],Types_of_Activity[Type of Activity],Types_of_Activity[Classification])=1,Term1_Special_Day_3[[#This Row],[Elapsed]],0))</f>
        <v/>
      </c>
      <c r="U117" s="106" t="str">
        <f>IF(ISBLANK(Term1_Special_Day_3[[#This Row],[Activity]]),"",IF(_xlfn.XLOOKUP(Term1_Special_Day_3[[#This Row],[Activity]],Types_of_Activity[Type of Activity],Types_of_Activity[Classification])=2,Term1_Special_Day_3[[#This Row],[Elapsed]],0))</f>
        <v/>
      </c>
    </row>
    <row r="118" spans="2:21" x14ac:dyDescent="0.3">
      <c r="B118" s="136"/>
      <c r="C118" s="136"/>
      <c r="D118" s="103"/>
      <c r="E118" s="106" t="str">
        <f>IF(OR(ISBLANK(Term1_Special_Day_1[[#This Row],[Start]]),ISBLANK(Term1_Special_Day_1[[#This Row],[End]])),"",(Term1_Special_Day_1[[#This Row],[End]]-Term1_Special_Day_1[[#This Row],[Start]])*1440)</f>
        <v/>
      </c>
      <c r="F118" s="106" t="str">
        <f>IF(ISBLANK(Term1_Special_Day_1[[#This Row],[Activity]]),"",IF(_xlfn.XLOOKUP(Term1_Special_Day_1[[#This Row],[Activity]],Types_of_Activity[Type of Activity],Types_of_Activity[Classification])=1,Term1_Special_Day_1[[#This Row],[Elapsed]],0))</f>
        <v/>
      </c>
      <c r="G118" s="106" t="str">
        <f>IF(ISBLANK(Term1_Special_Day_1[[#This Row],[Activity]]),"",IF(_xlfn.XLOOKUP(Term1_Special_Day_1[[#This Row],[Activity]],Types_of_Activity[Type of Activity],Types_of_Activity[Classification])=2,Term1_Special_Day_1[[#This Row],[Elapsed]],0))</f>
        <v/>
      </c>
      <c r="H118"/>
      <c r="I118" s="136"/>
      <c r="J118" s="136"/>
      <c r="K118" s="103"/>
      <c r="L118" s="106" t="str">
        <f>IF(OR(ISBLANK(Term1_Special_Day_2[[#This Row],[Start]]),ISBLANK(Term1_Special_Day_2[[#This Row],[End]])),"",(Term1_Special_Day_2[[#This Row],[End]]-Term1_Special_Day_2[[#This Row],[Start]])*1440)</f>
        <v/>
      </c>
      <c r="M118" s="106" t="str">
        <f>IF(ISBLANK(Term1_Special_Day_2[[#This Row],[Activity]]),"",IF(_xlfn.XLOOKUP(Term1_Special_Day_2[[#This Row],[Activity]],Types_of_Activity[Type of Activity],Types_of_Activity[Classification])=1,Term1_Special_Day_2[[#This Row],[Elapsed]],0))</f>
        <v/>
      </c>
      <c r="N118" s="106" t="str">
        <f>IF(ISBLANK(Term1_Special_Day_2[[#This Row],[Activity]]),"",IF(_xlfn.XLOOKUP(Term1_Special_Day_2[[#This Row],[Activity]],Types_of_Activity[Type of Activity],Types_of_Activity[Classification])=2,Term1_Special_Day_2[[#This Row],[Elapsed]],0))</f>
        <v/>
      </c>
      <c r="O118"/>
      <c r="P118" s="136"/>
      <c r="Q118" s="136"/>
      <c r="R118" s="103"/>
      <c r="S118" s="106" t="str">
        <f>IF(OR(ISBLANK(Term1_Special_Day_3[[#This Row],[Start]]),ISBLANK(Term1_Special_Day_3[[#This Row],[End]])),"",(Term1_Special_Day_3[[#This Row],[End]]-Term1_Special_Day_3[[#This Row],[Start]])*1440)</f>
        <v/>
      </c>
      <c r="T118" s="106" t="str">
        <f>IF(ISBLANK(Term1_Special_Day_3[[#This Row],[Activity]]),"",IF(_xlfn.XLOOKUP(Term1_Special_Day_3[[#This Row],[Activity]],Types_of_Activity[Type of Activity],Types_of_Activity[Classification])=1,Term1_Special_Day_3[[#This Row],[Elapsed]],0))</f>
        <v/>
      </c>
      <c r="U118" s="106" t="str">
        <f>IF(ISBLANK(Term1_Special_Day_3[[#This Row],[Activity]]),"",IF(_xlfn.XLOOKUP(Term1_Special_Day_3[[#This Row],[Activity]],Types_of_Activity[Type of Activity],Types_of_Activity[Classification])=2,Term1_Special_Day_3[[#This Row],[Elapsed]],0))</f>
        <v/>
      </c>
    </row>
    <row r="119" spans="2:21" x14ac:dyDescent="0.3">
      <c r="B119" s="136"/>
      <c r="C119" s="136"/>
      <c r="D119" s="103"/>
      <c r="E119" s="106" t="str">
        <f>IF(OR(ISBLANK(Term1_Special_Day_1[[#This Row],[Start]]),ISBLANK(Term1_Special_Day_1[[#This Row],[End]])),"",(Term1_Special_Day_1[[#This Row],[End]]-Term1_Special_Day_1[[#This Row],[Start]])*1440)</f>
        <v/>
      </c>
      <c r="F119" s="106" t="str">
        <f>IF(ISBLANK(Term1_Special_Day_1[[#This Row],[Activity]]),"",IF(_xlfn.XLOOKUP(Term1_Special_Day_1[[#This Row],[Activity]],Types_of_Activity[Type of Activity],Types_of_Activity[Classification])=1,Term1_Special_Day_1[[#This Row],[Elapsed]],0))</f>
        <v/>
      </c>
      <c r="G119" s="106" t="str">
        <f>IF(ISBLANK(Term1_Special_Day_1[[#This Row],[Activity]]),"",IF(_xlfn.XLOOKUP(Term1_Special_Day_1[[#This Row],[Activity]],Types_of_Activity[Type of Activity],Types_of_Activity[Classification])=2,Term1_Special_Day_1[[#This Row],[Elapsed]],0))</f>
        <v/>
      </c>
      <c r="H119"/>
      <c r="I119" s="136"/>
      <c r="J119" s="136"/>
      <c r="K119" s="103"/>
      <c r="L119" s="106" t="str">
        <f>IF(OR(ISBLANK(Term1_Special_Day_2[[#This Row],[Start]]),ISBLANK(Term1_Special_Day_2[[#This Row],[End]])),"",(Term1_Special_Day_2[[#This Row],[End]]-Term1_Special_Day_2[[#This Row],[Start]])*1440)</f>
        <v/>
      </c>
      <c r="M119" s="106" t="str">
        <f>IF(ISBLANK(Term1_Special_Day_2[[#This Row],[Activity]]),"",IF(_xlfn.XLOOKUP(Term1_Special_Day_2[[#This Row],[Activity]],Types_of_Activity[Type of Activity],Types_of_Activity[Classification])=1,Term1_Special_Day_2[[#This Row],[Elapsed]],0))</f>
        <v/>
      </c>
      <c r="N119" s="106" t="str">
        <f>IF(ISBLANK(Term1_Special_Day_2[[#This Row],[Activity]]),"",IF(_xlfn.XLOOKUP(Term1_Special_Day_2[[#This Row],[Activity]],Types_of_Activity[Type of Activity],Types_of_Activity[Classification])=2,Term1_Special_Day_2[[#This Row],[Elapsed]],0))</f>
        <v/>
      </c>
      <c r="O119"/>
      <c r="P119" s="136"/>
      <c r="Q119" s="136"/>
      <c r="R119" s="103"/>
      <c r="S119" s="106" t="str">
        <f>IF(OR(ISBLANK(Term1_Special_Day_3[[#This Row],[Start]]),ISBLANK(Term1_Special_Day_3[[#This Row],[End]])),"",(Term1_Special_Day_3[[#This Row],[End]]-Term1_Special_Day_3[[#This Row],[Start]])*1440)</f>
        <v/>
      </c>
      <c r="T119" s="106" t="str">
        <f>IF(ISBLANK(Term1_Special_Day_3[[#This Row],[Activity]]),"",IF(_xlfn.XLOOKUP(Term1_Special_Day_3[[#This Row],[Activity]],Types_of_Activity[Type of Activity],Types_of_Activity[Classification])=1,Term1_Special_Day_3[[#This Row],[Elapsed]],0))</f>
        <v/>
      </c>
      <c r="U119" s="106" t="str">
        <f>IF(ISBLANK(Term1_Special_Day_3[[#This Row],[Activity]]),"",IF(_xlfn.XLOOKUP(Term1_Special_Day_3[[#This Row],[Activity]],Types_of_Activity[Type of Activity],Types_of_Activity[Classification])=2,Term1_Special_Day_3[[#This Row],[Elapsed]],0))</f>
        <v/>
      </c>
    </row>
    <row r="120" spans="2:21" x14ac:dyDescent="0.3">
      <c r="B120" s="136"/>
      <c r="C120" s="136"/>
      <c r="D120" s="103"/>
      <c r="E120" s="106" t="str">
        <f>IF(OR(ISBLANK(Term1_Special_Day_1[[#This Row],[Start]]),ISBLANK(Term1_Special_Day_1[[#This Row],[End]])),"",(Term1_Special_Day_1[[#This Row],[End]]-Term1_Special_Day_1[[#This Row],[Start]])*1440)</f>
        <v/>
      </c>
      <c r="F120" s="106" t="str">
        <f>IF(ISBLANK(Term1_Special_Day_1[[#This Row],[Activity]]),"",IF(_xlfn.XLOOKUP(Term1_Special_Day_1[[#This Row],[Activity]],Types_of_Activity[Type of Activity],Types_of_Activity[Classification])=1,Term1_Special_Day_1[[#This Row],[Elapsed]],0))</f>
        <v/>
      </c>
      <c r="G120" s="106" t="str">
        <f>IF(ISBLANK(Term1_Special_Day_1[[#This Row],[Activity]]),"",IF(_xlfn.XLOOKUP(Term1_Special_Day_1[[#This Row],[Activity]],Types_of_Activity[Type of Activity],Types_of_Activity[Classification])=2,Term1_Special_Day_1[[#This Row],[Elapsed]],0))</f>
        <v/>
      </c>
      <c r="H120"/>
      <c r="I120" s="136"/>
      <c r="J120" s="136"/>
      <c r="K120" s="103"/>
      <c r="L120" s="106" t="str">
        <f>IF(OR(ISBLANK(Term1_Special_Day_2[[#This Row],[Start]]),ISBLANK(Term1_Special_Day_2[[#This Row],[End]])),"",(Term1_Special_Day_2[[#This Row],[End]]-Term1_Special_Day_2[[#This Row],[Start]])*1440)</f>
        <v/>
      </c>
      <c r="M120" s="106" t="str">
        <f>IF(ISBLANK(Term1_Special_Day_2[[#This Row],[Activity]]),"",IF(_xlfn.XLOOKUP(Term1_Special_Day_2[[#This Row],[Activity]],Types_of_Activity[Type of Activity],Types_of_Activity[Classification])=1,Term1_Special_Day_2[[#This Row],[Elapsed]],0))</f>
        <v/>
      </c>
      <c r="N120" s="106" t="str">
        <f>IF(ISBLANK(Term1_Special_Day_2[[#This Row],[Activity]]),"",IF(_xlfn.XLOOKUP(Term1_Special_Day_2[[#This Row],[Activity]],Types_of_Activity[Type of Activity],Types_of_Activity[Classification])=2,Term1_Special_Day_2[[#This Row],[Elapsed]],0))</f>
        <v/>
      </c>
      <c r="O120"/>
      <c r="P120" s="136"/>
      <c r="Q120" s="136"/>
      <c r="R120" s="103"/>
      <c r="S120" s="106" t="str">
        <f>IF(OR(ISBLANK(Term1_Special_Day_3[[#This Row],[Start]]),ISBLANK(Term1_Special_Day_3[[#This Row],[End]])),"",(Term1_Special_Day_3[[#This Row],[End]]-Term1_Special_Day_3[[#This Row],[Start]])*1440)</f>
        <v/>
      </c>
      <c r="T120" s="106" t="str">
        <f>IF(ISBLANK(Term1_Special_Day_3[[#This Row],[Activity]]),"",IF(_xlfn.XLOOKUP(Term1_Special_Day_3[[#This Row],[Activity]],Types_of_Activity[Type of Activity],Types_of_Activity[Classification])=1,Term1_Special_Day_3[[#This Row],[Elapsed]],0))</f>
        <v/>
      </c>
      <c r="U120" s="106" t="str">
        <f>IF(ISBLANK(Term1_Special_Day_3[[#This Row],[Activity]]),"",IF(_xlfn.XLOOKUP(Term1_Special_Day_3[[#This Row],[Activity]],Types_of_Activity[Type of Activity],Types_of_Activity[Classification])=2,Term1_Special_Day_3[[#This Row],[Elapsed]],0))</f>
        <v/>
      </c>
    </row>
    <row r="121" spans="2:21" x14ac:dyDescent="0.3">
      <c r="B121" s="136"/>
      <c r="C121" s="136"/>
      <c r="D121" s="103"/>
      <c r="E121" s="106" t="str">
        <f>IF(OR(ISBLANK(Term1_Special_Day_1[[#This Row],[Start]]),ISBLANK(Term1_Special_Day_1[[#This Row],[End]])),"",(Term1_Special_Day_1[[#This Row],[End]]-Term1_Special_Day_1[[#This Row],[Start]])*1440)</f>
        <v/>
      </c>
      <c r="F121" s="106" t="str">
        <f>IF(ISBLANK(Term1_Special_Day_1[[#This Row],[Activity]]),"",IF(_xlfn.XLOOKUP(Term1_Special_Day_1[[#This Row],[Activity]],Types_of_Activity[Type of Activity],Types_of_Activity[Classification])=1,Term1_Special_Day_1[[#This Row],[Elapsed]],0))</f>
        <v/>
      </c>
      <c r="G121" s="106" t="str">
        <f>IF(ISBLANK(Term1_Special_Day_1[[#This Row],[Activity]]),"",IF(_xlfn.XLOOKUP(Term1_Special_Day_1[[#This Row],[Activity]],Types_of_Activity[Type of Activity],Types_of_Activity[Classification])=2,Term1_Special_Day_1[[#This Row],[Elapsed]],0))</f>
        <v/>
      </c>
      <c r="H121"/>
      <c r="I121" s="136"/>
      <c r="J121" s="136"/>
      <c r="K121" s="103"/>
      <c r="L121" s="106" t="str">
        <f>IF(OR(ISBLANK(Term1_Special_Day_2[[#This Row],[Start]]),ISBLANK(Term1_Special_Day_2[[#This Row],[End]])),"",(Term1_Special_Day_2[[#This Row],[End]]-Term1_Special_Day_2[[#This Row],[Start]])*1440)</f>
        <v/>
      </c>
      <c r="M121" s="106" t="str">
        <f>IF(ISBLANK(Term1_Special_Day_2[[#This Row],[Activity]]),"",IF(_xlfn.XLOOKUP(Term1_Special_Day_2[[#This Row],[Activity]],Types_of_Activity[Type of Activity],Types_of_Activity[Classification])=1,Term1_Special_Day_2[[#This Row],[Elapsed]],0))</f>
        <v/>
      </c>
      <c r="N121" s="106" t="str">
        <f>IF(ISBLANK(Term1_Special_Day_2[[#This Row],[Activity]]),"",IF(_xlfn.XLOOKUP(Term1_Special_Day_2[[#This Row],[Activity]],Types_of_Activity[Type of Activity],Types_of_Activity[Classification])=2,Term1_Special_Day_2[[#This Row],[Elapsed]],0))</f>
        <v/>
      </c>
      <c r="O121"/>
      <c r="P121" s="136"/>
      <c r="Q121" s="136"/>
      <c r="R121" s="103"/>
      <c r="S121" s="106" t="str">
        <f>IF(OR(ISBLANK(Term1_Special_Day_3[[#This Row],[Start]]),ISBLANK(Term1_Special_Day_3[[#This Row],[End]])),"",(Term1_Special_Day_3[[#This Row],[End]]-Term1_Special_Day_3[[#This Row],[Start]])*1440)</f>
        <v/>
      </c>
      <c r="T121" s="106" t="str">
        <f>IF(ISBLANK(Term1_Special_Day_3[[#This Row],[Activity]]),"",IF(_xlfn.XLOOKUP(Term1_Special_Day_3[[#This Row],[Activity]],Types_of_Activity[Type of Activity],Types_of_Activity[Classification])=1,Term1_Special_Day_3[[#This Row],[Elapsed]],0))</f>
        <v/>
      </c>
      <c r="U121" s="106" t="str">
        <f>IF(ISBLANK(Term1_Special_Day_3[[#This Row],[Activity]]),"",IF(_xlfn.XLOOKUP(Term1_Special_Day_3[[#This Row],[Activity]],Types_of_Activity[Type of Activity],Types_of_Activity[Classification])=2,Term1_Special_Day_3[[#This Row],[Elapsed]],0))</f>
        <v/>
      </c>
    </row>
    <row r="122" spans="2:21" x14ac:dyDescent="0.3">
      <c r="B122" s="136"/>
      <c r="C122" s="136"/>
      <c r="D122" s="103"/>
      <c r="E122" s="106" t="str">
        <f>IF(OR(ISBLANK(Term1_Special_Day_1[[#This Row],[Start]]),ISBLANK(Term1_Special_Day_1[[#This Row],[End]])),"",(Term1_Special_Day_1[[#This Row],[End]]-Term1_Special_Day_1[[#This Row],[Start]])*1440)</f>
        <v/>
      </c>
      <c r="F122" s="106" t="str">
        <f>IF(ISBLANK(Term1_Special_Day_1[[#This Row],[Activity]]),"",IF(_xlfn.XLOOKUP(Term1_Special_Day_1[[#This Row],[Activity]],Types_of_Activity[Type of Activity],Types_of_Activity[Classification])=1,Term1_Special_Day_1[[#This Row],[Elapsed]],0))</f>
        <v/>
      </c>
      <c r="G122" s="106" t="str">
        <f>IF(ISBLANK(Term1_Special_Day_1[[#This Row],[Activity]]),"",IF(_xlfn.XLOOKUP(Term1_Special_Day_1[[#This Row],[Activity]],Types_of_Activity[Type of Activity],Types_of_Activity[Classification])=2,Term1_Special_Day_1[[#This Row],[Elapsed]],0))</f>
        <v/>
      </c>
      <c r="H122"/>
      <c r="I122" s="136"/>
      <c r="J122" s="136"/>
      <c r="K122" s="103"/>
      <c r="L122" s="106" t="str">
        <f>IF(OR(ISBLANK(Term1_Special_Day_2[[#This Row],[Start]]),ISBLANK(Term1_Special_Day_2[[#This Row],[End]])),"",(Term1_Special_Day_2[[#This Row],[End]]-Term1_Special_Day_2[[#This Row],[Start]])*1440)</f>
        <v/>
      </c>
      <c r="M122" s="106" t="str">
        <f>IF(ISBLANK(Term1_Special_Day_2[[#This Row],[Activity]]),"",IF(_xlfn.XLOOKUP(Term1_Special_Day_2[[#This Row],[Activity]],Types_of_Activity[Type of Activity],Types_of_Activity[Classification])=1,Term1_Special_Day_2[[#This Row],[Elapsed]],0))</f>
        <v/>
      </c>
      <c r="N122" s="106" t="str">
        <f>IF(ISBLANK(Term1_Special_Day_2[[#This Row],[Activity]]),"",IF(_xlfn.XLOOKUP(Term1_Special_Day_2[[#This Row],[Activity]],Types_of_Activity[Type of Activity],Types_of_Activity[Classification])=2,Term1_Special_Day_2[[#This Row],[Elapsed]],0))</f>
        <v/>
      </c>
      <c r="O122"/>
      <c r="P122" s="136"/>
      <c r="Q122" s="136"/>
      <c r="R122" s="103"/>
      <c r="S122" s="106" t="str">
        <f>IF(OR(ISBLANK(Term1_Special_Day_3[[#This Row],[Start]]),ISBLANK(Term1_Special_Day_3[[#This Row],[End]])),"",(Term1_Special_Day_3[[#This Row],[End]]-Term1_Special_Day_3[[#This Row],[Start]])*1440)</f>
        <v/>
      </c>
      <c r="T122" s="106" t="str">
        <f>IF(ISBLANK(Term1_Special_Day_3[[#This Row],[Activity]]),"",IF(_xlfn.XLOOKUP(Term1_Special_Day_3[[#This Row],[Activity]],Types_of_Activity[Type of Activity],Types_of_Activity[Classification])=1,Term1_Special_Day_3[[#This Row],[Elapsed]],0))</f>
        <v/>
      </c>
      <c r="U122" s="106" t="str">
        <f>IF(ISBLANK(Term1_Special_Day_3[[#This Row],[Activity]]),"",IF(_xlfn.XLOOKUP(Term1_Special_Day_3[[#This Row],[Activity]],Types_of_Activity[Type of Activity],Types_of_Activity[Classification])=2,Term1_Special_Day_3[[#This Row],[Elapsed]],0))</f>
        <v/>
      </c>
    </row>
    <row r="123" spans="2:21" x14ac:dyDescent="0.3">
      <c r="B123" s="136"/>
      <c r="C123" s="136"/>
      <c r="D123" s="103"/>
      <c r="E123" s="106" t="str">
        <f>IF(OR(ISBLANK(Term1_Special_Day_1[[#This Row],[Start]]),ISBLANK(Term1_Special_Day_1[[#This Row],[End]])),"",(Term1_Special_Day_1[[#This Row],[End]]-Term1_Special_Day_1[[#This Row],[Start]])*1440)</f>
        <v/>
      </c>
      <c r="F123" s="106" t="str">
        <f>IF(ISBLANK(Term1_Special_Day_1[[#This Row],[Activity]]),"",IF(_xlfn.XLOOKUP(Term1_Special_Day_1[[#This Row],[Activity]],Types_of_Activity[Type of Activity],Types_of_Activity[Classification])=1,Term1_Special_Day_1[[#This Row],[Elapsed]],0))</f>
        <v/>
      </c>
      <c r="G123" s="106" t="str">
        <f>IF(ISBLANK(Term1_Special_Day_1[[#This Row],[Activity]]),"",IF(_xlfn.XLOOKUP(Term1_Special_Day_1[[#This Row],[Activity]],Types_of_Activity[Type of Activity],Types_of_Activity[Classification])=2,Term1_Special_Day_1[[#This Row],[Elapsed]],0))</f>
        <v/>
      </c>
      <c r="H123"/>
      <c r="I123" s="136"/>
      <c r="J123" s="136"/>
      <c r="K123" s="103"/>
      <c r="L123" s="106" t="str">
        <f>IF(OR(ISBLANK(Term1_Special_Day_2[[#This Row],[Start]]),ISBLANK(Term1_Special_Day_2[[#This Row],[End]])),"",(Term1_Special_Day_2[[#This Row],[End]]-Term1_Special_Day_2[[#This Row],[Start]])*1440)</f>
        <v/>
      </c>
      <c r="M123" s="106" t="str">
        <f>IF(ISBLANK(Term1_Special_Day_2[[#This Row],[Activity]]),"",IF(_xlfn.XLOOKUP(Term1_Special_Day_2[[#This Row],[Activity]],Types_of_Activity[Type of Activity],Types_of_Activity[Classification])=1,Term1_Special_Day_2[[#This Row],[Elapsed]],0))</f>
        <v/>
      </c>
      <c r="N123" s="106" t="str">
        <f>IF(ISBLANK(Term1_Special_Day_2[[#This Row],[Activity]]),"",IF(_xlfn.XLOOKUP(Term1_Special_Day_2[[#This Row],[Activity]],Types_of_Activity[Type of Activity],Types_of_Activity[Classification])=2,Term1_Special_Day_2[[#This Row],[Elapsed]],0))</f>
        <v/>
      </c>
      <c r="O123"/>
      <c r="P123" s="136"/>
      <c r="Q123" s="136"/>
      <c r="R123" s="103"/>
      <c r="S123" s="106" t="str">
        <f>IF(OR(ISBLANK(Term1_Special_Day_3[[#This Row],[Start]]),ISBLANK(Term1_Special_Day_3[[#This Row],[End]])),"",(Term1_Special_Day_3[[#This Row],[End]]-Term1_Special_Day_3[[#This Row],[Start]])*1440)</f>
        <v/>
      </c>
      <c r="T123" s="106" t="str">
        <f>IF(ISBLANK(Term1_Special_Day_3[[#This Row],[Activity]]),"",IF(_xlfn.XLOOKUP(Term1_Special_Day_3[[#This Row],[Activity]],Types_of_Activity[Type of Activity],Types_of_Activity[Classification])=1,Term1_Special_Day_3[[#This Row],[Elapsed]],0))</f>
        <v/>
      </c>
      <c r="U123" s="106" t="str">
        <f>IF(ISBLANK(Term1_Special_Day_3[[#This Row],[Activity]]),"",IF(_xlfn.XLOOKUP(Term1_Special_Day_3[[#This Row],[Activity]],Types_of_Activity[Type of Activity],Types_of_Activity[Classification])=2,Term1_Special_Day_3[[#This Row],[Elapsed]],0))</f>
        <v/>
      </c>
    </row>
    <row r="124" spans="2:21" x14ac:dyDescent="0.3">
      <c r="B124" s="136"/>
      <c r="C124" s="136"/>
      <c r="D124" s="103"/>
      <c r="E124" s="106" t="str">
        <f>IF(OR(ISBLANK(Term1_Special_Day_1[[#This Row],[Start]]),ISBLANK(Term1_Special_Day_1[[#This Row],[End]])),"",(Term1_Special_Day_1[[#This Row],[End]]-Term1_Special_Day_1[[#This Row],[Start]])*1440)</f>
        <v/>
      </c>
      <c r="F124" s="106" t="str">
        <f>IF(ISBLANK(Term1_Special_Day_1[[#This Row],[Activity]]),"",IF(_xlfn.XLOOKUP(Term1_Special_Day_1[[#This Row],[Activity]],Types_of_Activity[Type of Activity],Types_of_Activity[Classification])=1,Term1_Special_Day_1[[#This Row],[Elapsed]],0))</f>
        <v/>
      </c>
      <c r="G124" s="106" t="str">
        <f>IF(ISBLANK(Term1_Special_Day_1[[#This Row],[Activity]]),"",IF(_xlfn.XLOOKUP(Term1_Special_Day_1[[#This Row],[Activity]],Types_of_Activity[Type of Activity],Types_of_Activity[Classification])=2,Term1_Special_Day_1[[#This Row],[Elapsed]],0))</f>
        <v/>
      </c>
      <c r="H124"/>
      <c r="I124" s="136"/>
      <c r="J124" s="136"/>
      <c r="K124" s="103"/>
      <c r="L124" s="106" t="str">
        <f>IF(OR(ISBLANK(Term1_Special_Day_2[[#This Row],[Start]]),ISBLANK(Term1_Special_Day_2[[#This Row],[End]])),"",(Term1_Special_Day_2[[#This Row],[End]]-Term1_Special_Day_2[[#This Row],[Start]])*1440)</f>
        <v/>
      </c>
      <c r="M124" s="106" t="str">
        <f>IF(ISBLANK(Term1_Special_Day_2[[#This Row],[Activity]]),"",IF(_xlfn.XLOOKUP(Term1_Special_Day_2[[#This Row],[Activity]],Types_of_Activity[Type of Activity],Types_of_Activity[Classification])=1,Term1_Special_Day_2[[#This Row],[Elapsed]],0))</f>
        <v/>
      </c>
      <c r="N124" s="106" t="str">
        <f>IF(ISBLANK(Term1_Special_Day_2[[#This Row],[Activity]]),"",IF(_xlfn.XLOOKUP(Term1_Special_Day_2[[#This Row],[Activity]],Types_of_Activity[Type of Activity],Types_of_Activity[Classification])=2,Term1_Special_Day_2[[#This Row],[Elapsed]],0))</f>
        <v/>
      </c>
      <c r="O124"/>
      <c r="P124" s="136"/>
      <c r="Q124" s="136"/>
      <c r="R124" s="103"/>
      <c r="S124" s="106" t="str">
        <f>IF(OR(ISBLANK(Term1_Special_Day_3[[#This Row],[Start]]),ISBLANK(Term1_Special_Day_3[[#This Row],[End]])),"",(Term1_Special_Day_3[[#This Row],[End]]-Term1_Special_Day_3[[#This Row],[Start]])*1440)</f>
        <v/>
      </c>
      <c r="T124" s="106" t="str">
        <f>IF(ISBLANK(Term1_Special_Day_3[[#This Row],[Activity]]),"",IF(_xlfn.XLOOKUP(Term1_Special_Day_3[[#This Row],[Activity]],Types_of_Activity[Type of Activity],Types_of_Activity[Classification])=1,Term1_Special_Day_3[[#This Row],[Elapsed]],0))</f>
        <v/>
      </c>
      <c r="U124" s="106" t="str">
        <f>IF(ISBLANK(Term1_Special_Day_3[[#This Row],[Activity]]),"",IF(_xlfn.XLOOKUP(Term1_Special_Day_3[[#This Row],[Activity]],Types_of_Activity[Type of Activity],Types_of_Activity[Classification])=2,Term1_Special_Day_3[[#This Row],[Elapsed]],0))</f>
        <v/>
      </c>
    </row>
    <row r="125" spans="2:21" x14ac:dyDescent="0.3">
      <c r="B125" s="136"/>
      <c r="C125" s="136"/>
      <c r="D125" s="103"/>
      <c r="E125" s="106" t="str">
        <f>IF(OR(ISBLANK(Term1_Special_Day_1[[#This Row],[Start]]),ISBLANK(Term1_Special_Day_1[[#This Row],[End]])),"",(Term1_Special_Day_1[[#This Row],[End]]-Term1_Special_Day_1[[#This Row],[Start]])*1440)</f>
        <v/>
      </c>
      <c r="F125" s="106" t="str">
        <f>IF(ISBLANK(Term1_Special_Day_1[[#This Row],[Activity]]),"",IF(_xlfn.XLOOKUP(Term1_Special_Day_1[[#This Row],[Activity]],Types_of_Activity[Type of Activity],Types_of_Activity[Classification])=1,Term1_Special_Day_1[[#This Row],[Elapsed]],0))</f>
        <v/>
      </c>
      <c r="G125" s="106" t="str">
        <f>IF(ISBLANK(Term1_Special_Day_1[[#This Row],[Activity]]),"",IF(_xlfn.XLOOKUP(Term1_Special_Day_1[[#This Row],[Activity]],Types_of_Activity[Type of Activity],Types_of_Activity[Classification])=2,Term1_Special_Day_1[[#This Row],[Elapsed]],0))</f>
        <v/>
      </c>
      <c r="H125"/>
      <c r="I125" s="136"/>
      <c r="J125" s="136"/>
      <c r="K125" s="103"/>
      <c r="L125" s="106" t="str">
        <f>IF(OR(ISBLANK(Term1_Special_Day_2[[#This Row],[Start]]),ISBLANK(Term1_Special_Day_2[[#This Row],[End]])),"",(Term1_Special_Day_2[[#This Row],[End]]-Term1_Special_Day_2[[#This Row],[Start]])*1440)</f>
        <v/>
      </c>
      <c r="M125" s="106" t="str">
        <f>IF(ISBLANK(Term1_Special_Day_2[[#This Row],[Activity]]),"",IF(_xlfn.XLOOKUP(Term1_Special_Day_2[[#This Row],[Activity]],Types_of_Activity[Type of Activity],Types_of_Activity[Classification])=1,Term1_Special_Day_2[[#This Row],[Elapsed]],0))</f>
        <v/>
      </c>
      <c r="N125" s="106" t="str">
        <f>IF(ISBLANK(Term1_Special_Day_2[[#This Row],[Activity]]),"",IF(_xlfn.XLOOKUP(Term1_Special_Day_2[[#This Row],[Activity]],Types_of_Activity[Type of Activity],Types_of_Activity[Classification])=2,Term1_Special_Day_2[[#This Row],[Elapsed]],0))</f>
        <v/>
      </c>
      <c r="O125"/>
      <c r="P125" s="136"/>
      <c r="Q125" s="136"/>
      <c r="R125" s="103"/>
      <c r="S125" s="106" t="str">
        <f>IF(OR(ISBLANK(Term1_Special_Day_3[[#This Row],[Start]]),ISBLANK(Term1_Special_Day_3[[#This Row],[End]])),"",(Term1_Special_Day_3[[#This Row],[End]]-Term1_Special_Day_3[[#This Row],[Start]])*1440)</f>
        <v/>
      </c>
      <c r="T125" s="106" t="str">
        <f>IF(ISBLANK(Term1_Special_Day_3[[#This Row],[Activity]]),"",IF(_xlfn.XLOOKUP(Term1_Special_Day_3[[#This Row],[Activity]],Types_of_Activity[Type of Activity],Types_of_Activity[Classification])=1,Term1_Special_Day_3[[#This Row],[Elapsed]],0))</f>
        <v/>
      </c>
      <c r="U125" s="106" t="str">
        <f>IF(ISBLANK(Term1_Special_Day_3[[#This Row],[Activity]]),"",IF(_xlfn.XLOOKUP(Term1_Special_Day_3[[#This Row],[Activity]],Types_of_Activity[Type of Activity],Types_of_Activity[Classification])=2,Term1_Special_Day_3[[#This Row],[Elapsed]],0))</f>
        <v/>
      </c>
    </row>
    <row r="126" spans="2:21" x14ac:dyDescent="0.3">
      <c r="B126" s="136"/>
      <c r="C126" s="136"/>
      <c r="D126" s="103"/>
      <c r="E126" s="106" t="str">
        <f>IF(OR(ISBLANK(Term1_Special_Day_1[[#This Row],[Start]]),ISBLANK(Term1_Special_Day_1[[#This Row],[End]])),"",(Term1_Special_Day_1[[#This Row],[End]]-Term1_Special_Day_1[[#This Row],[Start]])*1440)</f>
        <v/>
      </c>
      <c r="F126" s="106" t="str">
        <f>IF(ISBLANK(Term1_Special_Day_1[[#This Row],[Activity]]),"",IF(_xlfn.XLOOKUP(Term1_Special_Day_1[[#This Row],[Activity]],Types_of_Activity[Type of Activity],Types_of_Activity[Classification])=1,Term1_Special_Day_1[[#This Row],[Elapsed]],0))</f>
        <v/>
      </c>
      <c r="G126" s="106" t="str">
        <f>IF(ISBLANK(Term1_Special_Day_1[[#This Row],[Activity]]),"",IF(_xlfn.XLOOKUP(Term1_Special_Day_1[[#This Row],[Activity]],Types_of_Activity[Type of Activity],Types_of_Activity[Classification])=2,Term1_Special_Day_1[[#This Row],[Elapsed]],0))</f>
        <v/>
      </c>
      <c r="H126"/>
      <c r="I126" s="136"/>
      <c r="J126" s="136"/>
      <c r="K126" s="103"/>
      <c r="L126" s="106" t="str">
        <f>IF(OR(ISBLANK(Term1_Special_Day_2[[#This Row],[Start]]),ISBLANK(Term1_Special_Day_2[[#This Row],[End]])),"",(Term1_Special_Day_2[[#This Row],[End]]-Term1_Special_Day_2[[#This Row],[Start]])*1440)</f>
        <v/>
      </c>
      <c r="M126" s="106" t="str">
        <f>IF(ISBLANK(Term1_Special_Day_2[[#This Row],[Activity]]),"",IF(_xlfn.XLOOKUP(Term1_Special_Day_2[[#This Row],[Activity]],Types_of_Activity[Type of Activity],Types_of_Activity[Classification])=1,Term1_Special_Day_2[[#This Row],[Elapsed]],0))</f>
        <v/>
      </c>
      <c r="N126" s="106" t="str">
        <f>IF(ISBLANK(Term1_Special_Day_2[[#This Row],[Activity]]),"",IF(_xlfn.XLOOKUP(Term1_Special_Day_2[[#This Row],[Activity]],Types_of_Activity[Type of Activity],Types_of_Activity[Classification])=2,Term1_Special_Day_2[[#This Row],[Elapsed]],0))</f>
        <v/>
      </c>
      <c r="O126"/>
      <c r="P126" s="136"/>
      <c r="Q126" s="136"/>
      <c r="R126" s="103"/>
      <c r="S126" s="106" t="str">
        <f>IF(OR(ISBLANK(Term1_Special_Day_3[[#This Row],[Start]]),ISBLANK(Term1_Special_Day_3[[#This Row],[End]])),"",(Term1_Special_Day_3[[#This Row],[End]]-Term1_Special_Day_3[[#This Row],[Start]])*1440)</f>
        <v/>
      </c>
      <c r="T126" s="106" t="str">
        <f>IF(ISBLANK(Term1_Special_Day_3[[#This Row],[Activity]]),"",IF(_xlfn.XLOOKUP(Term1_Special_Day_3[[#This Row],[Activity]],Types_of_Activity[Type of Activity],Types_of_Activity[Classification])=1,Term1_Special_Day_3[[#This Row],[Elapsed]],0))</f>
        <v/>
      </c>
      <c r="U126" s="106" t="str">
        <f>IF(ISBLANK(Term1_Special_Day_3[[#This Row],[Activity]]),"",IF(_xlfn.XLOOKUP(Term1_Special_Day_3[[#This Row],[Activity]],Types_of_Activity[Type of Activity],Types_of_Activity[Classification])=2,Term1_Special_Day_3[[#This Row],[Elapsed]],0))</f>
        <v/>
      </c>
    </row>
    <row r="127" spans="2:21" x14ac:dyDescent="0.3">
      <c r="B127" s="136"/>
      <c r="C127" s="136"/>
      <c r="D127" s="103"/>
      <c r="E127" s="106" t="str">
        <f>IF(OR(ISBLANK(Term1_Special_Day_1[[#This Row],[Start]]),ISBLANK(Term1_Special_Day_1[[#This Row],[End]])),"",(Term1_Special_Day_1[[#This Row],[End]]-Term1_Special_Day_1[[#This Row],[Start]])*1440)</f>
        <v/>
      </c>
      <c r="F127" s="106" t="str">
        <f>IF(ISBLANK(Term1_Special_Day_1[[#This Row],[Activity]]),"",IF(_xlfn.XLOOKUP(Term1_Special_Day_1[[#This Row],[Activity]],Types_of_Activity[Type of Activity],Types_of_Activity[Classification])=1,Term1_Special_Day_1[[#This Row],[Elapsed]],0))</f>
        <v/>
      </c>
      <c r="G127" s="106" t="str">
        <f>IF(ISBLANK(Term1_Special_Day_1[[#This Row],[Activity]]),"",IF(_xlfn.XLOOKUP(Term1_Special_Day_1[[#This Row],[Activity]],Types_of_Activity[Type of Activity],Types_of_Activity[Classification])=2,Term1_Special_Day_1[[#This Row],[Elapsed]],0))</f>
        <v/>
      </c>
      <c r="H127"/>
      <c r="I127" s="136"/>
      <c r="J127" s="136"/>
      <c r="K127" s="103"/>
      <c r="L127" s="106" t="str">
        <f>IF(OR(ISBLANK(Term1_Special_Day_2[[#This Row],[Start]]),ISBLANK(Term1_Special_Day_2[[#This Row],[End]])),"",(Term1_Special_Day_2[[#This Row],[End]]-Term1_Special_Day_2[[#This Row],[Start]])*1440)</f>
        <v/>
      </c>
      <c r="M127" s="106" t="str">
        <f>IF(ISBLANK(Term1_Special_Day_2[[#This Row],[Activity]]),"",IF(_xlfn.XLOOKUP(Term1_Special_Day_2[[#This Row],[Activity]],Types_of_Activity[Type of Activity],Types_of_Activity[Classification])=1,Term1_Special_Day_2[[#This Row],[Elapsed]],0))</f>
        <v/>
      </c>
      <c r="N127" s="106" t="str">
        <f>IF(ISBLANK(Term1_Special_Day_2[[#This Row],[Activity]]),"",IF(_xlfn.XLOOKUP(Term1_Special_Day_2[[#This Row],[Activity]],Types_of_Activity[Type of Activity],Types_of_Activity[Classification])=2,Term1_Special_Day_2[[#This Row],[Elapsed]],0))</f>
        <v/>
      </c>
      <c r="O127"/>
      <c r="P127" s="136"/>
      <c r="Q127" s="136"/>
      <c r="R127" s="103"/>
      <c r="S127" s="106" t="str">
        <f>IF(OR(ISBLANK(Term1_Special_Day_3[[#This Row],[Start]]),ISBLANK(Term1_Special_Day_3[[#This Row],[End]])),"",(Term1_Special_Day_3[[#This Row],[End]]-Term1_Special_Day_3[[#This Row],[Start]])*1440)</f>
        <v/>
      </c>
      <c r="T127" s="106" t="str">
        <f>IF(ISBLANK(Term1_Special_Day_3[[#This Row],[Activity]]),"",IF(_xlfn.XLOOKUP(Term1_Special_Day_3[[#This Row],[Activity]],Types_of_Activity[Type of Activity],Types_of_Activity[Classification])=1,Term1_Special_Day_3[[#This Row],[Elapsed]],0))</f>
        <v/>
      </c>
      <c r="U127" s="106" t="str">
        <f>IF(ISBLANK(Term1_Special_Day_3[[#This Row],[Activity]]),"",IF(_xlfn.XLOOKUP(Term1_Special_Day_3[[#This Row],[Activity]],Types_of_Activity[Type of Activity],Types_of_Activity[Classification])=2,Term1_Special_Day_3[[#This Row],[Elapsed]],0))</f>
        <v/>
      </c>
    </row>
    <row r="128" spans="2:21" x14ac:dyDescent="0.3">
      <c r="B128" s="136"/>
      <c r="C128" s="136"/>
      <c r="D128" s="103"/>
      <c r="E128" s="106" t="str">
        <f>IF(OR(ISBLANK(Term1_Special_Day_1[[#This Row],[Start]]),ISBLANK(Term1_Special_Day_1[[#This Row],[End]])),"",(Term1_Special_Day_1[[#This Row],[End]]-Term1_Special_Day_1[[#This Row],[Start]])*1440)</f>
        <v/>
      </c>
      <c r="F128" s="106" t="str">
        <f>IF(ISBLANK(Term1_Special_Day_1[[#This Row],[Activity]]),"",IF(_xlfn.XLOOKUP(Term1_Special_Day_1[[#This Row],[Activity]],Types_of_Activity[Type of Activity],Types_of_Activity[Classification])=1,Term1_Special_Day_1[[#This Row],[Elapsed]],0))</f>
        <v/>
      </c>
      <c r="G128" s="106" t="str">
        <f>IF(ISBLANK(Term1_Special_Day_1[[#This Row],[Activity]]),"",IF(_xlfn.XLOOKUP(Term1_Special_Day_1[[#This Row],[Activity]],Types_of_Activity[Type of Activity],Types_of_Activity[Classification])=2,Term1_Special_Day_1[[#This Row],[Elapsed]],0))</f>
        <v/>
      </c>
      <c r="H128"/>
      <c r="I128" s="136"/>
      <c r="J128" s="136"/>
      <c r="K128" s="103"/>
      <c r="L128" s="106" t="str">
        <f>IF(OR(ISBLANK(Term1_Special_Day_2[[#This Row],[Start]]),ISBLANK(Term1_Special_Day_2[[#This Row],[End]])),"",(Term1_Special_Day_2[[#This Row],[End]]-Term1_Special_Day_2[[#This Row],[Start]])*1440)</f>
        <v/>
      </c>
      <c r="M128" s="106" t="str">
        <f>IF(ISBLANK(Term1_Special_Day_2[[#This Row],[Activity]]),"",IF(_xlfn.XLOOKUP(Term1_Special_Day_2[[#This Row],[Activity]],Types_of_Activity[Type of Activity],Types_of_Activity[Classification])=1,Term1_Special_Day_2[[#This Row],[Elapsed]],0))</f>
        <v/>
      </c>
      <c r="N128" s="106" t="str">
        <f>IF(ISBLANK(Term1_Special_Day_2[[#This Row],[Activity]]),"",IF(_xlfn.XLOOKUP(Term1_Special_Day_2[[#This Row],[Activity]],Types_of_Activity[Type of Activity],Types_of_Activity[Classification])=2,Term1_Special_Day_2[[#This Row],[Elapsed]],0))</f>
        <v/>
      </c>
      <c r="O128"/>
      <c r="P128" s="136"/>
      <c r="Q128" s="136"/>
      <c r="R128" s="103"/>
      <c r="S128" s="106" t="str">
        <f>IF(OR(ISBLANK(Term1_Special_Day_3[[#This Row],[Start]]),ISBLANK(Term1_Special_Day_3[[#This Row],[End]])),"",(Term1_Special_Day_3[[#This Row],[End]]-Term1_Special_Day_3[[#This Row],[Start]])*1440)</f>
        <v/>
      </c>
      <c r="T128" s="106" t="str">
        <f>IF(ISBLANK(Term1_Special_Day_3[[#This Row],[Activity]]),"",IF(_xlfn.XLOOKUP(Term1_Special_Day_3[[#This Row],[Activity]],Types_of_Activity[Type of Activity],Types_of_Activity[Classification])=1,Term1_Special_Day_3[[#This Row],[Elapsed]],0))</f>
        <v/>
      </c>
      <c r="U128" s="106" t="str">
        <f>IF(ISBLANK(Term1_Special_Day_3[[#This Row],[Activity]]),"",IF(_xlfn.XLOOKUP(Term1_Special_Day_3[[#This Row],[Activity]],Types_of_Activity[Type of Activity],Types_of_Activity[Classification])=2,Term1_Special_Day_3[[#This Row],[Elapsed]],0))</f>
        <v/>
      </c>
    </row>
    <row r="129" spans="2:21" x14ac:dyDescent="0.3">
      <c r="B129" s="136"/>
      <c r="C129" s="136"/>
      <c r="D129" s="103"/>
      <c r="E129" s="106" t="str">
        <f>IF(OR(ISBLANK(Term1_Special_Day_1[[#This Row],[Start]]),ISBLANK(Term1_Special_Day_1[[#This Row],[End]])),"",(Term1_Special_Day_1[[#This Row],[End]]-Term1_Special_Day_1[[#This Row],[Start]])*1440)</f>
        <v/>
      </c>
      <c r="F129" s="106" t="str">
        <f>IF(ISBLANK(Term1_Special_Day_1[[#This Row],[Activity]]),"",IF(_xlfn.XLOOKUP(Term1_Special_Day_1[[#This Row],[Activity]],Types_of_Activity[Type of Activity],Types_of_Activity[Classification])=1,Term1_Special_Day_1[[#This Row],[Elapsed]],0))</f>
        <v/>
      </c>
      <c r="G129" s="106" t="str">
        <f>IF(ISBLANK(Term1_Special_Day_1[[#This Row],[Activity]]),"",IF(_xlfn.XLOOKUP(Term1_Special_Day_1[[#This Row],[Activity]],Types_of_Activity[Type of Activity],Types_of_Activity[Classification])=2,Term1_Special_Day_1[[#This Row],[Elapsed]],0))</f>
        <v/>
      </c>
      <c r="H129"/>
      <c r="I129" s="136"/>
      <c r="J129" s="136"/>
      <c r="K129" s="103"/>
      <c r="L129" s="106" t="str">
        <f>IF(OR(ISBLANK(Term1_Special_Day_2[[#This Row],[Start]]),ISBLANK(Term1_Special_Day_2[[#This Row],[End]])),"",(Term1_Special_Day_2[[#This Row],[End]]-Term1_Special_Day_2[[#This Row],[Start]])*1440)</f>
        <v/>
      </c>
      <c r="M129" s="106" t="str">
        <f>IF(ISBLANK(Term1_Special_Day_2[[#This Row],[Activity]]),"",IF(_xlfn.XLOOKUP(Term1_Special_Day_2[[#This Row],[Activity]],Types_of_Activity[Type of Activity],Types_of_Activity[Classification])=1,Term1_Special_Day_2[[#This Row],[Elapsed]],0))</f>
        <v/>
      </c>
      <c r="N129" s="106" t="str">
        <f>IF(ISBLANK(Term1_Special_Day_2[[#This Row],[Activity]]),"",IF(_xlfn.XLOOKUP(Term1_Special_Day_2[[#This Row],[Activity]],Types_of_Activity[Type of Activity],Types_of_Activity[Classification])=2,Term1_Special_Day_2[[#This Row],[Elapsed]],0))</f>
        <v/>
      </c>
      <c r="O129"/>
      <c r="P129" s="136"/>
      <c r="Q129" s="136"/>
      <c r="R129" s="103"/>
      <c r="S129" s="106" t="str">
        <f>IF(OR(ISBLANK(Term1_Special_Day_3[[#This Row],[Start]]),ISBLANK(Term1_Special_Day_3[[#This Row],[End]])),"",(Term1_Special_Day_3[[#This Row],[End]]-Term1_Special_Day_3[[#This Row],[Start]])*1440)</f>
        <v/>
      </c>
      <c r="T129" s="106" t="str">
        <f>IF(ISBLANK(Term1_Special_Day_3[[#This Row],[Activity]]),"",IF(_xlfn.XLOOKUP(Term1_Special_Day_3[[#This Row],[Activity]],Types_of_Activity[Type of Activity],Types_of_Activity[Classification])=1,Term1_Special_Day_3[[#This Row],[Elapsed]],0))</f>
        <v/>
      </c>
      <c r="U129" s="106" t="str">
        <f>IF(ISBLANK(Term1_Special_Day_3[[#This Row],[Activity]]),"",IF(_xlfn.XLOOKUP(Term1_Special_Day_3[[#This Row],[Activity]],Types_of_Activity[Type of Activity],Types_of_Activity[Classification])=2,Term1_Special_Day_3[[#This Row],[Elapsed]],0))</f>
        <v/>
      </c>
    </row>
    <row r="130" spans="2:21" x14ac:dyDescent="0.3">
      <c r="B130" s="136"/>
      <c r="C130" s="136"/>
      <c r="D130" s="103"/>
      <c r="E130" s="106" t="str">
        <f>IF(OR(ISBLANK(Term1_Special_Day_1[[#This Row],[Start]]),ISBLANK(Term1_Special_Day_1[[#This Row],[End]])),"",(Term1_Special_Day_1[[#This Row],[End]]-Term1_Special_Day_1[[#This Row],[Start]])*1440)</f>
        <v/>
      </c>
      <c r="F130" s="106" t="str">
        <f>IF(ISBLANK(Term1_Special_Day_1[[#This Row],[Activity]]),"",IF(_xlfn.XLOOKUP(Term1_Special_Day_1[[#This Row],[Activity]],Types_of_Activity[Type of Activity],Types_of_Activity[Classification])=1,Term1_Special_Day_1[[#This Row],[Elapsed]],0))</f>
        <v/>
      </c>
      <c r="G130" s="106" t="str">
        <f>IF(ISBLANK(Term1_Special_Day_1[[#This Row],[Activity]]),"",IF(_xlfn.XLOOKUP(Term1_Special_Day_1[[#This Row],[Activity]],Types_of_Activity[Type of Activity],Types_of_Activity[Classification])=2,Term1_Special_Day_1[[#This Row],[Elapsed]],0))</f>
        <v/>
      </c>
      <c r="H130"/>
      <c r="I130" s="136"/>
      <c r="J130" s="136"/>
      <c r="K130" s="103"/>
      <c r="L130" s="106" t="str">
        <f>IF(OR(ISBLANK(Term1_Special_Day_2[[#This Row],[Start]]),ISBLANK(Term1_Special_Day_2[[#This Row],[End]])),"",(Term1_Special_Day_2[[#This Row],[End]]-Term1_Special_Day_2[[#This Row],[Start]])*1440)</f>
        <v/>
      </c>
      <c r="M130" s="106" t="str">
        <f>IF(ISBLANK(Term1_Special_Day_2[[#This Row],[Activity]]),"",IF(_xlfn.XLOOKUP(Term1_Special_Day_2[[#This Row],[Activity]],Types_of_Activity[Type of Activity],Types_of_Activity[Classification])=1,Term1_Special_Day_2[[#This Row],[Elapsed]],0))</f>
        <v/>
      </c>
      <c r="N130" s="106" t="str">
        <f>IF(ISBLANK(Term1_Special_Day_2[[#This Row],[Activity]]),"",IF(_xlfn.XLOOKUP(Term1_Special_Day_2[[#This Row],[Activity]],Types_of_Activity[Type of Activity],Types_of_Activity[Classification])=2,Term1_Special_Day_2[[#This Row],[Elapsed]],0))</f>
        <v/>
      </c>
      <c r="O130"/>
      <c r="P130" s="136"/>
      <c r="Q130" s="136"/>
      <c r="R130" s="103"/>
      <c r="S130" s="106" t="str">
        <f>IF(OR(ISBLANK(Term1_Special_Day_3[[#This Row],[Start]]),ISBLANK(Term1_Special_Day_3[[#This Row],[End]])),"",(Term1_Special_Day_3[[#This Row],[End]]-Term1_Special_Day_3[[#This Row],[Start]])*1440)</f>
        <v/>
      </c>
      <c r="T130" s="106" t="str">
        <f>IF(ISBLANK(Term1_Special_Day_3[[#This Row],[Activity]]),"",IF(_xlfn.XLOOKUP(Term1_Special_Day_3[[#This Row],[Activity]],Types_of_Activity[Type of Activity],Types_of_Activity[Classification])=1,Term1_Special_Day_3[[#This Row],[Elapsed]],0))</f>
        <v/>
      </c>
      <c r="U130" s="106" t="str">
        <f>IF(ISBLANK(Term1_Special_Day_3[[#This Row],[Activity]]),"",IF(_xlfn.XLOOKUP(Term1_Special_Day_3[[#This Row],[Activity]],Types_of_Activity[Type of Activity],Types_of_Activity[Classification])=2,Term1_Special_Day_3[[#This Row],[Elapsed]],0))</f>
        <v/>
      </c>
    </row>
    <row r="131" spans="2:21" x14ac:dyDescent="0.3">
      <c r="B131" s="136"/>
      <c r="C131" s="136"/>
      <c r="D131" s="103"/>
      <c r="E131" s="106" t="str">
        <f>IF(OR(ISBLANK(Term1_Special_Day_1[[#This Row],[Start]]),ISBLANK(Term1_Special_Day_1[[#This Row],[End]])),"",(Term1_Special_Day_1[[#This Row],[End]]-Term1_Special_Day_1[[#This Row],[Start]])*1440)</f>
        <v/>
      </c>
      <c r="F131" s="106" t="str">
        <f>IF(ISBLANK(Term1_Special_Day_1[[#This Row],[Activity]]),"",IF(_xlfn.XLOOKUP(Term1_Special_Day_1[[#This Row],[Activity]],Types_of_Activity[Type of Activity],Types_of_Activity[Classification])=1,Term1_Special_Day_1[[#This Row],[Elapsed]],0))</f>
        <v/>
      </c>
      <c r="G131" s="106" t="str">
        <f>IF(ISBLANK(Term1_Special_Day_1[[#This Row],[Activity]]),"",IF(_xlfn.XLOOKUP(Term1_Special_Day_1[[#This Row],[Activity]],Types_of_Activity[Type of Activity],Types_of_Activity[Classification])=2,Term1_Special_Day_1[[#This Row],[Elapsed]],0))</f>
        <v/>
      </c>
      <c r="H131"/>
      <c r="I131" s="136"/>
      <c r="J131" s="136"/>
      <c r="K131" s="103"/>
      <c r="L131" s="106" t="str">
        <f>IF(OR(ISBLANK(Term1_Special_Day_2[[#This Row],[Start]]),ISBLANK(Term1_Special_Day_2[[#This Row],[End]])),"",(Term1_Special_Day_2[[#This Row],[End]]-Term1_Special_Day_2[[#This Row],[Start]])*1440)</f>
        <v/>
      </c>
      <c r="M131" s="106" t="str">
        <f>IF(ISBLANK(Term1_Special_Day_2[[#This Row],[Activity]]),"",IF(_xlfn.XLOOKUP(Term1_Special_Day_2[[#This Row],[Activity]],Types_of_Activity[Type of Activity],Types_of_Activity[Classification])=1,Term1_Special_Day_2[[#This Row],[Elapsed]],0))</f>
        <v/>
      </c>
      <c r="N131" s="106" t="str">
        <f>IF(ISBLANK(Term1_Special_Day_2[[#This Row],[Activity]]),"",IF(_xlfn.XLOOKUP(Term1_Special_Day_2[[#This Row],[Activity]],Types_of_Activity[Type of Activity],Types_of_Activity[Classification])=2,Term1_Special_Day_2[[#This Row],[Elapsed]],0))</f>
        <v/>
      </c>
      <c r="O131"/>
      <c r="P131" s="136"/>
      <c r="Q131" s="136"/>
      <c r="R131" s="103"/>
      <c r="S131" s="106" t="str">
        <f>IF(OR(ISBLANK(Term1_Special_Day_3[[#This Row],[Start]]),ISBLANK(Term1_Special_Day_3[[#This Row],[End]])),"",(Term1_Special_Day_3[[#This Row],[End]]-Term1_Special_Day_3[[#This Row],[Start]])*1440)</f>
        <v/>
      </c>
      <c r="T131" s="106" t="str">
        <f>IF(ISBLANK(Term1_Special_Day_3[[#This Row],[Activity]]),"",IF(_xlfn.XLOOKUP(Term1_Special_Day_3[[#This Row],[Activity]],Types_of_Activity[Type of Activity],Types_of_Activity[Classification])=1,Term1_Special_Day_3[[#This Row],[Elapsed]],0))</f>
        <v/>
      </c>
      <c r="U131" s="106" t="str">
        <f>IF(ISBLANK(Term1_Special_Day_3[[#This Row],[Activity]]),"",IF(_xlfn.XLOOKUP(Term1_Special_Day_3[[#This Row],[Activity]],Types_of_Activity[Type of Activity],Types_of_Activity[Classification])=2,Term1_Special_Day_3[[#This Row],[Elapsed]],0))</f>
        <v/>
      </c>
    </row>
  </sheetData>
  <sheetProtection algorithmName="SHA-512" hashValue="lscuBtJVqUpslajD/iZvsDTaEH3LSMTfM/sqrh6GZxOsRTGG/V++uEYQz/0PKbw0RiElJojgqSIuo2gGM7msnw==" saltValue="yQiQYXtK9nOKj+nlzzMyfA==" spinCount="100000" sheet="1" selectLockedCells="1"/>
  <dataValidations count="1">
    <dataValidation type="time" allowBlank="1" showInputMessage="1" showErrorMessage="1" sqref="AD18:AE31 B18:C50 AY18:AZ31 P18:Q31 W18:X31 I18:J31 BF18:BG31 B57:C69 AK18:AL31 AR18:AS31 BM18:BN31 W57:X69 AD57:AE69 AK57:AL69" xr:uid="{804487EC-68EA-4CD9-9E57-4AA648BCB1E0}">
      <formula1>0.208333333333333</formula1>
      <formula2>0.999305555555556</formula2>
    </dataValidation>
  </dataValidations>
  <pageMargins left="0.7" right="0.7" top="0.75" bottom="0.75" header="0.3" footer="0.3"/>
  <pageSetup orientation="portrait" r:id="rId1"/>
  <drawing r:id="rId2"/>
  <tableParts count="19">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s>
  <extLst>
    <ext xmlns:x14="http://schemas.microsoft.com/office/spreadsheetml/2009/9/main" uri="{CCE6A557-97BC-4b89-ADB6-D9C93CAAB3DF}">
      <x14:dataValidations xmlns:xm="http://schemas.microsoft.com/office/excel/2006/main" count="1">
        <x14:dataValidation type="list" allowBlank="1" showInputMessage="1" showErrorMessage="1" xr:uid="{26F22660-6BD0-46FF-A475-25A3252E9528}">
          <x14:formula1>
            <xm:f>_xlfn.ANCHORARRAY(Parameters!$F$25)</xm:f>
          </x14:formula1>
          <xm:sqref>R99:R131 BA18:BA50 Y18:Y50 D18:D50 AF18:AF50 K18:K50 D57:D89 D99:D131 R57:R89 K57:K89 K99:K131 R18:R50 AM18:AM50 AT18:AT50 BH18:BH50 BO18:BO50 Y57:Y89 AF57:AF89 AM57:AM89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BD6ED-1D4B-4D7C-B801-E29D06198B12}">
  <dimension ref="B14:BS131"/>
  <sheetViews>
    <sheetView showGridLines="0" showRowColHeaders="0" workbookViewId="0">
      <selection activeCell="C9" sqref="C9"/>
    </sheetView>
  </sheetViews>
  <sheetFormatPr defaultColWidth="9" defaultRowHeight="16.5" x14ac:dyDescent="0.3"/>
  <cols>
    <col min="1" max="1" width="9" style="104"/>
    <col min="2" max="3" width="12.75" style="104" customWidth="1"/>
    <col min="4" max="4" width="19.625" style="104" customWidth="1"/>
    <col min="5" max="5" width="12.625" style="104" customWidth="1"/>
    <col min="6" max="7" width="19.75" style="104" customWidth="1"/>
    <col min="8" max="8" width="9" style="104"/>
    <col min="9" max="10" width="12.75" style="104" customWidth="1"/>
    <col min="11" max="11" width="19.625" style="104" customWidth="1"/>
    <col min="12" max="12" width="12.625" style="104" customWidth="1"/>
    <col min="13" max="14" width="19.75" style="104" customWidth="1"/>
    <col min="15" max="15" width="9" style="104"/>
    <col min="16" max="17" width="12.75" style="104" customWidth="1"/>
    <col min="18" max="18" width="19.625" style="104" customWidth="1"/>
    <col min="19" max="19" width="12.625" style="104" customWidth="1"/>
    <col min="20" max="21" width="19.75" style="104" customWidth="1"/>
    <col min="22" max="22" width="10.375" style="104" customWidth="1"/>
    <col min="23" max="24" width="12.75" style="104" customWidth="1"/>
    <col min="25" max="25" width="19.625" style="104" customWidth="1"/>
    <col min="26" max="26" width="12.625" style="104" customWidth="1"/>
    <col min="27" max="28" width="19.75" style="104" customWidth="1"/>
    <col min="29" max="29" width="9" style="104"/>
    <col min="30" max="31" width="12.75" style="104" customWidth="1"/>
    <col min="32" max="32" width="19.625" style="104" customWidth="1"/>
    <col min="33" max="33" width="12.625" style="104" customWidth="1"/>
    <col min="34" max="35" width="19.75" style="104" customWidth="1"/>
    <col min="36" max="36" width="9" style="104" customWidth="1"/>
    <col min="37" max="38" width="12.75" style="104" customWidth="1"/>
    <col min="39" max="39" width="19.625" style="104" customWidth="1"/>
    <col min="40" max="40" width="12.625" style="104" customWidth="1"/>
    <col min="41" max="42" width="19.75" style="104" customWidth="1"/>
    <col min="43" max="43" width="9" style="104" customWidth="1"/>
    <col min="44" max="45" width="12.75" style="104" customWidth="1"/>
    <col min="46" max="46" width="19.625" style="104" customWidth="1"/>
    <col min="47" max="47" width="12.75" style="104" customWidth="1"/>
    <col min="48" max="49" width="19.625" style="104" customWidth="1"/>
    <col min="50" max="50" width="9" style="104" customWidth="1"/>
    <col min="51" max="52" width="12.75" style="104" customWidth="1"/>
    <col min="53" max="53" width="19.625" style="104" customWidth="1"/>
    <col min="54" max="54" width="9" style="104" customWidth="1"/>
    <col min="55" max="56" width="19.625" style="104" customWidth="1"/>
    <col min="57" max="57" width="9" style="104" customWidth="1"/>
    <col min="58" max="59" width="12.75" style="104" customWidth="1"/>
    <col min="60" max="60" width="19.625" style="104" customWidth="1"/>
    <col min="61" max="61" width="12.75" style="104" customWidth="1"/>
    <col min="62" max="63" width="19.625" style="104" customWidth="1"/>
    <col min="64" max="64" width="9" style="104" customWidth="1"/>
    <col min="65" max="66" width="12.75" style="104" customWidth="1"/>
    <col min="67" max="67" width="19.625" style="104" customWidth="1"/>
    <col min="68" max="68" width="12.625" style="104" customWidth="1"/>
    <col min="69" max="70" width="19.75" style="104" customWidth="1"/>
    <col min="71" max="71" width="9" style="104" customWidth="1"/>
    <col min="72" max="74" width="12.625" style="104" customWidth="1"/>
    <col min="75" max="75" width="18.625" style="104" customWidth="1"/>
    <col min="76" max="76" width="20.625" style="104" customWidth="1"/>
    <col min="77" max="77" width="18.5" style="104" customWidth="1"/>
    <col min="78" max="81" width="9" style="104"/>
    <col min="82" max="82" width="12.125" style="104" customWidth="1"/>
    <col min="83" max="83" width="16.25" style="104" customWidth="1"/>
    <col min="84" max="16384" width="9" style="104"/>
  </cols>
  <sheetData>
    <row r="14" spans="2:70" ht="27.75" x14ac:dyDescent="0.45">
      <c r="B14" s="168" t="str">
        <f>IF(Num_Terms = 1, "STOP. You indicated that your school uses only 1 term. If you have more than 1 term, update the settings on the first sheet.","")</f>
        <v/>
      </c>
      <c r="C14" s="168"/>
      <c r="D14" s="168"/>
      <c r="E14" s="168"/>
      <c r="F14" s="168"/>
      <c r="G14" s="168"/>
      <c r="H14" s="168"/>
      <c r="I14" s="168"/>
      <c r="J14" s="168"/>
      <c r="K14" s="168"/>
      <c r="L14" s="168"/>
      <c r="M14" s="168"/>
      <c r="N14" s="168"/>
    </row>
    <row r="15" spans="2:70" ht="16.5" customHeight="1" x14ac:dyDescent="0.45">
      <c r="B15" s="144"/>
    </row>
    <row r="16" spans="2:70" ht="30.75" x14ac:dyDescent="0.45">
      <c r="B16" s="105" t="s">
        <v>9</v>
      </c>
      <c r="F16" s="106"/>
      <c r="G16" s="106"/>
      <c r="I16" s="105" t="s">
        <v>10</v>
      </c>
      <c r="M16" s="106"/>
      <c r="N16" s="106"/>
      <c r="P16" s="105" t="s">
        <v>11</v>
      </c>
      <c r="T16" s="106"/>
      <c r="U16" s="106"/>
      <c r="W16" s="105" t="s">
        <v>12</v>
      </c>
      <c r="AA16" s="106"/>
      <c r="AB16" s="106"/>
      <c r="AD16" s="105" t="s">
        <v>13</v>
      </c>
      <c r="AH16" s="106"/>
      <c r="AI16" s="106"/>
      <c r="AK16" s="105" t="s">
        <v>14</v>
      </c>
      <c r="AO16" s="106"/>
      <c r="AP16" s="106"/>
      <c r="AR16" s="105" t="s">
        <v>4124</v>
      </c>
      <c r="AV16" s="106"/>
      <c r="AW16" s="106"/>
      <c r="AY16" s="105" t="s">
        <v>4125</v>
      </c>
      <c r="BC16" s="106"/>
      <c r="BD16" s="106"/>
      <c r="BF16" s="105" t="s">
        <v>4126</v>
      </c>
      <c r="BJ16" s="106"/>
      <c r="BK16" s="106"/>
      <c r="BM16" s="105" t="s">
        <v>15</v>
      </c>
      <c r="BQ16" s="106"/>
      <c r="BR16" s="106"/>
    </row>
    <row r="17" spans="2:71" ht="33" x14ac:dyDescent="0.3">
      <c r="B17" s="120" t="s">
        <v>16</v>
      </c>
      <c r="C17" s="120" t="s">
        <v>17</v>
      </c>
      <c r="D17" s="120" t="s">
        <v>19</v>
      </c>
      <c r="E17" s="120" t="s">
        <v>18</v>
      </c>
      <c r="F17" s="120" t="s">
        <v>20</v>
      </c>
      <c r="G17" s="121" t="s">
        <v>4100</v>
      </c>
      <c r="I17" s="120" t="s">
        <v>16</v>
      </c>
      <c r="J17" s="120" t="s">
        <v>17</v>
      </c>
      <c r="K17" s="120" t="s">
        <v>19</v>
      </c>
      <c r="L17" s="120" t="s">
        <v>18</v>
      </c>
      <c r="M17" s="120" t="s">
        <v>20</v>
      </c>
      <c r="N17" s="121" t="s">
        <v>4100</v>
      </c>
      <c r="P17" s="120" t="s">
        <v>16</v>
      </c>
      <c r="Q17" s="120" t="s">
        <v>17</v>
      </c>
      <c r="R17" s="120" t="s">
        <v>19</v>
      </c>
      <c r="S17" s="120" t="s">
        <v>18</v>
      </c>
      <c r="T17" s="120" t="s">
        <v>20</v>
      </c>
      <c r="U17" s="121" t="s">
        <v>4100</v>
      </c>
      <c r="W17" s="120" t="s">
        <v>16</v>
      </c>
      <c r="X17" s="120" t="s">
        <v>17</v>
      </c>
      <c r="Y17" s="120" t="s">
        <v>19</v>
      </c>
      <c r="Z17" s="120" t="s">
        <v>18</v>
      </c>
      <c r="AA17" s="120" t="s">
        <v>20</v>
      </c>
      <c r="AB17" s="121" t="s">
        <v>4100</v>
      </c>
      <c r="AD17" s="120" t="s">
        <v>16</v>
      </c>
      <c r="AE17" s="120" t="s">
        <v>17</v>
      </c>
      <c r="AF17" s="120" t="s">
        <v>19</v>
      </c>
      <c r="AG17" s="120" t="s">
        <v>18</v>
      </c>
      <c r="AH17" s="120" t="s">
        <v>20</v>
      </c>
      <c r="AI17" s="121" t="s">
        <v>4100</v>
      </c>
      <c r="AK17" s="120" t="s">
        <v>16</v>
      </c>
      <c r="AL17" s="120" t="s">
        <v>17</v>
      </c>
      <c r="AM17" s="120" t="s">
        <v>19</v>
      </c>
      <c r="AN17" s="120" t="s">
        <v>18</v>
      </c>
      <c r="AO17" s="120" t="s">
        <v>20</v>
      </c>
      <c r="AP17" s="121" t="s">
        <v>4100</v>
      </c>
      <c r="AR17" s="120" t="s">
        <v>16</v>
      </c>
      <c r="AS17" s="120" t="s">
        <v>17</v>
      </c>
      <c r="AT17" s="120" t="s">
        <v>19</v>
      </c>
      <c r="AU17" s="120" t="s">
        <v>18</v>
      </c>
      <c r="AV17" s="120" t="s">
        <v>20</v>
      </c>
      <c r="AW17" s="121" t="s">
        <v>4100</v>
      </c>
      <c r="AY17" s="120" t="s">
        <v>16</v>
      </c>
      <c r="AZ17" s="120" t="s">
        <v>17</v>
      </c>
      <c r="BA17" s="120" t="s">
        <v>19</v>
      </c>
      <c r="BB17" s="120" t="s">
        <v>18</v>
      </c>
      <c r="BC17" s="120" t="s">
        <v>20</v>
      </c>
      <c r="BD17" s="121" t="s">
        <v>4100</v>
      </c>
      <c r="BF17" s="120" t="s">
        <v>16</v>
      </c>
      <c r="BG17" s="120" t="s">
        <v>17</v>
      </c>
      <c r="BH17" s="120" t="s">
        <v>19</v>
      </c>
      <c r="BI17" s="120" t="s">
        <v>18</v>
      </c>
      <c r="BJ17" s="120" t="s">
        <v>20</v>
      </c>
      <c r="BK17" s="121" t="s">
        <v>4100</v>
      </c>
      <c r="BM17" s="120" t="s">
        <v>16</v>
      </c>
      <c r="BN17" s="120" t="s">
        <v>17</v>
      </c>
      <c r="BO17" s="120" t="s">
        <v>19</v>
      </c>
      <c r="BP17" s="120" t="s">
        <v>18</v>
      </c>
      <c r="BQ17" s="120" t="s">
        <v>20</v>
      </c>
      <c r="BR17" s="121" t="s">
        <v>4100</v>
      </c>
    </row>
    <row r="18" spans="2:71" x14ac:dyDescent="0.3">
      <c r="B18" s="136"/>
      <c r="C18" s="136"/>
      <c r="D18" s="103"/>
      <c r="E18" s="106" t="str">
        <f>IF(OR(ISBLANK(Term2_Day_1[[#This Row],[Start]]),ISBLANK(Term2_Day_1[[#This Row],[End]])),"",(Term2_Day_1[[#This Row],[End]]-Term2_Day_1[[#This Row],[Start]])*1440)</f>
        <v/>
      </c>
      <c r="F18" s="106" t="str">
        <f>IF(ISBLANK(Term2_Day_1[[#This Row],[Activity]]),"",IF(_xlfn.XLOOKUP(Term2_Day_1[[#This Row],[Activity]],Types_of_Activity[Type of Activity],Types_of_Activity[Classification])=1,Term2_Day_1[[#This Row],[Elapsed]],0))</f>
        <v/>
      </c>
      <c r="G18" s="106" t="str">
        <f>IF(ISBLANK(Term2_Day_1[[#This Row],[Activity]]),"",IF(_xlfn.XLOOKUP(Term2_Day_1[[#This Row],[Activity]],Types_of_Activity[Type of Activity],Types_of_Activity[Classification])=2,Term2_Day_1[[#This Row],[Elapsed]],0))</f>
        <v/>
      </c>
      <c r="I18" s="136"/>
      <c r="J18" s="136"/>
      <c r="K18" s="103"/>
      <c r="L18" s="106" t="str">
        <f>IF(OR(ISBLANK(Term2_Day_2[[#This Row],[Start]]),ISBLANK(Term2_Day_2[[#This Row],[End]])),"",(Term2_Day_2[[#This Row],[End]]-Term2_Day_2[[#This Row],[Start]])*1440)</f>
        <v/>
      </c>
      <c r="M18" s="106" t="str">
        <f>IF(ISBLANK(Term2_Day_2[[#This Row],[Activity]]),"",IF(_xlfn.XLOOKUP(Term2_Day_2[[#This Row],[Activity]],Types_of_Activity[Type of Activity],Types_of_Activity[Classification])=1,Term2_Day_2[[#This Row],[Elapsed]],0))</f>
        <v/>
      </c>
      <c r="N18" s="106" t="str">
        <f>IF(ISBLANK(Term2_Day_2[[#This Row],[Activity]]),"",IF(_xlfn.XLOOKUP(Term2_Day_2[[#This Row],[Activity]],Types_of_Activity[Type of Activity],Types_of_Activity[Classification])=2,Term2_Day_2[[#This Row],[Elapsed]],0))</f>
        <v/>
      </c>
      <c r="P18" s="136"/>
      <c r="Q18" s="136"/>
      <c r="R18" s="103"/>
      <c r="S18" s="106" t="str">
        <f>IF(OR(ISBLANK(Term2_Day_3[[#This Row],[Start]]),ISBLANK(Term2_Day_3[[#This Row],[End]])),"",(Term2_Day_3[[#This Row],[End]]-Term2_Day_3[[#This Row],[Start]])*1440)</f>
        <v/>
      </c>
      <c r="T18" s="106" t="str">
        <f>IF(ISBLANK(Term2_Day_3[[#This Row],[Activity]]),"",IF(_xlfn.XLOOKUP(Term2_Day_3[[#This Row],[Activity]],Types_of_Activity[Type of Activity],Types_of_Activity[Classification])=1,Term2_Day_3[[#This Row],[Elapsed]],0))</f>
        <v/>
      </c>
      <c r="U18" s="106" t="str">
        <f>IF(ISBLANK(Term2_Day_3[[#This Row],[Activity]]),"",IF(_xlfn.XLOOKUP(Term2_Day_3[[#This Row],[Activity]],Types_of_Activity[Type of Activity],Types_of_Activity[Classification])=2,Term2_Day_3[[#This Row],[Elapsed]],0))</f>
        <v/>
      </c>
      <c r="W18" s="136"/>
      <c r="X18" s="136"/>
      <c r="Y18" s="103"/>
      <c r="Z18" s="106" t="str">
        <f>IF(OR(ISBLANK(Term2_Day_4[[#This Row],[Start]]),ISBLANK(Term2_Day_4[[#This Row],[End]])),"",(Term2_Day_4[[#This Row],[End]]-Term2_Day_4[[#This Row],[Start]])*1440)</f>
        <v/>
      </c>
      <c r="AA18" s="106" t="str">
        <f>IF(ISBLANK(Term2_Day_4[[#This Row],[Activity]]),"",IF(_xlfn.XLOOKUP(Term2_Day_4[[#This Row],[Activity]],Types_of_Activity[Type of Activity],Types_of_Activity[Classification])=1,Term2_Day_4[[#This Row],[Elapsed]],0))</f>
        <v/>
      </c>
      <c r="AB18" s="106" t="str">
        <f>IF(ISBLANK(Term2_Day_4[[#This Row],[Activity]]),"",IF(_xlfn.XLOOKUP(Term2_Day_4[[#This Row],[Activity]],Types_of_Activity[Type of Activity],Types_of_Activity[Classification])=2,Term2_Day_4[[#This Row],[Elapsed]],0))</f>
        <v/>
      </c>
      <c r="AD18" s="136"/>
      <c r="AE18" s="136"/>
      <c r="AF18" s="103"/>
      <c r="AG18" s="106" t="str">
        <f>IF(OR(ISBLANK(Term2_Day_5[[#This Row],[Start]]),ISBLANK(Term2_Day_5[[#This Row],[End]])),"",(Term2_Day_5[[#This Row],[End]]-Term2_Day_5[[#This Row],[Start]])*1440)</f>
        <v/>
      </c>
      <c r="AH18" s="106" t="str">
        <f>IF(ISBLANK(Term2_Day_5[[#This Row],[Activity]]),"",IF(_xlfn.XLOOKUP(Term2_Day_5[[#This Row],[Activity]],Types_of_Activity[Type of Activity],Types_of_Activity[Classification])=1,Term2_Day_5[[#This Row],[Elapsed]],0))</f>
        <v/>
      </c>
      <c r="AI18" s="106" t="str">
        <f>IF(ISBLANK(Term2_Day_5[[#This Row],[Activity]]),"",IF(_xlfn.XLOOKUP(Term2_Day_5[[#This Row],[Activity]],Types_of_Activity[Type of Activity],Types_of_Activity[Classification])=2,Term2_Day_5[[#This Row],[Elapsed]],0))</f>
        <v/>
      </c>
      <c r="AK18" s="136"/>
      <c r="AL18" s="136"/>
      <c r="AM18" s="103"/>
      <c r="AN18" s="106" t="str">
        <f>IF(OR(ISBLANK(Term2_Day_6[[#This Row],[Start]]),ISBLANK(Term2_Day_6[[#This Row],[End]])),"",(Term2_Day_6[[#This Row],[End]]-Term2_Day_6[[#This Row],[Start]])*1440)</f>
        <v/>
      </c>
      <c r="AO18" s="106" t="str">
        <f>IF(ISBLANK(Term2_Day_6[[#This Row],[Activity]]),"",IF(_xlfn.XLOOKUP(Term2_Day_6[[#This Row],[Activity]],Types_of_Activity[Type of Activity],Types_of_Activity[Classification])=1,Term2_Day_6[[#This Row],[Elapsed]],0))</f>
        <v/>
      </c>
      <c r="AP18" s="106" t="str">
        <f>IF(ISBLANK(Term2_Day_6[[#This Row],[Activity]]),"",IF(_xlfn.XLOOKUP(Term2_Day_6[[#This Row],[Activity]],Types_of_Activity[Type of Activity],Types_of_Activity[Classification])=2,Term2_Day_6[[#This Row],[Elapsed]],0))</f>
        <v/>
      </c>
      <c r="AR18" s="136"/>
      <c r="AS18" s="136"/>
      <c r="AT18" s="103"/>
      <c r="AU18" s="106" t="str">
        <f>IF(OR(ISBLANK(Term2_Day_7[[#This Row],[Start]]),ISBLANK(Term2_Day_7[[#This Row],[End]])),"",(Term2_Day_7[[#This Row],[End]]-Term2_Day_7[[#This Row],[Start]])*1440)</f>
        <v/>
      </c>
      <c r="AV18" s="106" t="str">
        <f>IF(ISBLANK(Term2_Day_7[[#This Row],[Activity]]),"",IF(_xlfn.XLOOKUP(Term2_Day_7[[#This Row],[Activity]],Types_of_Activity[Type of Activity],Types_of_Activity[Classification])=1,Term2_Day_7[[#This Row],[Elapsed]],0))</f>
        <v/>
      </c>
      <c r="AW18" s="106" t="str">
        <f>IF(ISBLANK(Term2_Day_7[[#This Row],[Activity]]),"",IF(_xlfn.XLOOKUP(Term2_Day_7[[#This Row],[Activity]],Types_of_Activity[Type of Activity],Types_of_Activity[Classification])=2,Term2_Day_7[[#This Row],[Elapsed]],0))</f>
        <v/>
      </c>
      <c r="AY18" s="136"/>
      <c r="AZ18" s="136"/>
      <c r="BA18" s="103"/>
      <c r="BB18" s="106" t="str">
        <f>IF(OR(ISBLANK(Term2_Day_8[[#This Row],[Start]]),ISBLANK(Term2_Day_8[[#This Row],[End]])),"",(Term2_Day_8[[#This Row],[End]]-Term2_Day_8[[#This Row],[Start]])*1440)</f>
        <v/>
      </c>
      <c r="BC18" s="106" t="str">
        <f>IF(ISBLANK(Term2_Day_8[[#This Row],[Activity]]),"",IF(_xlfn.XLOOKUP(Term2_Day_8[[#This Row],[Activity]],Types_of_Activity[Type of Activity],Types_of_Activity[Classification])=1,Term2_Day_8[[#This Row],[Elapsed]],0))</f>
        <v/>
      </c>
      <c r="BD18" s="106" t="str">
        <f>IF(ISBLANK(Term2_Day_8[[#This Row],[Activity]]),"",IF(_xlfn.XLOOKUP(Term2_Day_8[[#This Row],[Activity]],Types_of_Activity[Type of Activity],Types_of_Activity[Classification])=2,Term2_Day_8[[#This Row],[Elapsed]],0))</f>
        <v/>
      </c>
      <c r="BF18" s="136"/>
      <c r="BG18" s="136"/>
      <c r="BH18" s="103"/>
      <c r="BI18" s="106" t="str">
        <f>IF(OR(ISBLANK(Term2_Day_9[[#This Row],[Start]]),ISBLANK(Term2_Day_9[[#This Row],[End]])),"",(Term2_Day_9[[#This Row],[End]]-Term2_Day_9[[#This Row],[Start]])*1440)</f>
        <v/>
      </c>
      <c r="BJ18" s="106" t="str">
        <f>IF(ISBLANK(Term2_Day_9[[#This Row],[Activity]]),"",IF(_xlfn.XLOOKUP(Term2_Day_9[[#This Row],[Activity]],Types_of_Activity[Type of Activity],Types_of_Activity[Classification])=1,Term2_Day_9[[#This Row],[Elapsed]],0))</f>
        <v/>
      </c>
      <c r="BK18" s="106" t="str">
        <f>IF(ISBLANK(Term2_Day_9[[#This Row],[Activity]]),"",IF(_xlfn.XLOOKUP(Term2_Day_9[[#This Row],[Activity]],Types_of_Activity[Type of Activity],Types_of_Activity[Classification])=2,Term2_Day_9[[#This Row],[Elapsed]],0))</f>
        <v/>
      </c>
      <c r="BM18" s="136"/>
      <c r="BN18" s="136"/>
      <c r="BO18" s="103"/>
      <c r="BP18" s="106" t="str">
        <f>IF(OR(ISBLANK(Term2_Day_10[[#This Row],[Start]]),ISBLANK(Term2_Day_10[[#This Row],[End]])),"",(Term2_Day_10[[#This Row],[End]]-Term2_Day_10[[#This Row],[Start]])*1440)</f>
        <v/>
      </c>
      <c r="BQ18" s="106" t="str">
        <f>IF(ISBLANK(Term2_Day_10[[#This Row],[Activity]]),"",IF(_xlfn.XLOOKUP(Term2_Day_10[[#This Row],[Activity]],Types_of_Activity[Type of Activity],Types_of_Activity[Classification])=1,Term2_Day_10[[#This Row],[Elapsed]],0))</f>
        <v/>
      </c>
      <c r="BR18" s="106" t="str">
        <f>IF(ISBLANK(Term2_Day_10[[#This Row],[Activity]]),"",IF(_xlfn.XLOOKUP(Term2_Day_10[[#This Row],[Activity]],Types_of_Activity[Type of Activity],Types_of_Activity[Classification])=2,Term2_Day_10[[#This Row],[Elapsed]],0))</f>
        <v/>
      </c>
    </row>
    <row r="19" spans="2:71" x14ac:dyDescent="0.3">
      <c r="B19" s="136"/>
      <c r="C19" s="136"/>
      <c r="D19" s="103"/>
      <c r="E19" s="106" t="str">
        <f>IF(OR(ISBLANK(Term2_Day_1[[#This Row],[Start]]),ISBLANK(Term2_Day_1[[#This Row],[End]])),"",(Term2_Day_1[[#This Row],[End]]-Term2_Day_1[[#This Row],[Start]])*1440)</f>
        <v/>
      </c>
      <c r="F19" s="106" t="str">
        <f>IF(ISBLANK(Term2_Day_1[[#This Row],[Activity]]),"",IF(_xlfn.XLOOKUP(Term2_Day_1[[#This Row],[Activity]],Types_of_Activity[Type of Activity],Types_of_Activity[Classification])=1,Term2_Day_1[[#This Row],[Elapsed]],0))</f>
        <v/>
      </c>
      <c r="G19" s="106" t="str">
        <f>IF(ISBLANK(Term2_Day_1[[#This Row],[Activity]]),"",IF(_xlfn.XLOOKUP(Term2_Day_1[[#This Row],[Activity]],Types_of_Activity[Type of Activity],Types_of_Activity[Classification])=2,Term2_Day_1[[#This Row],[Elapsed]],0))</f>
        <v/>
      </c>
      <c r="I19" s="136"/>
      <c r="J19" s="136"/>
      <c r="K19" s="103"/>
      <c r="L19" s="106" t="str">
        <f>IF(OR(ISBLANK(Term2_Day_2[[#This Row],[Start]]),ISBLANK(Term2_Day_2[[#This Row],[End]])),"",(Term2_Day_2[[#This Row],[End]]-Term2_Day_2[[#This Row],[Start]])*1440)</f>
        <v/>
      </c>
      <c r="M19" s="106" t="str">
        <f>IF(ISBLANK(Term2_Day_2[[#This Row],[Activity]]),"",IF(_xlfn.XLOOKUP(Term2_Day_2[[#This Row],[Activity]],Types_of_Activity[Type of Activity],Types_of_Activity[Classification])=1,Term2_Day_2[[#This Row],[Elapsed]],0))</f>
        <v/>
      </c>
      <c r="N19" s="106" t="str">
        <f>IF(ISBLANK(Term2_Day_2[[#This Row],[Activity]]),"",IF(_xlfn.XLOOKUP(Term2_Day_2[[#This Row],[Activity]],Types_of_Activity[Type of Activity],Types_of_Activity[Classification])=2,Term2_Day_2[[#This Row],[Elapsed]],0))</f>
        <v/>
      </c>
      <c r="P19" s="136"/>
      <c r="Q19" s="136"/>
      <c r="R19" s="103"/>
      <c r="S19" s="106" t="str">
        <f>IF(OR(ISBLANK(Term2_Day_3[[#This Row],[Start]]),ISBLANK(Term2_Day_3[[#This Row],[End]])),"",(Term2_Day_3[[#This Row],[End]]-Term2_Day_3[[#This Row],[Start]])*1440)</f>
        <v/>
      </c>
      <c r="T19" s="106" t="str">
        <f>IF(ISBLANK(Term2_Day_3[[#This Row],[Activity]]),"",IF(_xlfn.XLOOKUP(Term2_Day_3[[#This Row],[Activity]],Types_of_Activity[Type of Activity],Types_of_Activity[Classification])=1,Term2_Day_3[[#This Row],[Elapsed]],0))</f>
        <v/>
      </c>
      <c r="U19" s="106" t="str">
        <f>IF(ISBLANK(Term2_Day_3[[#This Row],[Activity]]),"",IF(_xlfn.XLOOKUP(Term2_Day_3[[#This Row],[Activity]],Types_of_Activity[Type of Activity],Types_of_Activity[Classification])=2,Term2_Day_3[[#This Row],[Elapsed]],0))</f>
        <v/>
      </c>
      <c r="W19" s="136"/>
      <c r="X19" s="136"/>
      <c r="Y19" s="103"/>
      <c r="Z19" s="106" t="str">
        <f>IF(OR(ISBLANK(Term2_Day_4[[#This Row],[Start]]),ISBLANK(Term2_Day_4[[#This Row],[End]])),"",(Term2_Day_4[[#This Row],[End]]-Term2_Day_4[[#This Row],[Start]])*1440)</f>
        <v/>
      </c>
      <c r="AA19" s="106" t="str">
        <f>IF(ISBLANK(Term2_Day_4[[#This Row],[Activity]]),"",IF(_xlfn.XLOOKUP(Term2_Day_4[[#This Row],[Activity]],Types_of_Activity[Type of Activity],Types_of_Activity[Classification])=1,Term2_Day_4[[#This Row],[Elapsed]],0))</f>
        <v/>
      </c>
      <c r="AB19" s="106" t="str">
        <f>IF(ISBLANK(Term2_Day_4[[#This Row],[Activity]]),"",IF(_xlfn.XLOOKUP(Term2_Day_4[[#This Row],[Activity]],Types_of_Activity[Type of Activity],Types_of_Activity[Classification])=2,Term2_Day_4[[#This Row],[Elapsed]],0))</f>
        <v/>
      </c>
      <c r="AD19" s="136"/>
      <c r="AE19" s="136"/>
      <c r="AF19" s="103"/>
      <c r="AG19" s="106" t="str">
        <f>IF(OR(ISBLANK(Term2_Day_5[[#This Row],[Start]]),ISBLANK(Term2_Day_5[[#This Row],[End]])),"",(Term2_Day_5[[#This Row],[End]]-Term2_Day_5[[#This Row],[Start]])*1440)</f>
        <v/>
      </c>
      <c r="AH19" s="106" t="str">
        <f>IF(ISBLANK(Term2_Day_5[[#This Row],[Activity]]),"",IF(_xlfn.XLOOKUP(Term2_Day_5[[#This Row],[Activity]],Types_of_Activity[Type of Activity],Types_of_Activity[Classification])=1,Term2_Day_5[[#This Row],[Elapsed]],0))</f>
        <v/>
      </c>
      <c r="AI19" s="106" t="str">
        <f>IF(ISBLANK(Term2_Day_5[[#This Row],[Activity]]),"",IF(_xlfn.XLOOKUP(Term2_Day_5[[#This Row],[Activity]],Types_of_Activity[Type of Activity],Types_of_Activity[Classification])=2,Term2_Day_5[[#This Row],[Elapsed]],0))</f>
        <v/>
      </c>
      <c r="AK19" s="136"/>
      <c r="AL19" s="136"/>
      <c r="AM19" s="103"/>
      <c r="AN19" s="106" t="str">
        <f>IF(OR(ISBLANK(Term2_Day_6[[#This Row],[Start]]),ISBLANK(Term2_Day_6[[#This Row],[End]])),"",(Term2_Day_6[[#This Row],[End]]-Term2_Day_6[[#This Row],[Start]])*1440)</f>
        <v/>
      </c>
      <c r="AO19" s="106" t="str">
        <f>IF(ISBLANK(Term2_Day_6[[#This Row],[Activity]]),"",IF(_xlfn.XLOOKUP(Term2_Day_6[[#This Row],[Activity]],Types_of_Activity[Type of Activity],Types_of_Activity[Classification])=1,Term2_Day_6[[#This Row],[Elapsed]],0))</f>
        <v/>
      </c>
      <c r="AP19" s="106" t="str">
        <f>IF(ISBLANK(Term2_Day_6[[#This Row],[Activity]]),"",IF(_xlfn.XLOOKUP(Term2_Day_6[[#This Row],[Activity]],Types_of_Activity[Type of Activity],Types_of_Activity[Classification])=2,Term2_Day_6[[#This Row],[Elapsed]],0))</f>
        <v/>
      </c>
      <c r="AR19" s="136"/>
      <c r="AS19" s="136"/>
      <c r="AT19" s="103"/>
      <c r="AU19" s="106" t="str">
        <f>IF(OR(ISBLANK(Term2_Day_7[[#This Row],[Start]]),ISBLANK(Term2_Day_7[[#This Row],[End]])),"",(Term2_Day_7[[#This Row],[End]]-Term2_Day_7[[#This Row],[Start]])*1440)</f>
        <v/>
      </c>
      <c r="AV19" s="106" t="str">
        <f>IF(ISBLANK(Term2_Day_7[[#This Row],[Activity]]),"",IF(_xlfn.XLOOKUP(Term2_Day_7[[#This Row],[Activity]],Types_of_Activity[Type of Activity],Types_of_Activity[Classification])=1,Term2_Day_7[[#This Row],[Elapsed]],0))</f>
        <v/>
      </c>
      <c r="AW19" s="106" t="str">
        <f>IF(ISBLANK(Term2_Day_7[[#This Row],[Activity]]),"",IF(_xlfn.XLOOKUP(Term2_Day_7[[#This Row],[Activity]],Types_of_Activity[Type of Activity],Types_of_Activity[Classification])=2,Term2_Day_7[[#This Row],[Elapsed]],0))</f>
        <v/>
      </c>
      <c r="AY19" s="136"/>
      <c r="AZ19" s="136"/>
      <c r="BA19" s="103"/>
      <c r="BB19" s="106" t="str">
        <f>IF(OR(ISBLANK(Term2_Day_8[[#This Row],[Start]]),ISBLANK(Term2_Day_8[[#This Row],[End]])),"",(Term2_Day_8[[#This Row],[End]]-Term2_Day_8[[#This Row],[Start]])*1440)</f>
        <v/>
      </c>
      <c r="BC19" s="106" t="str">
        <f>IF(ISBLANK(Term2_Day_8[[#This Row],[Activity]]),"",IF(_xlfn.XLOOKUP(Term2_Day_8[[#This Row],[Activity]],Types_of_Activity[Type of Activity],Types_of_Activity[Classification])=1,Term2_Day_8[[#This Row],[Elapsed]],0))</f>
        <v/>
      </c>
      <c r="BD19" s="106" t="str">
        <f>IF(ISBLANK(Term2_Day_8[[#This Row],[Activity]]),"",IF(_xlfn.XLOOKUP(Term2_Day_8[[#This Row],[Activity]],Types_of_Activity[Type of Activity],Types_of_Activity[Classification])=2,Term2_Day_8[[#This Row],[Elapsed]],0))</f>
        <v/>
      </c>
      <c r="BF19" s="136"/>
      <c r="BG19" s="136"/>
      <c r="BH19" s="103"/>
      <c r="BI19" s="106" t="str">
        <f>IF(OR(ISBLANK(Term2_Day_9[[#This Row],[Start]]),ISBLANK(Term2_Day_9[[#This Row],[End]])),"",(Term2_Day_9[[#This Row],[End]]-Term2_Day_9[[#This Row],[Start]])*1440)</f>
        <v/>
      </c>
      <c r="BJ19" s="106" t="str">
        <f>IF(ISBLANK(Term2_Day_9[[#This Row],[Activity]]),"",IF(_xlfn.XLOOKUP(Term2_Day_9[[#This Row],[Activity]],Types_of_Activity[Type of Activity],Types_of_Activity[Classification])=1,Term2_Day_9[[#This Row],[Elapsed]],0))</f>
        <v/>
      </c>
      <c r="BK19" s="106" t="str">
        <f>IF(ISBLANK(Term2_Day_9[[#This Row],[Activity]]),"",IF(_xlfn.XLOOKUP(Term2_Day_9[[#This Row],[Activity]],Types_of_Activity[Type of Activity],Types_of_Activity[Classification])=2,Term2_Day_9[[#This Row],[Elapsed]],0))</f>
        <v/>
      </c>
      <c r="BM19" s="136"/>
      <c r="BN19" s="136"/>
      <c r="BO19" s="103"/>
      <c r="BP19" s="106" t="str">
        <f>IF(OR(ISBLANK(Term2_Day_10[[#This Row],[Start]]),ISBLANK(Term2_Day_10[[#This Row],[End]])),"",(Term2_Day_10[[#This Row],[End]]-Term2_Day_10[[#This Row],[Start]])*1440)</f>
        <v/>
      </c>
      <c r="BQ19" s="106" t="str">
        <f>IF(ISBLANK(Term2_Day_10[[#This Row],[Activity]]),"",IF(_xlfn.XLOOKUP(Term2_Day_10[[#This Row],[Activity]],Types_of_Activity[Type of Activity],Types_of_Activity[Classification])=1,Term2_Day_10[[#This Row],[Elapsed]],0))</f>
        <v/>
      </c>
      <c r="BR19" s="106" t="str">
        <f>IF(ISBLANK(Term2_Day_10[[#This Row],[Activity]]),"",IF(_xlfn.XLOOKUP(Term2_Day_10[[#This Row],[Activity]],Types_of_Activity[Type of Activity],Types_of_Activity[Classification])=2,Term2_Day_10[[#This Row],[Elapsed]],0))</f>
        <v/>
      </c>
    </row>
    <row r="20" spans="2:71" x14ac:dyDescent="0.3">
      <c r="B20" s="136"/>
      <c r="C20" s="136"/>
      <c r="D20" s="103"/>
      <c r="E20" s="106" t="str">
        <f>IF(OR(ISBLANK(Term2_Day_1[[#This Row],[Start]]),ISBLANK(Term2_Day_1[[#This Row],[End]])),"",(Term2_Day_1[[#This Row],[End]]-Term2_Day_1[[#This Row],[Start]])*1440)</f>
        <v/>
      </c>
      <c r="F20" s="106" t="str">
        <f>IF(ISBLANK(Term2_Day_1[[#This Row],[Activity]]),"",IF(_xlfn.XLOOKUP(Term2_Day_1[[#This Row],[Activity]],Types_of_Activity[Type of Activity],Types_of_Activity[Classification])=1,Term2_Day_1[[#This Row],[Elapsed]],0))</f>
        <v/>
      </c>
      <c r="G20" s="106" t="str">
        <f>IF(ISBLANK(Term2_Day_1[[#This Row],[Activity]]),"",IF(_xlfn.XLOOKUP(Term2_Day_1[[#This Row],[Activity]],Types_of_Activity[Type of Activity],Types_of_Activity[Classification])=2,Term2_Day_1[[#This Row],[Elapsed]],0))</f>
        <v/>
      </c>
      <c r="I20" s="136"/>
      <c r="J20" s="136"/>
      <c r="K20" s="103"/>
      <c r="L20" s="106" t="str">
        <f>IF(OR(ISBLANK(Term2_Day_2[[#This Row],[Start]]),ISBLANK(Term2_Day_2[[#This Row],[End]])),"",(Term2_Day_2[[#This Row],[End]]-Term2_Day_2[[#This Row],[Start]])*1440)</f>
        <v/>
      </c>
      <c r="M20" s="106" t="str">
        <f>IF(ISBLANK(Term2_Day_2[[#This Row],[Activity]]),"",IF(_xlfn.XLOOKUP(Term2_Day_2[[#This Row],[Activity]],Types_of_Activity[Type of Activity],Types_of_Activity[Classification])=1,Term2_Day_2[[#This Row],[Elapsed]],0))</f>
        <v/>
      </c>
      <c r="N20" s="106" t="str">
        <f>IF(ISBLANK(Term2_Day_2[[#This Row],[Activity]]),"",IF(_xlfn.XLOOKUP(Term2_Day_2[[#This Row],[Activity]],Types_of_Activity[Type of Activity],Types_of_Activity[Classification])=2,Term2_Day_2[[#This Row],[Elapsed]],0))</f>
        <v/>
      </c>
      <c r="P20" s="136"/>
      <c r="Q20" s="136"/>
      <c r="R20" s="103"/>
      <c r="S20" s="106" t="str">
        <f>IF(OR(ISBLANK(Term2_Day_3[[#This Row],[Start]]),ISBLANK(Term2_Day_3[[#This Row],[End]])),"",(Term2_Day_3[[#This Row],[End]]-Term2_Day_3[[#This Row],[Start]])*1440)</f>
        <v/>
      </c>
      <c r="T20" s="106" t="str">
        <f>IF(ISBLANK(Term2_Day_3[[#This Row],[Activity]]),"",IF(_xlfn.XLOOKUP(Term2_Day_3[[#This Row],[Activity]],Types_of_Activity[Type of Activity],Types_of_Activity[Classification])=1,Term2_Day_3[[#This Row],[Elapsed]],0))</f>
        <v/>
      </c>
      <c r="U20" s="106" t="str">
        <f>IF(ISBLANK(Term2_Day_3[[#This Row],[Activity]]),"",IF(_xlfn.XLOOKUP(Term2_Day_3[[#This Row],[Activity]],Types_of_Activity[Type of Activity],Types_of_Activity[Classification])=2,Term2_Day_3[[#This Row],[Elapsed]],0))</f>
        <v/>
      </c>
      <c r="W20" s="136"/>
      <c r="X20" s="136"/>
      <c r="Y20" s="103"/>
      <c r="Z20" s="106" t="str">
        <f>IF(OR(ISBLANK(Term2_Day_4[[#This Row],[Start]]),ISBLANK(Term2_Day_4[[#This Row],[End]])),"",(Term2_Day_4[[#This Row],[End]]-Term2_Day_4[[#This Row],[Start]])*1440)</f>
        <v/>
      </c>
      <c r="AA20" s="106" t="str">
        <f>IF(ISBLANK(Term2_Day_4[[#This Row],[Activity]]),"",IF(_xlfn.XLOOKUP(Term2_Day_4[[#This Row],[Activity]],Types_of_Activity[Type of Activity],Types_of_Activity[Classification])=1,Term2_Day_4[[#This Row],[Elapsed]],0))</f>
        <v/>
      </c>
      <c r="AB20" s="106" t="str">
        <f>IF(ISBLANK(Term2_Day_4[[#This Row],[Activity]]),"",IF(_xlfn.XLOOKUP(Term2_Day_4[[#This Row],[Activity]],Types_of_Activity[Type of Activity],Types_of_Activity[Classification])=2,Term2_Day_4[[#This Row],[Elapsed]],0))</f>
        <v/>
      </c>
      <c r="AD20" s="136"/>
      <c r="AE20" s="136"/>
      <c r="AF20" s="103"/>
      <c r="AG20" s="106" t="str">
        <f>IF(OR(ISBLANK(Term2_Day_5[[#This Row],[Start]]),ISBLANK(Term2_Day_5[[#This Row],[End]])),"",(Term2_Day_5[[#This Row],[End]]-Term2_Day_5[[#This Row],[Start]])*1440)</f>
        <v/>
      </c>
      <c r="AH20" s="106" t="str">
        <f>IF(ISBLANK(Term2_Day_5[[#This Row],[Activity]]),"",IF(_xlfn.XLOOKUP(Term2_Day_5[[#This Row],[Activity]],Types_of_Activity[Type of Activity],Types_of_Activity[Classification])=1,Term2_Day_5[[#This Row],[Elapsed]],0))</f>
        <v/>
      </c>
      <c r="AI20" s="106" t="str">
        <f>IF(ISBLANK(Term2_Day_5[[#This Row],[Activity]]),"",IF(_xlfn.XLOOKUP(Term2_Day_5[[#This Row],[Activity]],Types_of_Activity[Type of Activity],Types_of_Activity[Classification])=2,Term2_Day_5[[#This Row],[Elapsed]],0))</f>
        <v/>
      </c>
      <c r="AJ20" s="107"/>
      <c r="AK20" s="136"/>
      <c r="AL20" s="136"/>
      <c r="AM20" s="103"/>
      <c r="AN20" s="106" t="str">
        <f>IF(OR(ISBLANK(Term2_Day_6[[#This Row],[Start]]),ISBLANK(Term2_Day_6[[#This Row],[End]])),"",(Term2_Day_6[[#This Row],[End]]-Term2_Day_6[[#This Row],[Start]])*1440)</f>
        <v/>
      </c>
      <c r="AO20" s="106" t="str">
        <f>IF(ISBLANK(Term2_Day_6[[#This Row],[Activity]]),"",IF(_xlfn.XLOOKUP(Term2_Day_6[[#This Row],[Activity]],Types_of_Activity[Type of Activity],Types_of_Activity[Classification])=1,Term2_Day_6[[#This Row],[Elapsed]],0))</f>
        <v/>
      </c>
      <c r="AP20" s="106" t="str">
        <f>IF(ISBLANK(Term2_Day_6[[#This Row],[Activity]]),"",IF(_xlfn.XLOOKUP(Term2_Day_6[[#This Row],[Activity]],Types_of_Activity[Type of Activity],Types_of_Activity[Classification])=2,Term2_Day_6[[#This Row],[Elapsed]],0))</f>
        <v/>
      </c>
      <c r="AQ20" s="107"/>
      <c r="AR20" s="136"/>
      <c r="AS20" s="136"/>
      <c r="AT20" s="103"/>
      <c r="AU20" s="106" t="str">
        <f>IF(OR(ISBLANK(Term2_Day_7[[#This Row],[Start]]),ISBLANK(Term2_Day_7[[#This Row],[End]])),"",(Term2_Day_7[[#This Row],[End]]-Term2_Day_7[[#This Row],[Start]])*1440)</f>
        <v/>
      </c>
      <c r="AV20" s="106" t="str">
        <f>IF(ISBLANK(Term2_Day_7[[#This Row],[Activity]]),"",IF(_xlfn.XLOOKUP(Term2_Day_7[[#This Row],[Activity]],Types_of_Activity[Type of Activity],Types_of_Activity[Classification])=1,Term2_Day_7[[#This Row],[Elapsed]],0))</f>
        <v/>
      </c>
      <c r="AW20" s="106" t="str">
        <f>IF(ISBLANK(Term2_Day_7[[#This Row],[Activity]]),"",IF(_xlfn.XLOOKUP(Term2_Day_7[[#This Row],[Activity]],Types_of_Activity[Type of Activity],Types_of_Activity[Classification])=2,Term2_Day_7[[#This Row],[Elapsed]],0))</f>
        <v/>
      </c>
      <c r="AX20" s="107"/>
      <c r="AY20" s="136"/>
      <c r="AZ20" s="136"/>
      <c r="BA20" s="103"/>
      <c r="BB20" s="106" t="str">
        <f>IF(OR(ISBLANK(Term2_Day_8[[#This Row],[Start]]),ISBLANK(Term2_Day_8[[#This Row],[End]])),"",(Term2_Day_8[[#This Row],[End]]-Term2_Day_8[[#This Row],[Start]])*1440)</f>
        <v/>
      </c>
      <c r="BC20" s="106" t="str">
        <f>IF(ISBLANK(Term2_Day_8[[#This Row],[Activity]]),"",IF(_xlfn.XLOOKUP(Term2_Day_8[[#This Row],[Activity]],Types_of_Activity[Type of Activity],Types_of_Activity[Classification])=1,Term2_Day_8[[#This Row],[Elapsed]],0))</f>
        <v/>
      </c>
      <c r="BD20" s="106" t="str">
        <f>IF(ISBLANK(Term2_Day_8[[#This Row],[Activity]]),"",IF(_xlfn.XLOOKUP(Term2_Day_8[[#This Row],[Activity]],Types_of_Activity[Type of Activity],Types_of_Activity[Classification])=2,Term2_Day_8[[#This Row],[Elapsed]],0))</f>
        <v/>
      </c>
      <c r="BE20" s="107"/>
      <c r="BF20" s="136"/>
      <c r="BG20" s="136"/>
      <c r="BH20" s="103"/>
      <c r="BI20" s="106" t="str">
        <f>IF(OR(ISBLANK(Term2_Day_9[[#This Row],[Start]]),ISBLANK(Term2_Day_9[[#This Row],[End]])),"",(Term2_Day_9[[#This Row],[End]]-Term2_Day_9[[#This Row],[Start]])*1440)</f>
        <v/>
      </c>
      <c r="BJ20" s="106" t="str">
        <f>IF(ISBLANK(Term2_Day_9[[#This Row],[Activity]]),"",IF(_xlfn.XLOOKUP(Term2_Day_9[[#This Row],[Activity]],Types_of_Activity[Type of Activity],Types_of_Activity[Classification])=1,Term2_Day_9[[#This Row],[Elapsed]],0))</f>
        <v/>
      </c>
      <c r="BK20" s="106" t="str">
        <f>IF(ISBLANK(Term2_Day_9[[#This Row],[Activity]]),"",IF(_xlfn.XLOOKUP(Term2_Day_9[[#This Row],[Activity]],Types_of_Activity[Type of Activity],Types_of_Activity[Classification])=2,Term2_Day_9[[#This Row],[Elapsed]],0))</f>
        <v/>
      </c>
      <c r="BL20" s="107"/>
      <c r="BM20" s="136"/>
      <c r="BN20" s="136"/>
      <c r="BO20" s="103"/>
      <c r="BP20" s="106" t="str">
        <f>IF(OR(ISBLANK(Term2_Day_10[[#This Row],[Start]]),ISBLANK(Term2_Day_10[[#This Row],[End]])),"",(Term2_Day_10[[#This Row],[End]]-Term2_Day_10[[#This Row],[Start]])*1440)</f>
        <v/>
      </c>
      <c r="BQ20" s="106" t="str">
        <f>IF(ISBLANK(Term2_Day_10[[#This Row],[Activity]]),"",IF(_xlfn.XLOOKUP(Term2_Day_10[[#This Row],[Activity]],Types_of_Activity[Type of Activity],Types_of_Activity[Classification])=1,Term2_Day_10[[#This Row],[Elapsed]],0))</f>
        <v/>
      </c>
      <c r="BR20" s="106" t="str">
        <f>IF(ISBLANK(Term2_Day_10[[#This Row],[Activity]]),"",IF(_xlfn.XLOOKUP(Term2_Day_10[[#This Row],[Activity]],Types_of_Activity[Type of Activity],Types_of_Activity[Classification])=2,Term2_Day_10[[#This Row],[Elapsed]],0))</f>
        <v/>
      </c>
      <c r="BS20" s="107"/>
    </row>
    <row r="21" spans="2:71" x14ac:dyDescent="0.3">
      <c r="B21" s="136"/>
      <c r="C21" s="136"/>
      <c r="D21" s="103"/>
      <c r="E21" s="106" t="str">
        <f>IF(OR(ISBLANK(Term2_Day_1[[#This Row],[Start]]),ISBLANK(Term2_Day_1[[#This Row],[End]])),"",(Term2_Day_1[[#This Row],[End]]-Term2_Day_1[[#This Row],[Start]])*1440)</f>
        <v/>
      </c>
      <c r="F21" s="106" t="str">
        <f>IF(ISBLANK(Term2_Day_1[[#This Row],[Activity]]),"",IF(_xlfn.XLOOKUP(Term2_Day_1[[#This Row],[Activity]],Types_of_Activity[Type of Activity],Types_of_Activity[Classification])=1,Term2_Day_1[[#This Row],[Elapsed]],0))</f>
        <v/>
      </c>
      <c r="G21" s="106" t="str">
        <f>IF(ISBLANK(Term2_Day_1[[#This Row],[Activity]]),"",IF(_xlfn.XLOOKUP(Term2_Day_1[[#This Row],[Activity]],Types_of_Activity[Type of Activity],Types_of_Activity[Classification])=2,Term2_Day_1[[#This Row],[Elapsed]],0))</f>
        <v/>
      </c>
      <c r="I21" s="136"/>
      <c r="J21" s="136"/>
      <c r="K21" s="103"/>
      <c r="L21" s="106" t="str">
        <f>IF(OR(ISBLANK(Term2_Day_2[[#This Row],[Start]]),ISBLANK(Term2_Day_2[[#This Row],[End]])),"",(Term2_Day_2[[#This Row],[End]]-Term2_Day_2[[#This Row],[Start]])*1440)</f>
        <v/>
      </c>
      <c r="M21" s="106" t="str">
        <f>IF(ISBLANK(Term2_Day_2[[#This Row],[Activity]]),"",IF(_xlfn.XLOOKUP(Term2_Day_2[[#This Row],[Activity]],Types_of_Activity[Type of Activity],Types_of_Activity[Classification])=1,Term2_Day_2[[#This Row],[Elapsed]],0))</f>
        <v/>
      </c>
      <c r="N21" s="106" t="str">
        <f>IF(ISBLANK(Term2_Day_2[[#This Row],[Activity]]),"",IF(_xlfn.XLOOKUP(Term2_Day_2[[#This Row],[Activity]],Types_of_Activity[Type of Activity],Types_of_Activity[Classification])=2,Term2_Day_2[[#This Row],[Elapsed]],0))</f>
        <v/>
      </c>
      <c r="P21" s="136"/>
      <c r="Q21" s="136"/>
      <c r="R21" s="103"/>
      <c r="S21" s="106" t="str">
        <f>IF(OR(ISBLANK(Term2_Day_3[[#This Row],[Start]]),ISBLANK(Term2_Day_3[[#This Row],[End]])),"",(Term2_Day_3[[#This Row],[End]]-Term2_Day_3[[#This Row],[Start]])*1440)</f>
        <v/>
      </c>
      <c r="T21" s="106" t="str">
        <f>IF(ISBLANK(Term2_Day_3[[#This Row],[Activity]]),"",IF(_xlfn.XLOOKUP(Term2_Day_3[[#This Row],[Activity]],Types_of_Activity[Type of Activity],Types_of_Activity[Classification])=1,Term2_Day_3[[#This Row],[Elapsed]],0))</f>
        <v/>
      </c>
      <c r="U21" s="106" t="str">
        <f>IF(ISBLANK(Term2_Day_3[[#This Row],[Activity]]),"",IF(_xlfn.XLOOKUP(Term2_Day_3[[#This Row],[Activity]],Types_of_Activity[Type of Activity],Types_of_Activity[Classification])=2,Term2_Day_3[[#This Row],[Elapsed]],0))</f>
        <v/>
      </c>
      <c r="W21" s="136"/>
      <c r="X21" s="136"/>
      <c r="Y21" s="103"/>
      <c r="Z21" s="106" t="str">
        <f>IF(OR(ISBLANK(Term2_Day_4[[#This Row],[Start]]),ISBLANK(Term2_Day_4[[#This Row],[End]])),"",(Term2_Day_4[[#This Row],[End]]-Term2_Day_4[[#This Row],[Start]])*1440)</f>
        <v/>
      </c>
      <c r="AA21" s="106" t="str">
        <f>IF(ISBLANK(Term2_Day_4[[#This Row],[Activity]]),"",IF(_xlfn.XLOOKUP(Term2_Day_4[[#This Row],[Activity]],Types_of_Activity[Type of Activity],Types_of_Activity[Classification])=1,Term2_Day_4[[#This Row],[Elapsed]],0))</f>
        <v/>
      </c>
      <c r="AB21" s="106" t="str">
        <f>IF(ISBLANK(Term2_Day_4[[#This Row],[Activity]]),"",IF(_xlfn.XLOOKUP(Term2_Day_4[[#This Row],[Activity]],Types_of_Activity[Type of Activity],Types_of_Activity[Classification])=2,Term2_Day_4[[#This Row],[Elapsed]],0))</f>
        <v/>
      </c>
      <c r="AD21" s="136"/>
      <c r="AE21" s="136"/>
      <c r="AF21" s="103"/>
      <c r="AG21" s="106" t="str">
        <f>IF(OR(ISBLANK(Term2_Day_5[[#This Row],[Start]]),ISBLANK(Term2_Day_5[[#This Row],[End]])),"",(Term2_Day_5[[#This Row],[End]]-Term2_Day_5[[#This Row],[Start]])*1440)</f>
        <v/>
      </c>
      <c r="AH21" s="106" t="str">
        <f>IF(ISBLANK(Term2_Day_5[[#This Row],[Activity]]),"",IF(_xlfn.XLOOKUP(Term2_Day_5[[#This Row],[Activity]],Types_of_Activity[Type of Activity],Types_of_Activity[Classification])=1,Term2_Day_5[[#This Row],[Elapsed]],0))</f>
        <v/>
      </c>
      <c r="AI21" s="106" t="str">
        <f>IF(ISBLANK(Term2_Day_5[[#This Row],[Activity]]),"",IF(_xlfn.XLOOKUP(Term2_Day_5[[#This Row],[Activity]],Types_of_Activity[Type of Activity],Types_of_Activity[Classification])=2,Term2_Day_5[[#This Row],[Elapsed]],0))</f>
        <v/>
      </c>
      <c r="AJ21" s="107"/>
      <c r="AK21" s="136"/>
      <c r="AL21" s="136"/>
      <c r="AM21" s="103"/>
      <c r="AN21" s="106" t="str">
        <f>IF(OR(ISBLANK(Term2_Day_6[[#This Row],[Start]]),ISBLANK(Term2_Day_6[[#This Row],[End]])),"",(Term2_Day_6[[#This Row],[End]]-Term2_Day_6[[#This Row],[Start]])*1440)</f>
        <v/>
      </c>
      <c r="AO21" s="106" t="str">
        <f>IF(ISBLANK(Term2_Day_6[[#This Row],[Activity]]),"",IF(_xlfn.XLOOKUP(Term2_Day_6[[#This Row],[Activity]],Types_of_Activity[Type of Activity],Types_of_Activity[Classification])=1,Term2_Day_6[[#This Row],[Elapsed]],0))</f>
        <v/>
      </c>
      <c r="AP21" s="106" t="str">
        <f>IF(ISBLANK(Term2_Day_6[[#This Row],[Activity]]),"",IF(_xlfn.XLOOKUP(Term2_Day_6[[#This Row],[Activity]],Types_of_Activity[Type of Activity],Types_of_Activity[Classification])=2,Term2_Day_6[[#This Row],[Elapsed]],0))</f>
        <v/>
      </c>
      <c r="AQ21" s="107"/>
      <c r="AR21" s="136"/>
      <c r="AS21" s="136"/>
      <c r="AT21" s="103"/>
      <c r="AU21" s="106" t="str">
        <f>IF(OR(ISBLANK(Term2_Day_7[[#This Row],[Start]]),ISBLANK(Term2_Day_7[[#This Row],[End]])),"",(Term2_Day_7[[#This Row],[End]]-Term2_Day_7[[#This Row],[Start]])*1440)</f>
        <v/>
      </c>
      <c r="AV21" s="106" t="str">
        <f>IF(ISBLANK(Term2_Day_7[[#This Row],[Activity]]),"",IF(_xlfn.XLOOKUP(Term2_Day_7[[#This Row],[Activity]],Types_of_Activity[Type of Activity],Types_of_Activity[Classification])=1,Term2_Day_7[[#This Row],[Elapsed]],0))</f>
        <v/>
      </c>
      <c r="AW21" s="106" t="str">
        <f>IF(ISBLANK(Term2_Day_7[[#This Row],[Activity]]),"",IF(_xlfn.XLOOKUP(Term2_Day_7[[#This Row],[Activity]],Types_of_Activity[Type of Activity],Types_of_Activity[Classification])=2,Term2_Day_7[[#This Row],[Elapsed]],0))</f>
        <v/>
      </c>
      <c r="AX21" s="107"/>
      <c r="AY21" s="136"/>
      <c r="AZ21" s="136"/>
      <c r="BA21" s="103"/>
      <c r="BB21" s="106" t="str">
        <f>IF(OR(ISBLANK(Term2_Day_8[[#This Row],[Start]]),ISBLANK(Term2_Day_8[[#This Row],[End]])),"",(Term2_Day_8[[#This Row],[End]]-Term2_Day_8[[#This Row],[Start]])*1440)</f>
        <v/>
      </c>
      <c r="BC21" s="106" t="str">
        <f>IF(ISBLANK(Term2_Day_8[[#This Row],[Activity]]),"",IF(_xlfn.XLOOKUP(Term2_Day_8[[#This Row],[Activity]],Types_of_Activity[Type of Activity],Types_of_Activity[Classification])=1,Term2_Day_8[[#This Row],[Elapsed]],0))</f>
        <v/>
      </c>
      <c r="BD21" s="106" t="str">
        <f>IF(ISBLANK(Term2_Day_8[[#This Row],[Activity]]),"",IF(_xlfn.XLOOKUP(Term2_Day_8[[#This Row],[Activity]],Types_of_Activity[Type of Activity],Types_of_Activity[Classification])=2,Term2_Day_8[[#This Row],[Elapsed]],0))</f>
        <v/>
      </c>
      <c r="BE21" s="107"/>
      <c r="BF21" s="136"/>
      <c r="BG21" s="136"/>
      <c r="BH21" s="103"/>
      <c r="BI21" s="106" t="str">
        <f>IF(OR(ISBLANK(Term2_Day_9[[#This Row],[Start]]),ISBLANK(Term2_Day_9[[#This Row],[End]])),"",(Term2_Day_9[[#This Row],[End]]-Term2_Day_9[[#This Row],[Start]])*1440)</f>
        <v/>
      </c>
      <c r="BJ21" s="106" t="str">
        <f>IF(ISBLANK(Term2_Day_9[[#This Row],[Activity]]),"",IF(_xlfn.XLOOKUP(Term2_Day_9[[#This Row],[Activity]],Types_of_Activity[Type of Activity],Types_of_Activity[Classification])=1,Term2_Day_9[[#This Row],[Elapsed]],0))</f>
        <v/>
      </c>
      <c r="BK21" s="106" t="str">
        <f>IF(ISBLANK(Term2_Day_9[[#This Row],[Activity]]),"",IF(_xlfn.XLOOKUP(Term2_Day_9[[#This Row],[Activity]],Types_of_Activity[Type of Activity],Types_of_Activity[Classification])=2,Term2_Day_9[[#This Row],[Elapsed]],0))</f>
        <v/>
      </c>
      <c r="BL21" s="107"/>
      <c r="BM21" s="136"/>
      <c r="BN21" s="136"/>
      <c r="BO21" s="103"/>
      <c r="BP21" s="106" t="str">
        <f>IF(OR(ISBLANK(Term2_Day_10[[#This Row],[Start]]),ISBLANK(Term2_Day_10[[#This Row],[End]])),"",(Term2_Day_10[[#This Row],[End]]-Term2_Day_10[[#This Row],[Start]])*1440)</f>
        <v/>
      </c>
      <c r="BQ21" s="106" t="str">
        <f>IF(ISBLANK(Term2_Day_10[[#This Row],[Activity]]),"",IF(_xlfn.XLOOKUP(Term2_Day_10[[#This Row],[Activity]],Types_of_Activity[Type of Activity],Types_of_Activity[Classification])=1,Term2_Day_10[[#This Row],[Elapsed]],0))</f>
        <v/>
      </c>
      <c r="BR21" s="106" t="str">
        <f>IF(ISBLANK(Term2_Day_10[[#This Row],[Activity]]),"",IF(_xlfn.XLOOKUP(Term2_Day_10[[#This Row],[Activity]],Types_of_Activity[Type of Activity],Types_of_Activity[Classification])=2,Term2_Day_10[[#This Row],[Elapsed]],0))</f>
        <v/>
      </c>
      <c r="BS21" s="107"/>
    </row>
    <row r="22" spans="2:71" x14ac:dyDescent="0.3">
      <c r="B22" s="136"/>
      <c r="C22" s="136"/>
      <c r="D22" s="103"/>
      <c r="E22" s="106" t="str">
        <f>IF(OR(ISBLANK(Term2_Day_1[[#This Row],[Start]]),ISBLANK(Term2_Day_1[[#This Row],[End]])),"",(Term2_Day_1[[#This Row],[End]]-Term2_Day_1[[#This Row],[Start]])*1440)</f>
        <v/>
      </c>
      <c r="F22" s="106" t="str">
        <f>IF(ISBLANK(Term2_Day_1[[#This Row],[Activity]]),"",IF(_xlfn.XLOOKUP(Term2_Day_1[[#This Row],[Activity]],Types_of_Activity[Type of Activity],Types_of_Activity[Classification])=1,Term2_Day_1[[#This Row],[Elapsed]],0))</f>
        <v/>
      </c>
      <c r="G22" s="106" t="str">
        <f>IF(ISBLANK(Term2_Day_1[[#This Row],[Activity]]),"",IF(_xlfn.XLOOKUP(Term2_Day_1[[#This Row],[Activity]],Types_of_Activity[Type of Activity],Types_of_Activity[Classification])=2,Term2_Day_1[[#This Row],[Elapsed]],0))</f>
        <v/>
      </c>
      <c r="I22" s="136"/>
      <c r="J22" s="136"/>
      <c r="K22" s="103"/>
      <c r="L22" s="106" t="str">
        <f>IF(OR(ISBLANK(Term2_Day_2[[#This Row],[Start]]),ISBLANK(Term2_Day_2[[#This Row],[End]])),"",(Term2_Day_2[[#This Row],[End]]-Term2_Day_2[[#This Row],[Start]])*1440)</f>
        <v/>
      </c>
      <c r="M22" s="106" t="str">
        <f>IF(ISBLANK(Term2_Day_2[[#This Row],[Activity]]),"",IF(_xlfn.XLOOKUP(Term2_Day_2[[#This Row],[Activity]],Types_of_Activity[Type of Activity],Types_of_Activity[Classification])=1,Term2_Day_2[[#This Row],[Elapsed]],0))</f>
        <v/>
      </c>
      <c r="N22" s="106" t="str">
        <f>IF(ISBLANK(Term2_Day_2[[#This Row],[Activity]]),"",IF(_xlfn.XLOOKUP(Term2_Day_2[[#This Row],[Activity]],Types_of_Activity[Type of Activity],Types_of_Activity[Classification])=2,Term2_Day_2[[#This Row],[Elapsed]],0))</f>
        <v/>
      </c>
      <c r="P22" s="136"/>
      <c r="Q22" s="136"/>
      <c r="R22" s="103"/>
      <c r="S22" s="106" t="str">
        <f>IF(OR(ISBLANK(Term2_Day_3[[#This Row],[Start]]),ISBLANK(Term2_Day_3[[#This Row],[End]])),"",(Term2_Day_3[[#This Row],[End]]-Term2_Day_3[[#This Row],[Start]])*1440)</f>
        <v/>
      </c>
      <c r="T22" s="106" t="str">
        <f>IF(ISBLANK(Term2_Day_3[[#This Row],[Activity]]),"",IF(_xlfn.XLOOKUP(Term2_Day_3[[#This Row],[Activity]],Types_of_Activity[Type of Activity],Types_of_Activity[Classification])=1,Term2_Day_3[[#This Row],[Elapsed]],0))</f>
        <v/>
      </c>
      <c r="U22" s="106" t="str">
        <f>IF(ISBLANK(Term2_Day_3[[#This Row],[Activity]]),"",IF(_xlfn.XLOOKUP(Term2_Day_3[[#This Row],[Activity]],Types_of_Activity[Type of Activity],Types_of_Activity[Classification])=2,Term2_Day_3[[#This Row],[Elapsed]],0))</f>
        <v/>
      </c>
      <c r="W22" s="136"/>
      <c r="X22" s="136"/>
      <c r="Y22" s="103"/>
      <c r="Z22" s="106" t="str">
        <f>IF(OR(ISBLANK(Term2_Day_4[[#This Row],[Start]]),ISBLANK(Term2_Day_4[[#This Row],[End]])),"",(Term2_Day_4[[#This Row],[End]]-Term2_Day_4[[#This Row],[Start]])*1440)</f>
        <v/>
      </c>
      <c r="AA22" s="106" t="str">
        <f>IF(ISBLANK(Term2_Day_4[[#This Row],[Activity]]),"",IF(_xlfn.XLOOKUP(Term2_Day_4[[#This Row],[Activity]],Types_of_Activity[Type of Activity],Types_of_Activity[Classification])=1,Term2_Day_4[[#This Row],[Elapsed]],0))</f>
        <v/>
      </c>
      <c r="AB22" s="106" t="str">
        <f>IF(ISBLANK(Term2_Day_4[[#This Row],[Activity]]),"",IF(_xlfn.XLOOKUP(Term2_Day_4[[#This Row],[Activity]],Types_of_Activity[Type of Activity],Types_of_Activity[Classification])=2,Term2_Day_4[[#This Row],[Elapsed]],0))</f>
        <v/>
      </c>
      <c r="AD22" s="136"/>
      <c r="AE22" s="136"/>
      <c r="AF22" s="103"/>
      <c r="AG22" s="106" t="str">
        <f>IF(OR(ISBLANK(Term2_Day_5[[#This Row],[Start]]),ISBLANK(Term2_Day_5[[#This Row],[End]])),"",(Term2_Day_5[[#This Row],[End]]-Term2_Day_5[[#This Row],[Start]])*1440)</f>
        <v/>
      </c>
      <c r="AH22" s="106" t="str">
        <f>IF(ISBLANK(Term2_Day_5[[#This Row],[Activity]]),"",IF(_xlfn.XLOOKUP(Term2_Day_5[[#This Row],[Activity]],Types_of_Activity[Type of Activity],Types_of_Activity[Classification])=1,Term2_Day_5[[#This Row],[Elapsed]],0))</f>
        <v/>
      </c>
      <c r="AI22" s="106" t="str">
        <f>IF(ISBLANK(Term2_Day_5[[#This Row],[Activity]]),"",IF(_xlfn.XLOOKUP(Term2_Day_5[[#This Row],[Activity]],Types_of_Activity[Type of Activity],Types_of_Activity[Classification])=2,Term2_Day_5[[#This Row],[Elapsed]],0))</f>
        <v/>
      </c>
      <c r="AJ22" s="107"/>
      <c r="AK22" s="136"/>
      <c r="AL22" s="136"/>
      <c r="AM22" s="103"/>
      <c r="AN22" s="106" t="str">
        <f>IF(OR(ISBLANK(Term2_Day_6[[#This Row],[Start]]),ISBLANK(Term2_Day_6[[#This Row],[End]])),"",(Term2_Day_6[[#This Row],[End]]-Term2_Day_6[[#This Row],[Start]])*1440)</f>
        <v/>
      </c>
      <c r="AO22" s="106" t="str">
        <f>IF(ISBLANK(Term2_Day_6[[#This Row],[Activity]]),"",IF(_xlfn.XLOOKUP(Term2_Day_6[[#This Row],[Activity]],Types_of_Activity[Type of Activity],Types_of_Activity[Classification])=1,Term2_Day_6[[#This Row],[Elapsed]],0))</f>
        <v/>
      </c>
      <c r="AP22" s="106" t="str">
        <f>IF(ISBLANK(Term2_Day_6[[#This Row],[Activity]]),"",IF(_xlfn.XLOOKUP(Term2_Day_6[[#This Row],[Activity]],Types_of_Activity[Type of Activity],Types_of_Activity[Classification])=2,Term2_Day_6[[#This Row],[Elapsed]],0))</f>
        <v/>
      </c>
      <c r="AQ22" s="107"/>
      <c r="AR22" s="136"/>
      <c r="AS22" s="136"/>
      <c r="AT22" s="103"/>
      <c r="AU22" s="106" t="str">
        <f>IF(OR(ISBLANK(Term2_Day_7[[#This Row],[Start]]),ISBLANK(Term2_Day_7[[#This Row],[End]])),"",(Term2_Day_7[[#This Row],[End]]-Term2_Day_7[[#This Row],[Start]])*1440)</f>
        <v/>
      </c>
      <c r="AV22" s="106" t="str">
        <f>IF(ISBLANK(Term2_Day_7[[#This Row],[Activity]]),"",IF(_xlfn.XLOOKUP(Term2_Day_7[[#This Row],[Activity]],Types_of_Activity[Type of Activity],Types_of_Activity[Classification])=1,Term2_Day_7[[#This Row],[Elapsed]],0))</f>
        <v/>
      </c>
      <c r="AW22" s="106" t="str">
        <f>IF(ISBLANK(Term2_Day_7[[#This Row],[Activity]]),"",IF(_xlfn.XLOOKUP(Term2_Day_7[[#This Row],[Activity]],Types_of_Activity[Type of Activity],Types_of_Activity[Classification])=2,Term2_Day_7[[#This Row],[Elapsed]],0))</f>
        <v/>
      </c>
      <c r="AX22" s="107"/>
      <c r="AY22" s="136"/>
      <c r="AZ22" s="136"/>
      <c r="BA22" s="103"/>
      <c r="BB22" s="106" t="str">
        <f>IF(OR(ISBLANK(Term2_Day_8[[#This Row],[Start]]),ISBLANK(Term2_Day_8[[#This Row],[End]])),"",(Term2_Day_8[[#This Row],[End]]-Term2_Day_8[[#This Row],[Start]])*1440)</f>
        <v/>
      </c>
      <c r="BC22" s="106" t="str">
        <f>IF(ISBLANK(Term2_Day_8[[#This Row],[Activity]]),"",IF(_xlfn.XLOOKUP(Term2_Day_8[[#This Row],[Activity]],Types_of_Activity[Type of Activity],Types_of_Activity[Classification])=1,Term2_Day_8[[#This Row],[Elapsed]],0))</f>
        <v/>
      </c>
      <c r="BD22" s="106" t="str">
        <f>IF(ISBLANK(Term2_Day_8[[#This Row],[Activity]]),"",IF(_xlfn.XLOOKUP(Term2_Day_8[[#This Row],[Activity]],Types_of_Activity[Type of Activity],Types_of_Activity[Classification])=2,Term2_Day_8[[#This Row],[Elapsed]],0))</f>
        <v/>
      </c>
      <c r="BE22" s="107"/>
      <c r="BF22" s="136"/>
      <c r="BG22" s="136"/>
      <c r="BH22" s="103"/>
      <c r="BI22" s="106" t="str">
        <f>IF(OR(ISBLANK(Term2_Day_9[[#This Row],[Start]]),ISBLANK(Term2_Day_9[[#This Row],[End]])),"",(Term2_Day_9[[#This Row],[End]]-Term2_Day_9[[#This Row],[Start]])*1440)</f>
        <v/>
      </c>
      <c r="BJ22" s="106" t="str">
        <f>IF(ISBLANK(Term2_Day_9[[#This Row],[Activity]]),"",IF(_xlfn.XLOOKUP(Term2_Day_9[[#This Row],[Activity]],Types_of_Activity[Type of Activity],Types_of_Activity[Classification])=1,Term2_Day_9[[#This Row],[Elapsed]],0))</f>
        <v/>
      </c>
      <c r="BK22" s="106" t="str">
        <f>IF(ISBLANK(Term2_Day_9[[#This Row],[Activity]]),"",IF(_xlfn.XLOOKUP(Term2_Day_9[[#This Row],[Activity]],Types_of_Activity[Type of Activity],Types_of_Activity[Classification])=2,Term2_Day_9[[#This Row],[Elapsed]],0))</f>
        <v/>
      </c>
      <c r="BL22" s="107"/>
      <c r="BM22" s="136"/>
      <c r="BN22" s="136"/>
      <c r="BO22" s="103"/>
      <c r="BP22" s="106" t="str">
        <f>IF(OR(ISBLANK(Term2_Day_10[[#This Row],[Start]]),ISBLANK(Term2_Day_10[[#This Row],[End]])),"",(Term2_Day_10[[#This Row],[End]]-Term2_Day_10[[#This Row],[Start]])*1440)</f>
        <v/>
      </c>
      <c r="BQ22" s="106" t="str">
        <f>IF(ISBLANK(Term2_Day_10[[#This Row],[Activity]]),"",IF(_xlfn.XLOOKUP(Term2_Day_10[[#This Row],[Activity]],Types_of_Activity[Type of Activity],Types_of_Activity[Classification])=1,Term2_Day_10[[#This Row],[Elapsed]],0))</f>
        <v/>
      </c>
      <c r="BR22" s="106" t="str">
        <f>IF(ISBLANK(Term2_Day_10[[#This Row],[Activity]]),"",IF(_xlfn.XLOOKUP(Term2_Day_10[[#This Row],[Activity]],Types_of_Activity[Type of Activity],Types_of_Activity[Classification])=2,Term2_Day_10[[#This Row],[Elapsed]],0))</f>
        <v/>
      </c>
      <c r="BS22" s="107"/>
    </row>
    <row r="23" spans="2:71" x14ac:dyDescent="0.3">
      <c r="B23" s="136"/>
      <c r="C23" s="136"/>
      <c r="D23" s="103"/>
      <c r="E23" s="106" t="str">
        <f>IF(OR(ISBLANK(Term2_Day_1[[#This Row],[Start]]),ISBLANK(Term2_Day_1[[#This Row],[End]])),"",(Term2_Day_1[[#This Row],[End]]-Term2_Day_1[[#This Row],[Start]])*1440)</f>
        <v/>
      </c>
      <c r="F23" s="106" t="str">
        <f>IF(ISBLANK(Term2_Day_1[[#This Row],[Activity]]),"",IF(_xlfn.XLOOKUP(Term2_Day_1[[#This Row],[Activity]],Types_of_Activity[Type of Activity],Types_of_Activity[Classification])=1,Term2_Day_1[[#This Row],[Elapsed]],0))</f>
        <v/>
      </c>
      <c r="G23" s="106" t="str">
        <f>IF(ISBLANK(Term2_Day_1[[#This Row],[Activity]]),"",IF(_xlfn.XLOOKUP(Term2_Day_1[[#This Row],[Activity]],Types_of_Activity[Type of Activity],Types_of_Activity[Classification])=2,Term2_Day_1[[#This Row],[Elapsed]],0))</f>
        <v/>
      </c>
      <c r="I23" s="136"/>
      <c r="J23" s="136"/>
      <c r="K23" s="103"/>
      <c r="L23" s="106" t="str">
        <f>IF(OR(ISBLANK(Term2_Day_2[[#This Row],[Start]]),ISBLANK(Term2_Day_2[[#This Row],[End]])),"",(Term2_Day_2[[#This Row],[End]]-Term2_Day_2[[#This Row],[Start]])*1440)</f>
        <v/>
      </c>
      <c r="M23" s="106" t="str">
        <f>IF(ISBLANK(Term2_Day_2[[#This Row],[Activity]]),"",IF(_xlfn.XLOOKUP(Term2_Day_2[[#This Row],[Activity]],Types_of_Activity[Type of Activity],Types_of_Activity[Classification])=1,Term2_Day_2[[#This Row],[Elapsed]],0))</f>
        <v/>
      </c>
      <c r="N23" s="106" t="str">
        <f>IF(ISBLANK(Term2_Day_2[[#This Row],[Activity]]),"",IF(_xlfn.XLOOKUP(Term2_Day_2[[#This Row],[Activity]],Types_of_Activity[Type of Activity],Types_of_Activity[Classification])=2,Term2_Day_2[[#This Row],[Elapsed]],0))</f>
        <v/>
      </c>
      <c r="P23" s="136"/>
      <c r="Q23" s="136"/>
      <c r="R23" s="103"/>
      <c r="S23" s="106" t="str">
        <f>IF(OR(ISBLANK(Term2_Day_3[[#This Row],[Start]]),ISBLANK(Term2_Day_3[[#This Row],[End]])),"",(Term2_Day_3[[#This Row],[End]]-Term2_Day_3[[#This Row],[Start]])*1440)</f>
        <v/>
      </c>
      <c r="T23" s="106" t="str">
        <f>IF(ISBLANK(Term2_Day_3[[#This Row],[Activity]]),"",IF(_xlfn.XLOOKUP(Term2_Day_3[[#This Row],[Activity]],Types_of_Activity[Type of Activity],Types_of_Activity[Classification])=1,Term2_Day_3[[#This Row],[Elapsed]],0))</f>
        <v/>
      </c>
      <c r="U23" s="106" t="str">
        <f>IF(ISBLANK(Term2_Day_3[[#This Row],[Activity]]),"",IF(_xlfn.XLOOKUP(Term2_Day_3[[#This Row],[Activity]],Types_of_Activity[Type of Activity],Types_of_Activity[Classification])=2,Term2_Day_3[[#This Row],[Elapsed]],0))</f>
        <v/>
      </c>
      <c r="W23" s="136"/>
      <c r="X23" s="136"/>
      <c r="Y23" s="103"/>
      <c r="Z23" s="106" t="str">
        <f>IF(OR(ISBLANK(Term2_Day_4[[#This Row],[Start]]),ISBLANK(Term2_Day_4[[#This Row],[End]])),"",(Term2_Day_4[[#This Row],[End]]-Term2_Day_4[[#This Row],[Start]])*1440)</f>
        <v/>
      </c>
      <c r="AA23" s="106" t="str">
        <f>IF(ISBLANK(Term2_Day_4[[#This Row],[Activity]]),"",IF(_xlfn.XLOOKUP(Term2_Day_4[[#This Row],[Activity]],Types_of_Activity[Type of Activity],Types_of_Activity[Classification])=1,Term2_Day_4[[#This Row],[Elapsed]],0))</f>
        <v/>
      </c>
      <c r="AB23" s="106" t="str">
        <f>IF(ISBLANK(Term2_Day_4[[#This Row],[Activity]]),"",IF(_xlfn.XLOOKUP(Term2_Day_4[[#This Row],[Activity]],Types_of_Activity[Type of Activity],Types_of_Activity[Classification])=2,Term2_Day_4[[#This Row],[Elapsed]],0))</f>
        <v/>
      </c>
      <c r="AD23" s="136"/>
      <c r="AE23" s="136"/>
      <c r="AF23" s="103"/>
      <c r="AG23" s="106" t="str">
        <f>IF(OR(ISBLANK(Term2_Day_5[[#This Row],[Start]]),ISBLANK(Term2_Day_5[[#This Row],[End]])),"",(Term2_Day_5[[#This Row],[End]]-Term2_Day_5[[#This Row],[Start]])*1440)</f>
        <v/>
      </c>
      <c r="AH23" s="106" t="str">
        <f>IF(ISBLANK(Term2_Day_5[[#This Row],[Activity]]),"",IF(_xlfn.XLOOKUP(Term2_Day_5[[#This Row],[Activity]],Types_of_Activity[Type of Activity],Types_of_Activity[Classification])=1,Term2_Day_5[[#This Row],[Elapsed]],0))</f>
        <v/>
      </c>
      <c r="AI23" s="106" t="str">
        <f>IF(ISBLANK(Term2_Day_5[[#This Row],[Activity]]),"",IF(_xlfn.XLOOKUP(Term2_Day_5[[#This Row],[Activity]],Types_of_Activity[Type of Activity],Types_of_Activity[Classification])=2,Term2_Day_5[[#This Row],[Elapsed]],0))</f>
        <v/>
      </c>
      <c r="AJ23" s="107"/>
      <c r="AK23" s="136"/>
      <c r="AL23" s="136"/>
      <c r="AM23" s="103"/>
      <c r="AN23" s="106" t="str">
        <f>IF(OR(ISBLANK(Term2_Day_6[[#This Row],[Start]]),ISBLANK(Term2_Day_6[[#This Row],[End]])),"",(Term2_Day_6[[#This Row],[End]]-Term2_Day_6[[#This Row],[Start]])*1440)</f>
        <v/>
      </c>
      <c r="AO23" s="106" t="str">
        <f>IF(ISBLANK(Term2_Day_6[[#This Row],[Activity]]),"",IF(_xlfn.XLOOKUP(Term2_Day_6[[#This Row],[Activity]],Types_of_Activity[Type of Activity],Types_of_Activity[Classification])=1,Term2_Day_6[[#This Row],[Elapsed]],0))</f>
        <v/>
      </c>
      <c r="AP23" s="106" t="str">
        <f>IF(ISBLANK(Term2_Day_6[[#This Row],[Activity]]),"",IF(_xlfn.XLOOKUP(Term2_Day_6[[#This Row],[Activity]],Types_of_Activity[Type of Activity],Types_of_Activity[Classification])=2,Term2_Day_6[[#This Row],[Elapsed]],0))</f>
        <v/>
      </c>
      <c r="AQ23" s="107"/>
      <c r="AR23" s="136"/>
      <c r="AS23" s="136"/>
      <c r="AT23" s="103"/>
      <c r="AU23" s="106" t="str">
        <f>IF(OR(ISBLANK(Term2_Day_7[[#This Row],[Start]]),ISBLANK(Term2_Day_7[[#This Row],[End]])),"",(Term2_Day_7[[#This Row],[End]]-Term2_Day_7[[#This Row],[Start]])*1440)</f>
        <v/>
      </c>
      <c r="AV23" s="106" t="str">
        <f>IF(ISBLANK(Term2_Day_7[[#This Row],[Activity]]),"",IF(_xlfn.XLOOKUP(Term2_Day_7[[#This Row],[Activity]],Types_of_Activity[Type of Activity],Types_of_Activity[Classification])=1,Term2_Day_7[[#This Row],[Elapsed]],0))</f>
        <v/>
      </c>
      <c r="AW23" s="106" t="str">
        <f>IF(ISBLANK(Term2_Day_7[[#This Row],[Activity]]),"",IF(_xlfn.XLOOKUP(Term2_Day_7[[#This Row],[Activity]],Types_of_Activity[Type of Activity],Types_of_Activity[Classification])=2,Term2_Day_7[[#This Row],[Elapsed]],0))</f>
        <v/>
      </c>
      <c r="AX23" s="107"/>
      <c r="AY23" s="136"/>
      <c r="AZ23" s="136"/>
      <c r="BA23" s="103"/>
      <c r="BB23" s="106" t="str">
        <f>IF(OR(ISBLANK(Term2_Day_8[[#This Row],[Start]]),ISBLANK(Term2_Day_8[[#This Row],[End]])),"",(Term2_Day_8[[#This Row],[End]]-Term2_Day_8[[#This Row],[Start]])*1440)</f>
        <v/>
      </c>
      <c r="BC23" s="106" t="str">
        <f>IF(ISBLANK(Term2_Day_8[[#This Row],[Activity]]),"",IF(_xlfn.XLOOKUP(Term2_Day_8[[#This Row],[Activity]],Types_of_Activity[Type of Activity],Types_of_Activity[Classification])=1,Term2_Day_8[[#This Row],[Elapsed]],0))</f>
        <v/>
      </c>
      <c r="BD23" s="106" t="str">
        <f>IF(ISBLANK(Term2_Day_8[[#This Row],[Activity]]),"",IF(_xlfn.XLOOKUP(Term2_Day_8[[#This Row],[Activity]],Types_of_Activity[Type of Activity],Types_of_Activity[Classification])=2,Term2_Day_8[[#This Row],[Elapsed]],0))</f>
        <v/>
      </c>
      <c r="BE23" s="107"/>
      <c r="BF23" s="136"/>
      <c r="BG23" s="136"/>
      <c r="BH23" s="103"/>
      <c r="BI23" s="106" t="str">
        <f>IF(OR(ISBLANK(Term2_Day_9[[#This Row],[Start]]),ISBLANK(Term2_Day_9[[#This Row],[End]])),"",(Term2_Day_9[[#This Row],[End]]-Term2_Day_9[[#This Row],[Start]])*1440)</f>
        <v/>
      </c>
      <c r="BJ23" s="106" t="str">
        <f>IF(ISBLANK(Term2_Day_9[[#This Row],[Activity]]),"",IF(_xlfn.XLOOKUP(Term2_Day_9[[#This Row],[Activity]],Types_of_Activity[Type of Activity],Types_of_Activity[Classification])=1,Term2_Day_9[[#This Row],[Elapsed]],0))</f>
        <v/>
      </c>
      <c r="BK23" s="106" t="str">
        <f>IF(ISBLANK(Term2_Day_9[[#This Row],[Activity]]),"",IF(_xlfn.XLOOKUP(Term2_Day_9[[#This Row],[Activity]],Types_of_Activity[Type of Activity],Types_of_Activity[Classification])=2,Term2_Day_9[[#This Row],[Elapsed]],0))</f>
        <v/>
      </c>
      <c r="BL23" s="107"/>
      <c r="BM23" s="136"/>
      <c r="BN23" s="136"/>
      <c r="BO23" s="103"/>
      <c r="BP23" s="106" t="str">
        <f>IF(OR(ISBLANK(Term2_Day_10[[#This Row],[Start]]),ISBLANK(Term2_Day_10[[#This Row],[End]])),"",(Term2_Day_10[[#This Row],[End]]-Term2_Day_10[[#This Row],[Start]])*1440)</f>
        <v/>
      </c>
      <c r="BQ23" s="106" t="str">
        <f>IF(ISBLANK(Term2_Day_10[[#This Row],[Activity]]),"",IF(_xlfn.XLOOKUP(Term2_Day_10[[#This Row],[Activity]],Types_of_Activity[Type of Activity],Types_of_Activity[Classification])=1,Term2_Day_10[[#This Row],[Elapsed]],0))</f>
        <v/>
      </c>
      <c r="BR23" s="106" t="str">
        <f>IF(ISBLANK(Term2_Day_10[[#This Row],[Activity]]),"",IF(_xlfn.XLOOKUP(Term2_Day_10[[#This Row],[Activity]],Types_of_Activity[Type of Activity],Types_of_Activity[Classification])=2,Term2_Day_10[[#This Row],[Elapsed]],0))</f>
        <v/>
      </c>
      <c r="BS23" s="107"/>
    </row>
    <row r="24" spans="2:71" x14ac:dyDescent="0.3">
      <c r="B24" s="136"/>
      <c r="C24" s="136"/>
      <c r="D24" s="103"/>
      <c r="E24" s="106" t="str">
        <f>IF(OR(ISBLANK(Term2_Day_1[[#This Row],[Start]]),ISBLANK(Term2_Day_1[[#This Row],[End]])),"",(Term2_Day_1[[#This Row],[End]]-Term2_Day_1[[#This Row],[Start]])*1440)</f>
        <v/>
      </c>
      <c r="F24" s="106" t="str">
        <f>IF(ISBLANK(Term2_Day_1[[#This Row],[Activity]]),"",IF(_xlfn.XLOOKUP(Term2_Day_1[[#This Row],[Activity]],Types_of_Activity[Type of Activity],Types_of_Activity[Classification])=1,Term2_Day_1[[#This Row],[Elapsed]],0))</f>
        <v/>
      </c>
      <c r="G24" s="106" t="str">
        <f>IF(ISBLANK(Term2_Day_1[[#This Row],[Activity]]),"",IF(_xlfn.XLOOKUP(Term2_Day_1[[#This Row],[Activity]],Types_of_Activity[Type of Activity],Types_of_Activity[Classification])=2,Term2_Day_1[[#This Row],[Elapsed]],0))</f>
        <v/>
      </c>
      <c r="I24" s="136"/>
      <c r="J24" s="136"/>
      <c r="K24" s="103"/>
      <c r="L24" s="106" t="str">
        <f>IF(OR(ISBLANK(Term2_Day_2[[#This Row],[Start]]),ISBLANK(Term2_Day_2[[#This Row],[End]])),"",(Term2_Day_2[[#This Row],[End]]-Term2_Day_2[[#This Row],[Start]])*1440)</f>
        <v/>
      </c>
      <c r="M24" s="106" t="str">
        <f>IF(ISBLANK(Term2_Day_2[[#This Row],[Activity]]),"",IF(_xlfn.XLOOKUP(Term2_Day_2[[#This Row],[Activity]],Types_of_Activity[Type of Activity],Types_of_Activity[Classification])=1,Term2_Day_2[[#This Row],[Elapsed]],0))</f>
        <v/>
      </c>
      <c r="N24" s="106" t="str">
        <f>IF(ISBLANK(Term2_Day_2[[#This Row],[Activity]]),"",IF(_xlfn.XLOOKUP(Term2_Day_2[[#This Row],[Activity]],Types_of_Activity[Type of Activity],Types_of_Activity[Classification])=2,Term2_Day_2[[#This Row],[Elapsed]],0))</f>
        <v/>
      </c>
      <c r="P24" s="136"/>
      <c r="Q24" s="136"/>
      <c r="R24" s="103"/>
      <c r="S24" s="106" t="str">
        <f>IF(OR(ISBLANK(Term2_Day_3[[#This Row],[Start]]),ISBLANK(Term2_Day_3[[#This Row],[End]])),"",(Term2_Day_3[[#This Row],[End]]-Term2_Day_3[[#This Row],[Start]])*1440)</f>
        <v/>
      </c>
      <c r="T24" s="106" t="str">
        <f>IF(ISBLANK(Term2_Day_3[[#This Row],[Activity]]),"",IF(_xlfn.XLOOKUP(Term2_Day_3[[#This Row],[Activity]],Types_of_Activity[Type of Activity],Types_of_Activity[Classification])=1,Term2_Day_3[[#This Row],[Elapsed]],0))</f>
        <v/>
      </c>
      <c r="U24" s="106" t="str">
        <f>IF(ISBLANK(Term2_Day_3[[#This Row],[Activity]]),"",IF(_xlfn.XLOOKUP(Term2_Day_3[[#This Row],[Activity]],Types_of_Activity[Type of Activity],Types_of_Activity[Classification])=2,Term2_Day_3[[#This Row],[Elapsed]],0))</f>
        <v/>
      </c>
      <c r="W24" s="136"/>
      <c r="X24" s="136"/>
      <c r="Y24" s="103"/>
      <c r="Z24" s="106" t="str">
        <f>IF(OR(ISBLANK(Term2_Day_4[[#This Row],[Start]]),ISBLANK(Term2_Day_4[[#This Row],[End]])),"",(Term2_Day_4[[#This Row],[End]]-Term2_Day_4[[#This Row],[Start]])*1440)</f>
        <v/>
      </c>
      <c r="AA24" s="106" t="str">
        <f>IF(ISBLANK(Term2_Day_4[[#This Row],[Activity]]),"",IF(_xlfn.XLOOKUP(Term2_Day_4[[#This Row],[Activity]],Types_of_Activity[Type of Activity],Types_of_Activity[Classification])=1,Term2_Day_4[[#This Row],[Elapsed]],0))</f>
        <v/>
      </c>
      <c r="AB24" s="106" t="str">
        <f>IF(ISBLANK(Term2_Day_4[[#This Row],[Activity]]),"",IF(_xlfn.XLOOKUP(Term2_Day_4[[#This Row],[Activity]],Types_of_Activity[Type of Activity],Types_of_Activity[Classification])=2,Term2_Day_4[[#This Row],[Elapsed]],0))</f>
        <v/>
      </c>
      <c r="AD24" s="136"/>
      <c r="AE24" s="136"/>
      <c r="AF24" s="103"/>
      <c r="AG24" s="106" t="str">
        <f>IF(OR(ISBLANK(Term2_Day_5[[#This Row],[Start]]),ISBLANK(Term2_Day_5[[#This Row],[End]])),"",(Term2_Day_5[[#This Row],[End]]-Term2_Day_5[[#This Row],[Start]])*1440)</f>
        <v/>
      </c>
      <c r="AH24" s="106" t="str">
        <f>IF(ISBLANK(Term2_Day_5[[#This Row],[Activity]]),"",IF(_xlfn.XLOOKUP(Term2_Day_5[[#This Row],[Activity]],Types_of_Activity[Type of Activity],Types_of_Activity[Classification])=1,Term2_Day_5[[#This Row],[Elapsed]],0))</f>
        <v/>
      </c>
      <c r="AI24" s="106" t="str">
        <f>IF(ISBLANK(Term2_Day_5[[#This Row],[Activity]]),"",IF(_xlfn.XLOOKUP(Term2_Day_5[[#This Row],[Activity]],Types_of_Activity[Type of Activity],Types_of_Activity[Classification])=2,Term2_Day_5[[#This Row],[Elapsed]],0))</f>
        <v/>
      </c>
      <c r="AJ24" s="107"/>
      <c r="AK24" s="136"/>
      <c r="AL24" s="136"/>
      <c r="AM24" s="103"/>
      <c r="AN24" s="106" t="str">
        <f>IF(OR(ISBLANK(Term2_Day_6[[#This Row],[Start]]),ISBLANK(Term2_Day_6[[#This Row],[End]])),"",(Term2_Day_6[[#This Row],[End]]-Term2_Day_6[[#This Row],[Start]])*1440)</f>
        <v/>
      </c>
      <c r="AO24" s="106" t="str">
        <f>IF(ISBLANK(Term2_Day_6[[#This Row],[Activity]]),"",IF(_xlfn.XLOOKUP(Term2_Day_6[[#This Row],[Activity]],Types_of_Activity[Type of Activity],Types_of_Activity[Classification])=1,Term2_Day_6[[#This Row],[Elapsed]],0))</f>
        <v/>
      </c>
      <c r="AP24" s="106" t="str">
        <f>IF(ISBLANK(Term2_Day_6[[#This Row],[Activity]]),"",IF(_xlfn.XLOOKUP(Term2_Day_6[[#This Row],[Activity]],Types_of_Activity[Type of Activity],Types_of_Activity[Classification])=2,Term2_Day_6[[#This Row],[Elapsed]],0))</f>
        <v/>
      </c>
      <c r="AQ24" s="107"/>
      <c r="AR24" s="136"/>
      <c r="AS24" s="136"/>
      <c r="AT24" s="103"/>
      <c r="AU24" s="106" t="str">
        <f>IF(OR(ISBLANK(Term2_Day_7[[#This Row],[Start]]),ISBLANK(Term2_Day_7[[#This Row],[End]])),"",(Term2_Day_7[[#This Row],[End]]-Term2_Day_7[[#This Row],[Start]])*1440)</f>
        <v/>
      </c>
      <c r="AV24" s="106" t="str">
        <f>IF(ISBLANK(Term2_Day_7[[#This Row],[Activity]]),"",IF(_xlfn.XLOOKUP(Term2_Day_7[[#This Row],[Activity]],Types_of_Activity[Type of Activity],Types_of_Activity[Classification])=1,Term2_Day_7[[#This Row],[Elapsed]],0))</f>
        <v/>
      </c>
      <c r="AW24" s="106" t="str">
        <f>IF(ISBLANK(Term2_Day_7[[#This Row],[Activity]]),"",IF(_xlfn.XLOOKUP(Term2_Day_7[[#This Row],[Activity]],Types_of_Activity[Type of Activity],Types_of_Activity[Classification])=2,Term2_Day_7[[#This Row],[Elapsed]],0))</f>
        <v/>
      </c>
      <c r="AX24" s="107"/>
      <c r="AY24" s="136"/>
      <c r="AZ24" s="136"/>
      <c r="BA24" s="103"/>
      <c r="BB24" s="106" t="str">
        <f>IF(OR(ISBLANK(Term2_Day_8[[#This Row],[Start]]),ISBLANK(Term2_Day_8[[#This Row],[End]])),"",(Term2_Day_8[[#This Row],[End]]-Term2_Day_8[[#This Row],[Start]])*1440)</f>
        <v/>
      </c>
      <c r="BC24" s="106" t="str">
        <f>IF(ISBLANK(Term2_Day_8[[#This Row],[Activity]]),"",IF(_xlfn.XLOOKUP(Term2_Day_8[[#This Row],[Activity]],Types_of_Activity[Type of Activity],Types_of_Activity[Classification])=1,Term2_Day_8[[#This Row],[Elapsed]],0))</f>
        <v/>
      </c>
      <c r="BD24" s="106" t="str">
        <f>IF(ISBLANK(Term2_Day_8[[#This Row],[Activity]]),"",IF(_xlfn.XLOOKUP(Term2_Day_8[[#This Row],[Activity]],Types_of_Activity[Type of Activity],Types_of_Activity[Classification])=2,Term2_Day_8[[#This Row],[Elapsed]],0))</f>
        <v/>
      </c>
      <c r="BE24" s="107"/>
      <c r="BF24" s="136"/>
      <c r="BG24" s="136"/>
      <c r="BH24" s="103"/>
      <c r="BI24" s="106" t="str">
        <f>IF(OR(ISBLANK(Term2_Day_9[[#This Row],[Start]]),ISBLANK(Term2_Day_9[[#This Row],[End]])),"",(Term2_Day_9[[#This Row],[End]]-Term2_Day_9[[#This Row],[Start]])*1440)</f>
        <v/>
      </c>
      <c r="BJ24" s="106" t="str">
        <f>IF(ISBLANK(Term2_Day_9[[#This Row],[Activity]]),"",IF(_xlfn.XLOOKUP(Term2_Day_9[[#This Row],[Activity]],Types_of_Activity[Type of Activity],Types_of_Activity[Classification])=1,Term2_Day_9[[#This Row],[Elapsed]],0))</f>
        <v/>
      </c>
      <c r="BK24" s="106" t="str">
        <f>IF(ISBLANK(Term2_Day_9[[#This Row],[Activity]]),"",IF(_xlfn.XLOOKUP(Term2_Day_9[[#This Row],[Activity]],Types_of_Activity[Type of Activity],Types_of_Activity[Classification])=2,Term2_Day_9[[#This Row],[Elapsed]],0))</f>
        <v/>
      </c>
      <c r="BL24" s="107"/>
      <c r="BM24" s="136"/>
      <c r="BN24" s="136"/>
      <c r="BO24" s="103"/>
      <c r="BP24" s="106" t="str">
        <f>IF(OR(ISBLANK(Term2_Day_10[[#This Row],[Start]]),ISBLANK(Term2_Day_10[[#This Row],[End]])),"",(Term2_Day_10[[#This Row],[End]]-Term2_Day_10[[#This Row],[Start]])*1440)</f>
        <v/>
      </c>
      <c r="BQ24" s="106" t="str">
        <f>IF(ISBLANK(Term2_Day_10[[#This Row],[Activity]]),"",IF(_xlfn.XLOOKUP(Term2_Day_10[[#This Row],[Activity]],Types_of_Activity[Type of Activity],Types_of_Activity[Classification])=1,Term2_Day_10[[#This Row],[Elapsed]],0))</f>
        <v/>
      </c>
      <c r="BR24" s="106" t="str">
        <f>IF(ISBLANK(Term2_Day_10[[#This Row],[Activity]]),"",IF(_xlfn.XLOOKUP(Term2_Day_10[[#This Row],[Activity]],Types_of_Activity[Type of Activity],Types_of_Activity[Classification])=2,Term2_Day_10[[#This Row],[Elapsed]],0))</f>
        <v/>
      </c>
      <c r="BS24" s="107"/>
    </row>
    <row r="25" spans="2:71" x14ac:dyDescent="0.3">
      <c r="B25" s="136"/>
      <c r="C25" s="136"/>
      <c r="D25" s="103"/>
      <c r="E25" s="106" t="str">
        <f>IF(OR(ISBLANK(Term2_Day_1[[#This Row],[Start]]),ISBLANK(Term2_Day_1[[#This Row],[End]])),"",(Term2_Day_1[[#This Row],[End]]-Term2_Day_1[[#This Row],[Start]])*1440)</f>
        <v/>
      </c>
      <c r="F25" s="106" t="str">
        <f>IF(ISBLANK(Term2_Day_1[[#This Row],[Activity]]),"",IF(_xlfn.XLOOKUP(Term2_Day_1[[#This Row],[Activity]],Types_of_Activity[Type of Activity],Types_of_Activity[Classification])=1,Term2_Day_1[[#This Row],[Elapsed]],0))</f>
        <v/>
      </c>
      <c r="G25" s="106" t="str">
        <f>IF(ISBLANK(Term2_Day_1[[#This Row],[Activity]]),"",IF(_xlfn.XLOOKUP(Term2_Day_1[[#This Row],[Activity]],Types_of_Activity[Type of Activity],Types_of_Activity[Classification])=2,Term2_Day_1[[#This Row],[Elapsed]],0))</f>
        <v/>
      </c>
      <c r="I25" s="136"/>
      <c r="J25" s="136"/>
      <c r="K25" s="103"/>
      <c r="L25" s="106" t="str">
        <f>IF(OR(ISBLANK(Term2_Day_2[[#This Row],[Start]]),ISBLANK(Term2_Day_2[[#This Row],[End]])),"",(Term2_Day_2[[#This Row],[End]]-Term2_Day_2[[#This Row],[Start]])*1440)</f>
        <v/>
      </c>
      <c r="M25" s="106" t="str">
        <f>IF(ISBLANK(Term2_Day_2[[#This Row],[Activity]]),"",IF(_xlfn.XLOOKUP(Term2_Day_2[[#This Row],[Activity]],Types_of_Activity[Type of Activity],Types_of_Activity[Classification])=1,Term2_Day_2[[#This Row],[Elapsed]],0))</f>
        <v/>
      </c>
      <c r="N25" s="106" t="str">
        <f>IF(ISBLANK(Term2_Day_2[[#This Row],[Activity]]),"",IF(_xlfn.XLOOKUP(Term2_Day_2[[#This Row],[Activity]],Types_of_Activity[Type of Activity],Types_of_Activity[Classification])=2,Term2_Day_2[[#This Row],[Elapsed]],0))</f>
        <v/>
      </c>
      <c r="P25" s="136"/>
      <c r="Q25" s="136"/>
      <c r="R25" s="103"/>
      <c r="S25" s="106" t="str">
        <f>IF(OR(ISBLANK(Term2_Day_3[[#This Row],[Start]]),ISBLANK(Term2_Day_3[[#This Row],[End]])),"",(Term2_Day_3[[#This Row],[End]]-Term2_Day_3[[#This Row],[Start]])*1440)</f>
        <v/>
      </c>
      <c r="T25" s="106" t="str">
        <f>IF(ISBLANK(Term2_Day_3[[#This Row],[Activity]]),"",IF(_xlfn.XLOOKUP(Term2_Day_3[[#This Row],[Activity]],Types_of_Activity[Type of Activity],Types_of_Activity[Classification])=1,Term2_Day_3[[#This Row],[Elapsed]],0))</f>
        <v/>
      </c>
      <c r="U25" s="106" t="str">
        <f>IF(ISBLANK(Term2_Day_3[[#This Row],[Activity]]),"",IF(_xlfn.XLOOKUP(Term2_Day_3[[#This Row],[Activity]],Types_of_Activity[Type of Activity],Types_of_Activity[Classification])=2,Term2_Day_3[[#This Row],[Elapsed]],0))</f>
        <v/>
      </c>
      <c r="W25" s="136"/>
      <c r="X25" s="136"/>
      <c r="Y25" s="103"/>
      <c r="Z25" s="106" t="str">
        <f>IF(OR(ISBLANK(Term2_Day_4[[#This Row],[Start]]),ISBLANK(Term2_Day_4[[#This Row],[End]])),"",(Term2_Day_4[[#This Row],[End]]-Term2_Day_4[[#This Row],[Start]])*1440)</f>
        <v/>
      </c>
      <c r="AA25" s="106" t="str">
        <f>IF(ISBLANK(Term2_Day_4[[#This Row],[Activity]]),"",IF(_xlfn.XLOOKUP(Term2_Day_4[[#This Row],[Activity]],Types_of_Activity[Type of Activity],Types_of_Activity[Classification])=1,Term2_Day_4[[#This Row],[Elapsed]],0))</f>
        <v/>
      </c>
      <c r="AB25" s="106" t="str">
        <f>IF(ISBLANK(Term2_Day_4[[#This Row],[Activity]]),"",IF(_xlfn.XLOOKUP(Term2_Day_4[[#This Row],[Activity]],Types_of_Activity[Type of Activity],Types_of_Activity[Classification])=2,Term2_Day_4[[#This Row],[Elapsed]],0))</f>
        <v/>
      </c>
      <c r="AD25" s="136"/>
      <c r="AE25" s="136"/>
      <c r="AF25" s="103"/>
      <c r="AG25" s="106" t="str">
        <f>IF(OR(ISBLANK(Term2_Day_5[[#This Row],[Start]]),ISBLANK(Term2_Day_5[[#This Row],[End]])),"",(Term2_Day_5[[#This Row],[End]]-Term2_Day_5[[#This Row],[Start]])*1440)</f>
        <v/>
      </c>
      <c r="AH25" s="106" t="str">
        <f>IF(ISBLANK(Term2_Day_5[[#This Row],[Activity]]),"",IF(_xlfn.XLOOKUP(Term2_Day_5[[#This Row],[Activity]],Types_of_Activity[Type of Activity],Types_of_Activity[Classification])=1,Term2_Day_5[[#This Row],[Elapsed]],0))</f>
        <v/>
      </c>
      <c r="AI25" s="106" t="str">
        <f>IF(ISBLANK(Term2_Day_5[[#This Row],[Activity]]),"",IF(_xlfn.XLOOKUP(Term2_Day_5[[#This Row],[Activity]],Types_of_Activity[Type of Activity],Types_of_Activity[Classification])=2,Term2_Day_5[[#This Row],[Elapsed]],0))</f>
        <v/>
      </c>
      <c r="AJ25" s="107"/>
      <c r="AK25" s="136"/>
      <c r="AL25" s="136"/>
      <c r="AM25" s="103"/>
      <c r="AN25" s="106" t="str">
        <f>IF(OR(ISBLANK(Term2_Day_6[[#This Row],[Start]]),ISBLANK(Term2_Day_6[[#This Row],[End]])),"",(Term2_Day_6[[#This Row],[End]]-Term2_Day_6[[#This Row],[Start]])*1440)</f>
        <v/>
      </c>
      <c r="AO25" s="106" t="str">
        <f>IF(ISBLANK(Term2_Day_6[[#This Row],[Activity]]),"",IF(_xlfn.XLOOKUP(Term2_Day_6[[#This Row],[Activity]],Types_of_Activity[Type of Activity],Types_of_Activity[Classification])=1,Term2_Day_6[[#This Row],[Elapsed]],0))</f>
        <v/>
      </c>
      <c r="AP25" s="106" t="str">
        <f>IF(ISBLANK(Term2_Day_6[[#This Row],[Activity]]),"",IF(_xlfn.XLOOKUP(Term2_Day_6[[#This Row],[Activity]],Types_of_Activity[Type of Activity],Types_of_Activity[Classification])=2,Term2_Day_6[[#This Row],[Elapsed]],0))</f>
        <v/>
      </c>
      <c r="AQ25" s="107"/>
      <c r="AR25" s="136"/>
      <c r="AS25" s="136"/>
      <c r="AT25" s="103"/>
      <c r="AU25" s="106" t="str">
        <f>IF(OR(ISBLANK(Term2_Day_7[[#This Row],[Start]]),ISBLANK(Term2_Day_7[[#This Row],[End]])),"",(Term2_Day_7[[#This Row],[End]]-Term2_Day_7[[#This Row],[Start]])*1440)</f>
        <v/>
      </c>
      <c r="AV25" s="106" t="str">
        <f>IF(ISBLANK(Term2_Day_7[[#This Row],[Activity]]),"",IF(_xlfn.XLOOKUP(Term2_Day_7[[#This Row],[Activity]],Types_of_Activity[Type of Activity],Types_of_Activity[Classification])=1,Term2_Day_7[[#This Row],[Elapsed]],0))</f>
        <v/>
      </c>
      <c r="AW25" s="106" t="str">
        <f>IF(ISBLANK(Term2_Day_7[[#This Row],[Activity]]),"",IF(_xlfn.XLOOKUP(Term2_Day_7[[#This Row],[Activity]],Types_of_Activity[Type of Activity],Types_of_Activity[Classification])=2,Term2_Day_7[[#This Row],[Elapsed]],0))</f>
        <v/>
      </c>
      <c r="AX25" s="107"/>
      <c r="AY25" s="136"/>
      <c r="AZ25" s="136"/>
      <c r="BA25" s="103"/>
      <c r="BB25" s="106" t="str">
        <f>IF(OR(ISBLANK(Term2_Day_8[[#This Row],[Start]]),ISBLANK(Term2_Day_8[[#This Row],[End]])),"",(Term2_Day_8[[#This Row],[End]]-Term2_Day_8[[#This Row],[Start]])*1440)</f>
        <v/>
      </c>
      <c r="BC25" s="106" t="str">
        <f>IF(ISBLANK(Term2_Day_8[[#This Row],[Activity]]),"",IF(_xlfn.XLOOKUP(Term2_Day_8[[#This Row],[Activity]],Types_of_Activity[Type of Activity],Types_of_Activity[Classification])=1,Term2_Day_8[[#This Row],[Elapsed]],0))</f>
        <v/>
      </c>
      <c r="BD25" s="106" t="str">
        <f>IF(ISBLANK(Term2_Day_8[[#This Row],[Activity]]),"",IF(_xlfn.XLOOKUP(Term2_Day_8[[#This Row],[Activity]],Types_of_Activity[Type of Activity],Types_of_Activity[Classification])=2,Term2_Day_8[[#This Row],[Elapsed]],0))</f>
        <v/>
      </c>
      <c r="BE25" s="107"/>
      <c r="BF25" s="136"/>
      <c r="BG25" s="136"/>
      <c r="BH25" s="103"/>
      <c r="BI25" s="106" t="str">
        <f>IF(OR(ISBLANK(Term2_Day_9[[#This Row],[Start]]),ISBLANK(Term2_Day_9[[#This Row],[End]])),"",(Term2_Day_9[[#This Row],[End]]-Term2_Day_9[[#This Row],[Start]])*1440)</f>
        <v/>
      </c>
      <c r="BJ25" s="106" t="str">
        <f>IF(ISBLANK(Term2_Day_9[[#This Row],[Activity]]),"",IF(_xlfn.XLOOKUP(Term2_Day_9[[#This Row],[Activity]],Types_of_Activity[Type of Activity],Types_of_Activity[Classification])=1,Term2_Day_9[[#This Row],[Elapsed]],0))</f>
        <v/>
      </c>
      <c r="BK25" s="106" t="str">
        <f>IF(ISBLANK(Term2_Day_9[[#This Row],[Activity]]),"",IF(_xlfn.XLOOKUP(Term2_Day_9[[#This Row],[Activity]],Types_of_Activity[Type of Activity],Types_of_Activity[Classification])=2,Term2_Day_9[[#This Row],[Elapsed]],0))</f>
        <v/>
      </c>
      <c r="BL25" s="107"/>
      <c r="BM25" s="136"/>
      <c r="BN25" s="136"/>
      <c r="BO25" s="103"/>
      <c r="BP25" s="106" t="str">
        <f>IF(OR(ISBLANK(Term2_Day_10[[#This Row],[Start]]),ISBLANK(Term2_Day_10[[#This Row],[End]])),"",(Term2_Day_10[[#This Row],[End]]-Term2_Day_10[[#This Row],[Start]])*1440)</f>
        <v/>
      </c>
      <c r="BQ25" s="106" t="str">
        <f>IF(ISBLANK(Term2_Day_10[[#This Row],[Activity]]),"",IF(_xlfn.XLOOKUP(Term2_Day_10[[#This Row],[Activity]],Types_of_Activity[Type of Activity],Types_of_Activity[Classification])=1,Term2_Day_10[[#This Row],[Elapsed]],0))</f>
        <v/>
      </c>
      <c r="BR25" s="106" t="str">
        <f>IF(ISBLANK(Term2_Day_10[[#This Row],[Activity]]),"",IF(_xlfn.XLOOKUP(Term2_Day_10[[#This Row],[Activity]],Types_of_Activity[Type of Activity],Types_of_Activity[Classification])=2,Term2_Day_10[[#This Row],[Elapsed]],0))</f>
        <v/>
      </c>
      <c r="BS25" s="107"/>
    </row>
    <row r="26" spans="2:71" x14ac:dyDescent="0.3">
      <c r="B26" s="136"/>
      <c r="C26" s="136"/>
      <c r="D26" s="103"/>
      <c r="E26" s="106" t="str">
        <f>IF(OR(ISBLANK(Term2_Day_1[[#This Row],[Start]]),ISBLANK(Term2_Day_1[[#This Row],[End]])),"",(Term2_Day_1[[#This Row],[End]]-Term2_Day_1[[#This Row],[Start]])*1440)</f>
        <v/>
      </c>
      <c r="F26" s="106" t="str">
        <f>IF(ISBLANK(Term2_Day_1[[#This Row],[Activity]]),"",IF(_xlfn.XLOOKUP(Term2_Day_1[[#This Row],[Activity]],Types_of_Activity[Type of Activity],Types_of_Activity[Classification])=1,Term2_Day_1[[#This Row],[Elapsed]],0))</f>
        <v/>
      </c>
      <c r="G26" s="106" t="str">
        <f>IF(ISBLANK(Term2_Day_1[[#This Row],[Activity]]),"",IF(_xlfn.XLOOKUP(Term2_Day_1[[#This Row],[Activity]],Types_of_Activity[Type of Activity],Types_of_Activity[Classification])=2,Term2_Day_1[[#This Row],[Elapsed]],0))</f>
        <v/>
      </c>
      <c r="I26" s="136"/>
      <c r="J26" s="136"/>
      <c r="K26" s="103"/>
      <c r="L26" s="106" t="str">
        <f>IF(OR(ISBLANK(Term2_Day_2[[#This Row],[Start]]),ISBLANK(Term2_Day_2[[#This Row],[End]])),"",(Term2_Day_2[[#This Row],[End]]-Term2_Day_2[[#This Row],[Start]])*1440)</f>
        <v/>
      </c>
      <c r="M26" s="106" t="str">
        <f>IF(ISBLANK(Term2_Day_2[[#This Row],[Activity]]),"",IF(_xlfn.XLOOKUP(Term2_Day_2[[#This Row],[Activity]],Types_of_Activity[Type of Activity],Types_of_Activity[Classification])=1,Term2_Day_2[[#This Row],[Elapsed]],0))</f>
        <v/>
      </c>
      <c r="N26" s="106" t="str">
        <f>IF(ISBLANK(Term2_Day_2[[#This Row],[Activity]]),"",IF(_xlfn.XLOOKUP(Term2_Day_2[[#This Row],[Activity]],Types_of_Activity[Type of Activity],Types_of_Activity[Classification])=2,Term2_Day_2[[#This Row],[Elapsed]],0))</f>
        <v/>
      </c>
      <c r="P26" s="136"/>
      <c r="Q26" s="136"/>
      <c r="R26" s="103"/>
      <c r="S26" s="106" t="str">
        <f>IF(OR(ISBLANK(Term2_Day_3[[#This Row],[Start]]),ISBLANK(Term2_Day_3[[#This Row],[End]])),"",(Term2_Day_3[[#This Row],[End]]-Term2_Day_3[[#This Row],[Start]])*1440)</f>
        <v/>
      </c>
      <c r="T26" s="106" t="str">
        <f>IF(ISBLANK(Term2_Day_3[[#This Row],[Activity]]),"",IF(_xlfn.XLOOKUP(Term2_Day_3[[#This Row],[Activity]],Types_of_Activity[Type of Activity],Types_of_Activity[Classification])=1,Term2_Day_3[[#This Row],[Elapsed]],0))</f>
        <v/>
      </c>
      <c r="U26" s="106" t="str">
        <f>IF(ISBLANK(Term2_Day_3[[#This Row],[Activity]]),"",IF(_xlfn.XLOOKUP(Term2_Day_3[[#This Row],[Activity]],Types_of_Activity[Type of Activity],Types_of_Activity[Classification])=2,Term2_Day_3[[#This Row],[Elapsed]],0))</f>
        <v/>
      </c>
      <c r="W26" s="136"/>
      <c r="X26" s="136"/>
      <c r="Y26" s="103"/>
      <c r="Z26" s="106" t="str">
        <f>IF(OR(ISBLANK(Term2_Day_4[[#This Row],[Start]]),ISBLANK(Term2_Day_4[[#This Row],[End]])),"",(Term2_Day_4[[#This Row],[End]]-Term2_Day_4[[#This Row],[Start]])*1440)</f>
        <v/>
      </c>
      <c r="AA26" s="106" t="str">
        <f>IF(ISBLANK(Term2_Day_4[[#This Row],[Activity]]),"",IF(_xlfn.XLOOKUP(Term2_Day_4[[#This Row],[Activity]],Types_of_Activity[Type of Activity],Types_of_Activity[Classification])=1,Term2_Day_4[[#This Row],[Elapsed]],0))</f>
        <v/>
      </c>
      <c r="AB26" s="106" t="str">
        <f>IF(ISBLANK(Term2_Day_4[[#This Row],[Activity]]),"",IF(_xlfn.XLOOKUP(Term2_Day_4[[#This Row],[Activity]],Types_of_Activity[Type of Activity],Types_of_Activity[Classification])=2,Term2_Day_4[[#This Row],[Elapsed]],0))</f>
        <v/>
      </c>
      <c r="AD26" s="136"/>
      <c r="AE26" s="136"/>
      <c r="AF26" s="103"/>
      <c r="AG26" s="106" t="str">
        <f>IF(OR(ISBLANK(Term2_Day_5[[#This Row],[Start]]),ISBLANK(Term2_Day_5[[#This Row],[End]])),"",(Term2_Day_5[[#This Row],[End]]-Term2_Day_5[[#This Row],[Start]])*1440)</f>
        <v/>
      </c>
      <c r="AH26" s="106" t="str">
        <f>IF(ISBLANK(Term2_Day_5[[#This Row],[Activity]]),"",IF(_xlfn.XLOOKUP(Term2_Day_5[[#This Row],[Activity]],Types_of_Activity[Type of Activity],Types_of_Activity[Classification])=1,Term2_Day_5[[#This Row],[Elapsed]],0))</f>
        <v/>
      </c>
      <c r="AI26" s="106" t="str">
        <f>IF(ISBLANK(Term2_Day_5[[#This Row],[Activity]]),"",IF(_xlfn.XLOOKUP(Term2_Day_5[[#This Row],[Activity]],Types_of_Activity[Type of Activity],Types_of_Activity[Classification])=2,Term2_Day_5[[#This Row],[Elapsed]],0))</f>
        <v/>
      </c>
      <c r="AJ26" s="107"/>
      <c r="AK26" s="136"/>
      <c r="AL26" s="136"/>
      <c r="AM26" s="103"/>
      <c r="AN26" s="106" t="str">
        <f>IF(OR(ISBLANK(Term2_Day_6[[#This Row],[Start]]),ISBLANK(Term2_Day_6[[#This Row],[End]])),"",(Term2_Day_6[[#This Row],[End]]-Term2_Day_6[[#This Row],[Start]])*1440)</f>
        <v/>
      </c>
      <c r="AO26" s="106" t="str">
        <f>IF(ISBLANK(Term2_Day_6[[#This Row],[Activity]]),"",IF(_xlfn.XLOOKUP(Term2_Day_6[[#This Row],[Activity]],Types_of_Activity[Type of Activity],Types_of_Activity[Classification])=1,Term2_Day_6[[#This Row],[Elapsed]],0))</f>
        <v/>
      </c>
      <c r="AP26" s="106" t="str">
        <f>IF(ISBLANK(Term2_Day_6[[#This Row],[Activity]]),"",IF(_xlfn.XLOOKUP(Term2_Day_6[[#This Row],[Activity]],Types_of_Activity[Type of Activity],Types_of_Activity[Classification])=2,Term2_Day_6[[#This Row],[Elapsed]],0))</f>
        <v/>
      </c>
      <c r="AQ26" s="107"/>
      <c r="AR26" s="136"/>
      <c r="AS26" s="136"/>
      <c r="AT26" s="103"/>
      <c r="AU26" s="106" t="str">
        <f>IF(OR(ISBLANK(Term2_Day_7[[#This Row],[Start]]),ISBLANK(Term2_Day_7[[#This Row],[End]])),"",(Term2_Day_7[[#This Row],[End]]-Term2_Day_7[[#This Row],[Start]])*1440)</f>
        <v/>
      </c>
      <c r="AV26" s="106" t="str">
        <f>IF(ISBLANK(Term2_Day_7[[#This Row],[Activity]]),"",IF(_xlfn.XLOOKUP(Term2_Day_7[[#This Row],[Activity]],Types_of_Activity[Type of Activity],Types_of_Activity[Classification])=1,Term2_Day_7[[#This Row],[Elapsed]],0))</f>
        <v/>
      </c>
      <c r="AW26" s="106" t="str">
        <f>IF(ISBLANK(Term2_Day_7[[#This Row],[Activity]]),"",IF(_xlfn.XLOOKUP(Term2_Day_7[[#This Row],[Activity]],Types_of_Activity[Type of Activity],Types_of_Activity[Classification])=2,Term2_Day_7[[#This Row],[Elapsed]],0))</f>
        <v/>
      </c>
      <c r="AX26" s="107"/>
      <c r="AY26" s="136"/>
      <c r="AZ26" s="136"/>
      <c r="BA26" s="103"/>
      <c r="BB26" s="106" t="str">
        <f>IF(OR(ISBLANK(Term2_Day_8[[#This Row],[Start]]),ISBLANK(Term2_Day_8[[#This Row],[End]])),"",(Term2_Day_8[[#This Row],[End]]-Term2_Day_8[[#This Row],[Start]])*1440)</f>
        <v/>
      </c>
      <c r="BC26" s="106" t="str">
        <f>IF(ISBLANK(Term2_Day_8[[#This Row],[Activity]]),"",IF(_xlfn.XLOOKUP(Term2_Day_8[[#This Row],[Activity]],Types_of_Activity[Type of Activity],Types_of_Activity[Classification])=1,Term2_Day_8[[#This Row],[Elapsed]],0))</f>
        <v/>
      </c>
      <c r="BD26" s="106" t="str">
        <f>IF(ISBLANK(Term2_Day_8[[#This Row],[Activity]]),"",IF(_xlfn.XLOOKUP(Term2_Day_8[[#This Row],[Activity]],Types_of_Activity[Type of Activity],Types_of_Activity[Classification])=2,Term2_Day_8[[#This Row],[Elapsed]],0))</f>
        <v/>
      </c>
      <c r="BE26" s="107"/>
      <c r="BF26" s="136"/>
      <c r="BG26" s="136"/>
      <c r="BH26" s="103"/>
      <c r="BI26" s="106" t="str">
        <f>IF(OR(ISBLANK(Term2_Day_9[[#This Row],[Start]]),ISBLANK(Term2_Day_9[[#This Row],[End]])),"",(Term2_Day_9[[#This Row],[End]]-Term2_Day_9[[#This Row],[Start]])*1440)</f>
        <v/>
      </c>
      <c r="BJ26" s="106" t="str">
        <f>IF(ISBLANK(Term2_Day_9[[#This Row],[Activity]]),"",IF(_xlfn.XLOOKUP(Term2_Day_9[[#This Row],[Activity]],Types_of_Activity[Type of Activity],Types_of_Activity[Classification])=1,Term2_Day_9[[#This Row],[Elapsed]],0))</f>
        <v/>
      </c>
      <c r="BK26" s="106" t="str">
        <f>IF(ISBLANK(Term2_Day_9[[#This Row],[Activity]]),"",IF(_xlfn.XLOOKUP(Term2_Day_9[[#This Row],[Activity]],Types_of_Activity[Type of Activity],Types_of_Activity[Classification])=2,Term2_Day_9[[#This Row],[Elapsed]],0))</f>
        <v/>
      </c>
      <c r="BL26" s="107"/>
      <c r="BM26" s="136"/>
      <c r="BN26" s="136"/>
      <c r="BO26" s="103"/>
      <c r="BP26" s="106" t="str">
        <f>IF(OR(ISBLANK(Term2_Day_10[[#This Row],[Start]]),ISBLANK(Term2_Day_10[[#This Row],[End]])),"",(Term2_Day_10[[#This Row],[End]]-Term2_Day_10[[#This Row],[Start]])*1440)</f>
        <v/>
      </c>
      <c r="BQ26" s="106" t="str">
        <f>IF(ISBLANK(Term2_Day_10[[#This Row],[Activity]]),"",IF(_xlfn.XLOOKUP(Term2_Day_10[[#This Row],[Activity]],Types_of_Activity[Type of Activity],Types_of_Activity[Classification])=1,Term2_Day_10[[#This Row],[Elapsed]],0))</f>
        <v/>
      </c>
      <c r="BR26" s="106" t="str">
        <f>IF(ISBLANK(Term2_Day_10[[#This Row],[Activity]]),"",IF(_xlfn.XLOOKUP(Term2_Day_10[[#This Row],[Activity]],Types_of_Activity[Type of Activity],Types_of_Activity[Classification])=2,Term2_Day_10[[#This Row],[Elapsed]],0))</f>
        <v/>
      </c>
      <c r="BS26" s="107"/>
    </row>
    <row r="27" spans="2:71" x14ac:dyDescent="0.3">
      <c r="B27" s="136"/>
      <c r="C27" s="136"/>
      <c r="D27" s="103"/>
      <c r="E27" s="106" t="str">
        <f>IF(OR(ISBLANK(Term2_Day_1[[#This Row],[Start]]),ISBLANK(Term2_Day_1[[#This Row],[End]])),"",(Term2_Day_1[[#This Row],[End]]-Term2_Day_1[[#This Row],[Start]])*1440)</f>
        <v/>
      </c>
      <c r="F27" s="106" t="str">
        <f>IF(ISBLANK(Term2_Day_1[[#This Row],[Activity]]),"",IF(_xlfn.XLOOKUP(Term2_Day_1[[#This Row],[Activity]],Types_of_Activity[Type of Activity],Types_of_Activity[Classification])=1,Term2_Day_1[[#This Row],[Elapsed]],0))</f>
        <v/>
      </c>
      <c r="G27" s="106" t="str">
        <f>IF(ISBLANK(Term2_Day_1[[#This Row],[Activity]]),"",IF(_xlfn.XLOOKUP(Term2_Day_1[[#This Row],[Activity]],Types_of_Activity[Type of Activity],Types_of_Activity[Classification])=2,Term2_Day_1[[#This Row],[Elapsed]],0))</f>
        <v/>
      </c>
      <c r="I27" s="136"/>
      <c r="J27" s="136"/>
      <c r="K27" s="103"/>
      <c r="L27" s="106" t="str">
        <f>IF(OR(ISBLANK(Term2_Day_2[[#This Row],[Start]]),ISBLANK(Term2_Day_2[[#This Row],[End]])),"",(Term2_Day_2[[#This Row],[End]]-Term2_Day_2[[#This Row],[Start]])*1440)</f>
        <v/>
      </c>
      <c r="M27" s="106" t="str">
        <f>IF(ISBLANK(Term2_Day_2[[#This Row],[Activity]]),"",IF(_xlfn.XLOOKUP(Term2_Day_2[[#This Row],[Activity]],Types_of_Activity[Type of Activity],Types_of_Activity[Classification])=1,Term2_Day_2[[#This Row],[Elapsed]],0))</f>
        <v/>
      </c>
      <c r="N27" s="106" t="str">
        <f>IF(ISBLANK(Term2_Day_2[[#This Row],[Activity]]),"",IF(_xlfn.XLOOKUP(Term2_Day_2[[#This Row],[Activity]],Types_of_Activity[Type of Activity],Types_of_Activity[Classification])=2,Term2_Day_2[[#This Row],[Elapsed]],0))</f>
        <v/>
      </c>
      <c r="P27" s="136"/>
      <c r="Q27" s="136"/>
      <c r="R27" s="103"/>
      <c r="S27" s="106" t="str">
        <f>IF(OR(ISBLANK(Term2_Day_3[[#This Row],[Start]]),ISBLANK(Term2_Day_3[[#This Row],[End]])),"",(Term2_Day_3[[#This Row],[End]]-Term2_Day_3[[#This Row],[Start]])*1440)</f>
        <v/>
      </c>
      <c r="T27" s="106" t="str">
        <f>IF(ISBLANK(Term2_Day_3[[#This Row],[Activity]]),"",IF(_xlfn.XLOOKUP(Term2_Day_3[[#This Row],[Activity]],Types_of_Activity[Type of Activity],Types_of_Activity[Classification])=1,Term2_Day_3[[#This Row],[Elapsed]],0))</f>
        <v/>
      </c>
      <c r="U27" s="106" t="str">
        <f>IF(ISBLANK(Term2_Day_3[[#This Row],[Activity]]),"",IF(_xlfn.XLOOKUP(Term2_Day_3[[#This Row],[Activity]],Types_of_Activity[Type of Activity],Types_of_Activity[Classification])=2,Term2_Day_3[[#This Row],[Elapsed]],0))</f>
        <v/>
      </c>
      <c r="W27" s="136"/>
      <c r="X27" s="136"/>
      <c r="Y27" s="103"/>
      <c r="Z27" s="106" t="str">
        <f>IF(OR(ISBLANK(Term2_Day_4[[#This Row],[Start]]),ISBLANK(Term2_Day_4[[#This Row],[End]])),"",(Term2_Day_4[[#This Row],[End]]-Term2_Day_4[[#This Row],[Start]])*1440)</f>
        <v/>
      </c>
      <c r="AA27" s="106" t="str">
        <f>IF(ISBLANK(Term2_Day_4[[#This Row],[Activity]]),"",IF(_xlfn.XLOOKUP(Term2_Day_4[[#This Row],[Activity]],Types_of_Activity[Type of Activity],Types_of_Activity[Classification])=1,Term2_Day_4[[#This Row],[Elapsed]],0))</f>
        <v/>
      </c>
      <c r="AB27" s="106" t="str">
        <f>IF(ISBLANK(Term2_Day_4[[#This Row],[Activity]]),"",IF(_xlfn.XLOOKUP(Term2_Day_4[[#This Row],[Activity]],Types_of_Activity[Type of Activity],Types_of_Activity[Classification])=2,Term2_Day_4[[#This Row],[Elapsed]],0))</f>
        <v/>
      </c>
      <c r="AD27" s="136"/>
      <c r="AE27" s="136"/>
      <c r="AF27" s="103"/>
      <c r="AG27" s="106" t="str">
        <f>IF(OR(ISBLANK(Term2_Day_5[[#This Row],[Start]]),ISBLANK(Term2_Day_5[[#This Row],[End]])),"",(Term2_Day_5[[#This Row],[End]]-Term2_Day_5[[#This Row],[Start]])*1440)</f>
        <v/>
      </c>
      <c r="AH27" s="106" t="str">
        <f>IF(ISBLANK(Term2_Day_5[[#This Row],[Activity]]),"",IF(_xlfn.XLOOKUP(Term2_Day_5[[#This Row],[Activity]],Types_of_Activity[Type of Activity],Types_of_Activity[Classification])=1,Term2_Day_5[[#This Row],[Elapsed]],0))</f>
        <v/>
      </c>
      <c r="AI27" s="106" t="str">
        <f>IF(ISBLANK(Term2_Day_5[[#This Row],[Activity]]),"",IF(_xlfn.XLOOKUP(Term2_Day_5[[#This Row],[Activity]],Types_of_Activity[Type of Activity],Types_of_Activity[Classification])=2,Term2_Day_5[[#This Row],[Elapsed]],0))</f>
        <v/>
      </c>
      <c r="AJ27" s="107"/>
      <c r="AK27" s="136"/>
      <c r="AL27" s="136"/>
      <c r="AM27" s="103"/>
      <c r="AN27" s="106" t="str">
        <f>IF(OR(ISBLANK(Term2_Day_6[[#This Row],[Start]]),ISBLANK(Term2_Day_6[[#This Row],[End]])),"",(Term2_Day_6[[#This Row],[End]]-Term2_Day_6[[#This Row],[Start]])*1440)</f>
        <v/>
      </c>
      <c r="AO27" s="106" t="str">
        <f>IF(ISBLANK(Term2_Day_6[[#This Row],[Activity]]),"",IF(_xlfn.XLOOKUP(Term2_Day_6[[#This Row],[Activity]],Types_of_Activity[Type of Activity],Types_of_Activity[Classification])=1,Term2_Day_6[[#This Row],[Elapsed]],0))</f>
        <v/>
      </c>
      <c r="AP27" s="106" t="str">
        <f>IF(ISBLANK(Term2_Day_6[[#This Row],[Activity]]),"",IF(_xlfn.XLOOKUP(Term2_Day_6[[#This Row],[Activity]],Types_of_Activity[Type of Activity],Types_of_Activity[Classification])=2,Term2_Day_6[[#This Row],[Elapsed]],0))</f>
        <v/>
      </c>
      <c r="AQ27" s="107"/>
      <c r="AR27" s="136"/>
      <c r="AS27" s="136"/>
      <c r="AT27" s="103"/>
      <c r="AU27" s="106" t="str">
        <f>IF(OR(ISBLANK(Term2_Day_7[[#This Row],[Start]]),ISBLANK(Term2_Day_7[[#This Row],[End]])),"",(Term2_Day_7[[#This Row],[End]]-Term2_Day_7[[#This Row],[Start]])*1440)</f>
        <v/>
      </c>
      <c r="AV27" s="106" t="str">
        <f>IF(ISBLANK(Term2_Day_7[[#This Row],[Activity]]),"",IF(_xlfn.XLOOKUP(Term2_Day_7[[#This Row],[Activity]],Types_of_Activity[Type of Activity],Types_of_Activity[Classification])=1,Term2_Day_7[[#This Row],[Elapsed]],0))</f>
        <v/>
      </c>
      <c r="AW27" s="106" t="str">
        <f>IF(ISBLANK(Term2_Day_7[[#This Row],[Activity]]),"",IF(_xlfn.XLOOKUP(Term2_Day_7[[#This Row],[Activity]],Types_of_Activity[Type of Activity],Types_of_Activity[Classification])=2,Term2_Day_7[[#This Row],[Elapsed]],0))</f>
        <v/>
      </c>
      <c r="AX27" s="107"/>
      <c r="AY27" s="136"/>
      <c r="AZ27" s="136"/>
      <c r="BA27" s="103"/>
      <c r="BB27" s="106" t="str">
        <f>IF(OR(ISBLANK(Term2_Day_8[[#This Row],[Start]]),ISBLANK(Term2_Day_8[[#This Row],[End]])),"",(Term2_Day_8[[#This Row],[End]]-Term2_Day_8[[#This Row],[Start]])*1440)</f>
        <v/>
      </c>
      <c r="BC27" s="106" t="str">
        <f>IF(ISBLANK(Term2_Day_8[[#This Row],[Activity]]),"",IF(_xlfn.XLOOKUP(Term2_Day_8[[#This Row],[Activity]],Types_of_Activity[Type of Activity],Types_of_Activity[Classification])=1,Term2_Day_8[[#This Row],[Elapsed]],0))</f>
        <v/>
      </c>
      <c r="BD27" s="106" t="str">
        <f>IF(ISBLANK(Term2_Day_8[[#This Row],[Activity]]),"",IF(_xlfn.XLOOKUP(Term2_Day_8[[#This Row],[Activity]],Types_of_Activity[Type of Activity],Types_of_Activity[Classification])=2,Term2_Day_8[[#This Row],[Elapsed]],0))</f>
        <v/>
      </c>
      <c r="BE27" s="107"/>
      <c r="BF27" s="136"/>
      <c r="BG27" s="136"/>
      <c r="BH27" s="103"/>
      <c r="BI27" s="106" t="str">
        <f>IF(OR(ISBLANK(Term2_Day_9[[#This Row],[Start]]),ISBLANK(Term2_Day_9[[#This Row],[End]])),"",(Term2_Day_9[[#This Row],[End]]-Term2_Day_9[[#This Row],[Start]])*1440)</f>
        <v/>
      </c>
      <c r="BJ27" s="106" t="str">
        <f>IF(ISBLANK(Term2_Day_9[[#This Row],[Activity]]),"",IF(_xlfn.XLOOKUP(Term2_Day_9[[#This Row],[Activity]],Types_of_Activity[Type of Activity],Types_of_Activity[Classification])=1,Term2_Day_9[[#This Row],[Elapsed]],0))</f>
        <v/>
      </c>
      <c r="BK27" s="106" t="str">
        <f>IF(ISBLANK(Term2_Day_9[[#This Row],[Activity]]),"",IF(_xlfn.XLOOKUP(Term2_Day_9[[#This Row],[Activity]],Types_of_Activity[Type of Activity],Types_of_Activity[Classification])=2,Term2_Day_9[[#This Row],[Elapsed]],0))</f>
        <v/>
      </c>
      <c r="BL27" s="107"/>
      <c r="BM27" s="136"/>
      <c r="BN27" s="136"/>
      <c r="BO27" s="103"/>
      <c r="BP27" s="106" t="str">
        <f>IF(OR(ISBLANK(Term2_Day_10[[#This Row],[Start]]),ISBLANK(Term2_Day_10[[#This Row],[End]])),"",(Term2_Day_10[[#This Row],[End]]-Term2_Day_10[[#This Row],[Start]])*1440)</f>
        <v/>
      </c>
      <c r="BQ27" s="106" t="str">
        <f>IF(ISBLANK(Term2_Day_10[[#This Row],[Activity]]),"",IF(_xlfn.XLOOKUP(Term2_Day_10[[#This Row],[Activity]],Types_of_Activity[Type of Activity],Types_of_Activity[Classification])=1,Term2_Day_10[[#This Row],[Elapsed]],0))</f>
        <v/>
      </c>
      <c r="BR27" s="106" t="str">
        <f>IF(ISBLANK(Term2_Day_10[[#This Row],[Activity]]),"",IF(_xlfn.XLOOKUP(Term2_Day_10[[#This Row],[Activity]],Types_of_Activity[Type of Activity],Types_of_Activity[Classification])=2,Term2_Day_10[[#This Row],[Elapsed]],0))</f>
        <v/>
      </c>
      <c r="BS27" s="107"/>
    </row>
    <row r="28" spans="2:71" x14ac:dyDescent="0.3">
      <c r="B28" s="136"/>
      <c r="C28" s="136"/>
      <c r="D28" s="103"/>
      <c r="E28" s="106" t="str">
        <f>IF(OR(ISBLANK(Term2_Day_1[[#This Row],[Start]]),ISBLANK(Term2_Day_1[[#This Row],[End]])),"",(Term2_Day_1[[#This Row],[End]]-Term2_Day_1[[#This Row],[Start]])*1440)</f>
        <v/>
      </c>
      <c r="F28" s="106" t="str">
        <f>IF(ISBLANK(Term2_Day_1[[#This Row],[Activity]]),"",IF(_xlfn.XLOOKUP(Term2_Day_1[[#This Row],[Activity]],Types_of_Activity[Type of Activity],Types_of_Activity[Classification])=1,Term2_Day_1[[#This Row],[Elapsed]],0))</f>
        <v/>
      </c>
      <c r="G28" s="106" t="str">
        <f>IF(ISBLANK(Term2_Day_1[[#This Row],[Activity]]),"",IF(_xlfn.XLOOKUP(Term2_Day_1[[#This Row],[Activity]],Types_of_Activity[Type of Activity],Types_of_Activity[Classification])=2,Term2_Day_1[[#This Row],[Elapsed]],0))</f>
        <v/>
      </c>
      <c r="I28" s="136"/>
      <c r="J28" s="136"/>
      <c r="K28" s="103"/>
      <c r="L28" s="106" t="str">
        <f>IF(OR(ISBLANK(Term2_Day_2[[#This Row],[Start]]),ISBLANK(Term2_Day_2[[#This Row],[End]])),"",(Term2_Day_2[[#This Row],[End]]-Term2_Day_2[[#This Row],[Start]])*1440)</f>
        <v/>
      </c>
      <c r="M28" s="106" t="str">
        <f>IF(ISBLANK(Term2_Day_2[[#This Row],[Activity]]),"",IF(_xlfn.XLOOKUP(Term2_Day_2[[#This Row],[Activity]],Types_of_Activity[Type of Activity],Types_of_Activity[Classification])=1,Term2_Day_2[[#This Row],[Elapsed]],0))</f>
        <v/>
      </c>
      <c r="N28" s="106" t="str">
        <f>IF(ISBLANK(Term2_Day_2[[#This Row],[Activity]]),"",IF(_xlfn.XLOOKUP(Term2_Day_2[[#This Row],[Activity]],Types_of_Activity[Type of Activity],Types_of_Activity[Classification])=2,Term2_Day_2[[#This Row],[Elapsed]],0))</f>
        <v/>
      </c>
      <c r="P28" s="136"/>
      <c r="Q28" s="136"/>
      <c r="R28" s="103"/>
      <c r="S28" s="106" t="str">
        <f>IF(OR(ISBLANK(Term2_Day_3[[#This Row],[Start]]),ISBLANK(Term2_Day_3[[#This Row],[End]])),"",(Term2_Day_3[[#This Row],[End]]-Term2_Day_3[[#This Row],[Start]])*1440)</f>
        <v/>
      </c>
      <c r="T28" s="106" t="str">
        <f>IF(ISBLANK(Term2_Day_3[[#This Row],[Activity]]),"",IF(_xlfn.XLOOKUP(Term2_Day_3[[#This Row],[Activity]],Types_of_Activity[Type of Activity],Types_of_Activity[Classification])=1,Term2_Day_3[[#This Row],[Elapsed]],0))</f>
        <v/>
      </c>
      <c r="U28" s="106" t="str">
        <f>IF(ISBLANK(Term2_Day_3[[#This Row],[Activity]]),"",IF(_xlfn.XLOOKUP(Term2_Day_3[[#This Row],[Activity]],Types_of_Activity[Type of Activity],Types_of_Activity[Classification])=2,Term2_Day_3[[#This Row],[Elapsed]],0))</f>
        <v/>
      </c>
      <c r="W28" s="136"/>
      <c r="X28" s="136"/>
      <c r="Y28" s="103"/>
      <c r="Z28" s="106" t="str">
        <f>IF(OR(ISBLANK(Term2_Day_4[[#This Row],[Start]]),ISBLANK(Term2_Day_4[[#This Row],[End]])),"",(Term2_Day_4[[#This Row],[End]]-Term2_Day_4[[#This Row],[Start]])*1440)</f>
        <v/>
      </c>
      <c r="AA28" s="106" t="str">
        <f>IF(ISBLANK(Term2_Day_4[[#This Row],[Activity]]),"",IF(_xlfn.XLOOKUP(Term2_Day_4[[#This Row],[Activity]],Types_of_Activity[Type of Activity],Types_of_Activity[Classification])=1,Term2_Day_4[[#This Row],[Elapsed]],0))</f>
        <v/>
      </c>
      <c r="AB28" s="106" t="str">
        <f>IF(ISBLANK(Term2_Day_4[[#This Row],[Activity]]),"",IF(_xlfn.XLOOKUP(Term2_Day_4[[#This Row],[Activity]],Types_of_Activity[Type of Activity],Types_of_Activity[Classification])=2,Term2_Day_4[[#This Row],[Elapsed]],0))</f>
        <v/>
      </c>
      <c r="AD28" s="136"/>
      <c r="AE28" s="136"/>
      <c r="AF28" s="103"/>
      <c r="AG28" s="106" t="str">
        <f>IF(OR(ISBLANK(Term2_Day_5[[#This Row],[Start]]),ISBLANK(Term2_Day_5[[#This Row],[End]])),"",(Term2_Day_5[[#This Row],[End]]-Term2_Day_5[[#This Row],[Start]])*1440)</f>
        <v/>
      </c>
      <c r="AH28" s="106" t="str">
        <f>IF(ISBLANK(Term2_Day_5[[#This Row],[Activity]]),"",IF(_xlfn.XLOOKUP(Term2_Day_5[[#This Row],[Activity]],Types_of_Activity[Type of Activity],Types_of_Activity[Classification])=1,Term2_Day_5[[#This Row],[Elapsed]],0))</f>
        <v/>
      </c>
      <c r="AI28" s="106" t="str">
        <f>IF(ISBLANK(Term2_Day_5[[#This Row],[Activity]]),"",IF(_xlfn.XLOOKUP(Term2_Day_5[[#This Row],[Activity]],Types_of_Activity[Type of Activity],Types_of_Activity[Classification])=2,Term2_Day_5[[#This Row],[Elapsed]],0))</f>
        <v/>
      </c>
      <c r="AJ28" s="107"/>
      <c r="AK28" s="136"/>
      <c r="AL28" s="136"/>
      <c r="AM28" s="103"/>
      <c r="AN28" s="106" t="str">
        <f>IF(OR(ISBLANK(Term2_Day_6[[#This Row],[Start]]),ISBLANK(Term2_Day_6[[#This Row],[End]])),"",(Term2_Day_6[[#This Row],[End]]-Term2_Day_6[[#This Row],[Start]])*1440)</f>
        <v/>
      </c>
      <c r="AO28" s="106" t="str">
        <f>IF(ISBLANK(Term2_Day_6[[#This Row],[Activity]]),"",IF(_xlfn.XLOOKUP(Term2_Day_6[[#This Row],[Activity]],Types_of_Activity[Type of Activity],Types_of_Activity[Classification])=1,Term2_Day_6[[#This Row],[Elapsed]],0))</f>
        <v/>
      </c>
      <c r="AP28" s="106" t="str">
        <f>IF(ISBLANK(Term2_Day_6[[#This Row],[Activity]]),"",IF(_xlfn.XLOOKUP(Term2_Day_6[[#This Row],[Activity]],Types_of_Activity[Type of Activity],Types_of_Activity[Classification])=2,Term2_Day_6[[#This Row],[Elapsed]],0))</f>
        <v/>
      </c>
      <c r="AQ28" s="107"/>
      <c r="AR28" s="136"/>
      <c r="AS28" s="136"/>
      <c r="AT28" s="103"/>
      <c r="AU28" s="106" t="str">
        <f>IF(OR(ISBLANK(Term2_Day_7[[#This Row],[Start]]),ISBLANK(Term2_Day_7[[#This Row],[End]])),"",(Term2_Day_7[[#This Row],[End]]-Term2_Day_7[[#This Row],[Start]])*1440)</f>
        <v/>
      </c>
      <c r="AV28" s="106" t="str">
        <f>IF(ISBLANK(Term2_Day_7[[#This Row],[Activity]]),"",IF(_xlfn.XLOOKUP(Term2_Day_7[[#This Row],[Activity]],Types_of_Activity[Type of Activity],Types_of_Activity[Classification])=1,Term2_Day_7[[#This Row],[Elapsed]],0))</f>
        <v/>
      </c>
      <c r="AW28" s="106" t="str">
        <f>IF(ISBLANK(Term2_Day_7[[#This Row],[Activity]]),"",IF(_xlfn.XLOOKUP(Term2_Day_7[[#This Row],[Activity]],Types_of_Activity[Type of Activity],Types_of_Activity[Classification])=2,Term2_Day_7[[#This Row],[Elapsed]],0))</f>
        <v/>
      </c>
      <c r="AX28" s="107"/>
      <c r="AY28" s="136"/>
      <c r="AZ28" s="136"/>
      <c r="BA28" s="103"/>
      <c r="BB28" s="106" t="str">
        <f>IF(OR(ISBLANK(Term2_Day_8[[#This Row],[Start]]),ISBLANK(Term2_Day_8[[#This Row],[End]])),"",(Term2_Day_8[[#This Row],[End]]-Term2_Day_8[[#This Row],[Start]])*1440)</f>
        <v/>
      </c>
      <c r="BC28" s="106" t="str">
        <f>IF(ISBLANK(Term2_Day_8[[#This Row],[Activity]]),"",IF(_xlfn.XLOOKUP(Term2_Day_8[[#This Row],[Activity]],Types_of_Activity[Type of Activity],Types_of_Activity[Classification])=1,Term2_Day_8[[#This Row],[Elapsed]],0))</f>
        <v/>
      </c>
      <c r="BD28" s="106" t="str">
        <f>IF(ISBLANK(Term2_Day_8[[#This Row],[Activity]]),"",IF(_xlfn.XLOOKUP(Term2_Day_8[[#This Row],[Activity]],Types_of_Activity[Type of Activity],Types_of_Activity[Classification])=2,Term2_Day_8[[#This Row],[Elapsed]],0))</f>
        <v/>
      </c>
      <c r="BE28" s="107"/>
      <c r="BF28" s="136"/>
      <c r="BG28" s="136"/>
      <c r="BH28" s="103"/>
      <c r="BI28" s="106" t="str">
        <f>IF(OR(ISBLANK(Term2_Day_9[[#This Row],[Start]]),ISBLANK(Term2_Day_9[[#This Row],[End]])),"",(Term2_Day_9[[#This Row],[End]]-Term2_Day_9[[#This Row],[Start]])*1440)</f>
        <v/>
      </c>
      <c r="BJ28" s="106" t="str">
        <f>IF(ISBLANK(Term2_Day_9[[#This Row],[Activity]]),"",IF(_xlfn.XLOOKUP(Term2_Day_9[[#This Row],[Activity]],Types_of_Activity[Type of Activity],Types_of_Activity[Classification])=1,Term2_Day_9[[#This Row],[Elapsed]],0))</f>
        <v/>
      </c>
      <c r="BK28" s="106" t="str">
        <f>IF(ISBLANK(Term2_Day_9[[#This Row],[Activity]]),"",IF(_xlfn.XLOOKUP(Term2_Day_9[[#This Row],[Activity]],Types_of_Activity[Type of Activity],Types_of_Activity[Classification])=2,Term2_Day_9[[#This Row],[Elapsed]],0))</f>
        <v/>
      </c>
      <c r="BL28" s="107"/>
      <c r="BM28" s="136"/>
      <c r="BN28" s="136"/>
      <c r="BO28" s="103"/>
      <c r="BP28" s="106" t="str">
        <f>IF(OR(ISBLANK(Term2_Day_10[[#This Row],[Start]]),ISBLANK(Term2_Day_10[[#This Row],[End]])),"",(Term2_Day_10[[#This Row],[End]]-Term2_Day_10[[#This Row],[Start]])*1440)</f>
        <v/>
      </c>
      <c r="BQ28" s="106" t="str">
        <f>IF(ISBLANK(Term2_Day_10[[#This Row],[Activity]]),"",IF(_xlfn.XLOOKUP(Term2_Day_10[[#This Row],[Activity]],Types_of_Activity[Type of Activity],Types_of_Activity[Classification])=1,Term2_Day_10[[#This Row],[Elapsed]],0))</f>
        <v/>
      </c>
      <c r="BR28" s="106" t="str">
        <f>IF(ISBLANK(Term2_Day_10[[#This Row],[Activity]]),"",IF(_xlfn.XLOOKUP(Term2_Day_10[[#This Row],[Activity]],Types_of_Activity[Type of Activity],Types_of_Activity[Classification])=2,Term2_Day_10[[#This Row],[Elapsed]],0))</f>
        <v/>
      </c>
      <c r="BS28" s="107"/>
    </row>
    <row r="29" spans="2:71" x14ac:dyDescent="0.3">
      <c r="B29" s="136"/>
      <c r="C29" s="136"/>
      <c r="D29" s="103"/>
      <c r="E29" s="106" t="str">
        <f>IF(OR(ISBLANK(Term2_Day_1[[#This Row],[Start]]),ISBLANK(Term2_Day_1[[#This Row],[End]])),"",(Term2_Day_1[[#This Row],[End]]-Term2_Day_1[[#This Row],[Start]])*1440)</f>
        <v/>
      </c>
      <c r="F29" s="106" t="str">
        <f>IF(ISBLANK(Term2_Day_1[[#This Row],[Activity]]),"",IF(_xlfn.XLOOKUP(Term2_Day_1[[#This Row],[Activity]],Types_of_Activity[Type of Activity],Types_of_Activity[Classification])=1,Term2_Day_1[[#This Row],[Elapsed]],0))</f>
        <v/>
      </c>
      <c r="G29" s="106" t="str">
        <f>IF(ISBLANK(Term2_Day_1[[#This Row],[Activity]]),"",IF(_xlfn.XLOOKUP(Term2_Day_1[[#This Row],[Activity]],Types_of_Activity[Type of Activity],Types_of_Activity[Classification])=2,Term2_Day_1[[#This Row],[Elapsed]],0))</f>
        <v/>
      </c>
      <c r="I29" s="136"/>
      <c r="J29" s="136"/>
      <c r="K29" s="103"/>
      <c r="L29" s="106" t="str">
        <f>IF(OR(ISBLANK(Term2_Day_2[[#This Row],[Start]]),ISBLANK(Term2_Day_2[[#This Row],[End]])),"",(Term2_Day_2[[#This Row],[End]]-Term2_Day_2[[#This Row],[Start]])*1440)</f>
        <v/>
      </c>
      <c r="M29" s="106" t="str">
        <f>IF(ISBLANK(Term2_Day_2[[#This Row],[Activity]]),"",IF(_xlfn.XLOOKUP(Term2_Day_2[[#This Row],[Activity]],Types_of_Activity[Type of Activity],Types_of_Activity[Classification])=1,Term2_Day_2[[#This Row],[Elapsed]],0))</f>
        <v/>
      </c>
      <c r="N29" s="106" t="str">
        <f>IF(ISBLANK(Term2_Day_2[[#This Row],[Activity]]),"",IF(_xlfn.XLOOKUP(Term2_Day_2[[#This Row],[Activity]],Types_of_Activity[Type of Activity],Types_of_Activity[Classification])=2,Term2_Day_2[[#This Row],[Elapsed]],0))</f>
        <v/>
      </c>
      <c r="P29" s="136"/>
      <c r="Q29" s="136"/>
      <c r="R29" s="103"/>
      <c r="S29" s="106" t="str">
        <f>IF(OR(ISBLANK(Term2_Day_3[[#This Row],[Start]]),ISBLANK(Term2_Day_3[[#This Row],[End]])),"",(Term2_Day_3[[#This Row],[End]]-Term2_Day_3[[#This Row],[Start]])*1440)</f>
        <v/>
      </c>
      <c r="T29" s="106" t="str">
        <f>IF(ISBLANK(Term2_Day_3[[#This Row],[Activity]]),"",IF(_xlfn.XLOOKUP(Term2_Day_3[[#This Row],[Activity]],Types_of_Activity[Type of Activity],Types_of_Activity[Classification])=1,Term2_Day_3[[#This Row],[Elapsed]],0))</f>
        <v/>
      </c>
      <c r="U29" s="106" t="str">
        <f>IF(ISBLANK(Term2_Day_3[[#This Row],[Activity]]),"",IF(_xlfn.XLOOKUP(Term2_Day_3[[#This Row],[Activity]],Types_of_Activity[Type of Activity],Types_of_Activity[Classification])=2,Term2_Day_3[[#This Row],[Elapsed]],0))</f>
        <v/>
      </c>
      <c r="W29" s="136"/>
      <c r="X29" s="136"/>
      <c r="Y29" s="103"/>
      <c r="Z29" s="106" t="str">
        <f>IF(OR(ISBLANK(Term2_Day_4[[#This Row],[Start]]),ISBLANK(Term2_Day_4[[#This Row],[End]])),"",(Term2_Day_4[[#This Row],[End]]-Term2_Day_4[[#This Row],[Start]])*1440)</f>
        <v/>
      </c>
      <c r="AA29" s="106" t="str">
        <f>IF(ISBLANK(Term2_Day_4[[#This Row],[Activity]]),"",IF(_xlfn.XLOOKUP(Term2_Day_4[[#This Row],[Activity]],Types_of_Activity[Type of Activity],Types_of_Activity[Classification])=1,Term2_Day_4[[#This Row],[Elapsed]],0))</f>
        <v/>
      </c>
      <c r="AB29" s="106" t="str">
        <f>IF(ISBLANK(Term2_Day_4[[#This Row],[Activity]]),"",IF(_xlfn.XLOOKUP(Term2_Day_4[[#This Row],[Activity]],Types_of_Activity[Type of Activity],Types_of_Activity[Classification])=2,Term2_Day_4[[#This Row],[Elapsed]],0))</f>
        <v/>
      </c>
      <c r="AD29" s="136"/>
      <c r="AE29" s="136"/>
      <c r="AF29" s="103"/>
      <c r="AG29" s="106" t="str">
        <f>IF(OR(ISBLANK(Term2_Day_5[[#This Row],[Start]]),ISBLANK(Term2_Day_5[[#This Row],[End]])),"",(Term2_Day_5[[#This Row],[End]]-Term2_Day_5[[#This Row],[Start]])*1440)</f>
        <v/>
      </c>
      <c r="AH29" s="106" t="str">
        <f>IF(ISBLANK(Term2_Day_5[[#This Row],[Activity]]),"",IF(_xlfn.XLOOKUP(Term2_Day_5[[#This Row],[Activity]],Types_of_Activity[Type of Activity],Types_of_Activity[Classification])=1,Term2_Day_5[[#This Row],[Elapsed]],0))</f>
        <v/>
      </c>
      <c r="AI29" s="106" t="str">
        <f>IF(ISBLANK(Term2_Day_5[[#This Row],[Activity]]),"",IF(_xlfn.XLOOKUP(Term2_Day_5[[#This Row],[Activity]],Types_of_Activity[Type of Activity],Types_of_Activity[Classification])=2,Term2_Day_5[[#This Row],[Elapsed]],0))</f>
        <v/>
      </c>
      <c r="AJ29" s="107"/>
      <c r="AK29" s="136"/>
      <c r="AL29" s="136"/>
      <c r="AM29" s="103"/>
      <c r="AN29" s="106" t="str">
        <f>IF(OR(ISBLANK(Term2_Day_6[[#This Row],[Start]]),ISBLANK(Term2_Day_6[[#This Row],[End]])),"",(Term2_Day_6[[#This Row],[End]]-Term2_Day_6[[#This Row],[Start]])*1440)</f>
        <v/>
      </c>
      <c r="AO29" s="106" t="str">
        <f>IF(ISBLANK(Term2_Day_6[[#This Row],[Activity]]),"",IF(_xlfn.XLOOKUP(Term2_Day_6[[#This Row],[Activity]],Types_of_Activity[Type of Activity],Types_of_Activity[Classification])=1,Term2_Day_6[[#This Row],[Elapsed]],0))</f>
        <v/>
      </c>
      <c r="AP29" s="106" t="str">
        <f>IF(ISBLANK(Term2_Day_6[[#This Row],[Activity]]),"",IF(_xlfn.XLOOKUP(Term2_Day_6[[#This Row],[Activity]],Types_of_Activity[Type of Activity],Types_of_Activity[Classification])=2,Term2_Day_6[[#This Row],[Elapsed]],0))</f>
        <v/>
      </c>
      <c r="AQ29" s="107"/>
      <c r="AR29" s="136"/>
      <c r="AS29" s="136"/>
      <c r="AT29" s="103"/>
      <c r="AU29" s="106" t="str">
        <f>IF(OR(ISBLANK(Term2_Day_7[[#This Row],[Start]]),ISBLANK(Term2_Day_7[[#This Row],[End]])),"",(Term2_Day_7[[#This Row],[End]]-Term2_Day_7[[#This Row],[Start]])*1440)</f>
        <v/>
      </c>
      <c r="AV29" s="106" t="str">
        <f>IF(ISBLANK(Term2_Day_7[[#This Row],[Activity]]),"",IF(_xlfn.XLOOKUP(Term2_Day_7[[#This Row],[Activity]],Types_of_Activity[Type of Activity],Types_of_Activity[Classification])=1,Term2_Day_7[[#This Row],[Elapsed]],0))</f>
        <v/>
      </c>
      <c r="AW29" s="106" t="str">
        <f>IF(ISBLANK(Term2_Day_7[[#This Row],[Activity]]),"",IF(_xlfn.XLOOKUP(Term2_Day_7[[#This Row],[Activity]],Types_of_Activity[Type of Activity],Types_of_Activity[Classification])=2,Term2_Day_7[[#This Row],[Elapsed]],0))</f>
        <v/>
      </c>
      <c r="AX29" s="107"/>
      <c r="AY29" s="136"/>
      <c r="AZ29" s="136"/>
      <c r="BA29" s="103"/>
      <c r="BB29" s="106" t="str">
        <f>IF(OR(ISBLANK(Term2_Day_8[[#This Row],[Start]]),ISBLANK(Term2_Day_8[[#This Row],[End]])),"",(Term2_Day_8[[#This Row],[End]]-Term2_Day_8[[#This Row],[Start]])*1440)</f>
        <v/>
      </c>
      <c r="BC29" s="106" t="str">
        <f>IF(ISBLANK(Term2_Day_8[[#This Row],[Activity]]),"",IF(_xlfn.XLOOKUP(Term2_Day_8[[#This Row],[Activity]],Types_of_Activity[Type of Activity],Types_of_Activity[Classification])=1,Term2_Day_8[[#This Row],[Elapsed]],0))</f>
        <v/>
      </c>
      <c r="BD29" s="106" t="str">
        <f>IF(ISBLANK(Term2_Day_8[[#This Row],[Activity]]),"",IF(_xlfn.XLOOKUP(Term2_Day_8[[#This Row],[Activity]],Types_of_Activity[Type of Activity],Types_of_Activity[Classification])=2,Term2_Day_8[[#This Row],[Elapsed]],0))</f>
        <v/>
      </c>
      <c r="BE29" s="107"/>
      <c r="BF29" s="136"/>
      <c r="BG29" s="136"/>
      <c r="BH29" s="103"/>
      <c r="BI29" s="106" t="str">
        <f>IF(OR(ISBLANK(Term2_Day_9[[#This Row],[Start]]),ISBLANK(Term2_Day_9[[#This Row],[End]])),"",(Term2_Day_9[[#This Row],[End]]-Term2_Day_9[[#This Row],[Start]])*1440)</f>
        <v/>
      </c>
      <c r="BJ29" s="106" t="str">
        <f>IF(ISBLANK(Term2_Day_9[[#This Row],[Activity]]),"",IF(_xlfn.XLOOKUP(Term2_Day_9[[#This Row],[Activity]],Types_of_Activity[Type of Activity],Types_of_Activity[Classification])=1,Term2_Day_9[[#This Row],[Elapsed]],0))</f>
        <v/>
      </c>
      <c r="BK29" s="106" t="str">
        <f>IF(ISBLANK(Term2_Day_9[[#This Row],[Activity]]),"",IF(_xlfn.XLOOKUP(Term2_Day_9[[#This Row],[Activity]],Types_of_Activity[Type of Activity],Types_of_Activity[Classification])=2,Term2_Day_9[[#This Row],[Elapsed]],0))</f>
        <v/>
      </c>
      <c r="BL29" s="107"/>
      <c r="BM29" s="136"/>
      <c r="BN29" s="136"/>
      <c r="BO29" s="103"/>
      <c r="BP29" s="106" t="str">
        <f>IF(OR(ISBLANK(Term2_Day_10[[#This Row],[Start]]),ISBLANK(Term2_Day_10[[#This Row],[End]])),"",(Term2_Day_10[[#This Row],[End]]-Term2_Day_10[[#This Row],[Start]])*1440)</f>
        <v/>
      </c>
      <c r="BQ29" s="106" t="str">
        <f>IF(ISBLANK(Term2_Day_10[[#This Row],[Activity]]),"",IF(_xlfn.XLOOKUP(Term2_Day_10[[#This Row],[Activity]],Types_of_Activity[Type of Activity],Types_of_Activity[Classification])=1,Term2_Day_10[[#This Row],[Elapsed]],0))</f>
        <v/>
      </c>
      <c r="BR29" s="106" t="str">
        <f>IF(ISBLANK(Term2_Day_10[[#This Row],[Activity]]),"",IF(_xlfn.XLOOKUP(Term2_Day_10[[#This Row],[Activity]],Types_of_Activity[Type of Activity],Types_of_Activity[Classification])=2,Term2_Day_10[[#This Row],[Elapsed]],0))</f>
        <v/>
      </c>
      <c r="BS29" s="107"/>
    </row>
    <row r="30" spans="2:71" x14ac:dyDescent="0.3">
      <c r="B30" s="136"/>
      <c r="C30" s="136"/>
      <c r="D30" s="103"/>
      <c r="E30" s="106" t="str">
        <f>IF(OR(ISBLANK(Term2_Day_1[[#This Row],[Start]]),ISBLANK(Term2_Day_1[[#This Row],[End]])),"",(Term2_Day_1[[#This Row],[End]]-Term2_Day_1[[#This Row],[Start]])*1440)</f>
        <v/>
      </c>
      <c r="F30" s="106" t="str">
        <f>IF(ISBLANK(Term2_Day_1[[#This Row],[Activity]]),"",IF(_xlfn.XLOOKUP(Term2_Day_1[[#This Row],[Activity]],Types_of_Activity[Type of Activity],Types_of_Activity[Classification])=1,Term2_Day_1[[#This Row],[Elapsed]],0))</f>
        <v/>
      </c>
      <c r="G30" s="106" t="str">
        <f>IF(ISBLANK(Term2_Day_1[[#This Row],[Activity]]),"",IF(_xlfn.XLOOKUP(Term2_Day_1[[#This Row],[Activity]],Types_of_Activity[Type of Activity],Types_of_Activity[Classification])=2,Term2_Day_1[[#This Row],[Elapsed]],0))</f>
        <v/>
      </c>
      <c r="I30" s="136"/>
      <c r="J30" s="136"/>
      <c r="K30" s="103"/>
      <c r="L30" s="106" t="str">
        <f>IF(OR(ISBLANK(Term2_Day_2[[#This Row],[Start]]),ISBLANK(Term2_Day_2[[#This Row],[End]])),"",(Term2_Day_2[[#This Row],[End]]-Term2_Day_2[[#This Row],[Start]])*1440)</f>
        <v/>
      </c>
      <c r="M30" s="106" t="str">
        <f>IF(ISBLANK(Term2_Day_2[[#This Row],[Activity]]),"",IF(_xlfn.XLOOKUP(Term2_Day_2[[#This Row],[Activity]],Types_of_Activity[Type of Activity],Types_of_Activity[Classification])=1,Term2_Day_2[[#This Row],[Elapsed]],0))</f>
        <v/>
      </c>
      <c r="N30" s="106" t="str">
        <f>IF(ISBLANK(Term2_Day_2[[#This Row],[Activity]]),"",IF(_xlfn.XLOOKUP(Term2_Day_2[[#This Row],[Activity]],Types_of_Activity[Type of Activity],Types_of_Activity[Classification])=2,Term2_Day_2[[#This Row],[Elapsed]],0))</f>
        <v/>
      </c>
      <c r="P30" s="136"/>
      <c r="Q30" s="136"/>
      <c r="R30" s="103"/>
      <c r="S30" s="106" t="str">
        <f>IF(OR(ISBLANK(Term2_Day_3[[#This Row],[Start]]),ISBLANK(Term2_Day_3[[#This Row],[End]])),"",(Term2_Day_3[[#This Row],[End]]-Term2_Day_3[[#This Row],[Start]])*1440)</f>
        <v/>
      </c>
      <c r="T30" s="106" t="str">
        <f>IF(ISBLANK(Term2_Day_3[[#This Row],[Activity]]),"",IF(_xlfn.XLOOKUP(Term2_Day_3[[#This Row],[Activity]],Types_of_Activity[Type of Activity],Types_of_Activity[Classification])=1,Term2_Day_3[[#This Row],[Elapsed]],0))</f>
        <v/>
      </c>
      <c r="U30" s="106" t="str">
        <f>IF(ISBLANK(Term2_Day_3[[#This Row],[Activity]]),"",IF(_xlfn.XLOOKUP(Term2_Day_3[[#This Row],[Activity]],Types_of_Activity[Type of Activity],Types_of_Activity[Classification])=2,Term2_Day_3[[#This Row],[Elapsed]],0))</f>
        <v/>
      </c>
      <c r="W30" s="136"/>
      <c r="X30" s="136"/>
      <c r="Y30" s="103"/>
      <c r="Z30" s="106" t="str">
        <f>IF(OR(ISBLANK(Term2_Day_4[[#This Row],[Start]]),ISBLANK(Term2_Day_4[[#This Row],[End]])),"",(Term2_Day_4[[#This Row],[End]]-Term2_Day_4[[#This Row],[Start]])*1440)</f>
        <v/>
      </c>
      <c r="AA30" s="106" t="str">
        <f>IF(ISBLANK(Term2_Day_4[[#This Row],[Activity]]),"",IF(_xlfn.XLOOKUP(Term2_Day_4[[#This Row],[Activity]],Types_of_Activity[Type of Activity],Types_of_Activity[Classification])=1,Term2_Day_4[[#This Row],[Elapsed]],0))</f>
        <v/>
      </c>
      <c r="AB30" s="106" t="str">
        <f>IF(ISBLANK(Term2_Day_4[[#This Row],[Activity]]),"",IF(_xlfn.XLOOKUP(Term2_Day_4[[#This Row],[Activity]],Types_of_Activity[Type of Activity],Types_of_Activity[Classification])=2,Term2_Day_4[[#This Row],[Elapsed]],0))</f>
        <v/>
      </c>
      <c r="AD30" s="136"/>
      <c r="AE30" s="136"/>
      <c r="AF30" s="103"/>
      <c r="AG30" s="106" t="str">
        <f>IF(OR(ISBLANK(Term2_Day_5[[#This Row],[Start]]),ISBLANK(Term2_Day_5[[#This Row],[End]])),"",(Term2_Day_5[[#This Row],[End]]-Term2_Day_5[[#This Row],[Start]])*1440)</f>
        <v/>
      </c>
      <c r="AH30" s="106" t="str">
        <f>IF(ISBLANK(Term2_Day_5[[#This Row],[Activity]]),"",IF(_xlfn.XLOOKUP(Term2_Day_5[[#This Row],[Activity]],Types_of_Activity[Type of Activity],Types_of_Activity[Classification])=1,Term2_Day_5[[#This Row],[Elapsed]],0))</f>
        <v/>
      </c>
      <c r="AI30" s="106" t="str">
        <f>IF(ISBLANK(Term2_Day_5[[#This Row],[Activity]]),"",IF(_xlfn.XLOOKUP(Term2_Day_5[[#This Row],[Activity]],Types_of_Activity[Type of Activity],Types_of_Activity[Classification])=2,Term2_Day_5[[#This Row],[Elapsed]],0))</f>
        <v/>
      </c>
      <c r="AJ30" s="107"/>
      <c r="AK30" s="136"/>
      <c r="AL30" s="136"/>
      <c r="AM30" s="103"/>
      <c r="AN30" s="106" t="str">
        <f>IF(OR(ISBLANK(Term2_Day_6[[#This Row],[Start]]),ISBLANK(Term2_Day_6[[#This Row],[End]])),"",(Term2_Day_6[[#This Row],[End]]-Term2_Day_6[[#This Row],[Start]])*1440)</f>
        <v/>
      </c>
      <c r="AO30" s="106" t="str">
        <f>IF(ISBLANK(Term2_Day_6[[#This Row],[Activity]]),"",IF(_xlfn.XLOOKUP(Term2_Day_6[[#This Row],[Activity]],Types_of_Activity[Type of Activity],Types_of_Activity[Classification])=1,Term2_Day_6[[#This Row],[Elapsed]],0))</f>
        <v/>
      </c>
      <c r="AP30" s="106" t="str">
        <f>IF(ISBLANK(Term2_Day_6[[#This Row],[Activity]]),"",IF(_xlfn.XLOOKUP(Term2_Day_6[[#This Row],[Activity]],Types_of_Activity[Type of Activity],Types_of_Activity[Classification])=2,Term2_Day_6[[#This Row],[Elapsed]],0))</f>
        <v/>
      </c>
      <c r="AQ30" s="107"/>
      <c r="AR30" s="136"/>
      <c r="AS30" s="136"/>
      <c r="AT30" s="103"/>
      <c r="AU30" s="106" t="str">
        <f>IF(OR(ISBLANK(Term2_Day_7[[#This Row],[Start]]),ISBLANK(Term2_Day_7[[#This Row],[End]])),"",(Term2_Day_7[[#This Row],[End]]-Term2_Day_7[[#This Row],[Start]])*1440)</f>
        <v/>
      </c>
      <c r="AV30" s="106" t="str">
        <f>IF(ISBLANK(Term2_Day_7[[#This Row],[Activity]]),"",IF(_xlfn.XLOOKUP(Term2_Day_7[[#This Row],[Activity]],Types_of_Activity[Type of Activity],Types_of_Activity[Classification])=1,Term2_Day_7[[#This Row],[Elapsed]],0))</f>
        <v/>
      </c>
      <c r="AW30" s="106" t="str">
        <f>IF(ISBLANK(Term2_Day_7[[#This Row],[Activity]]),"",IF(_xlfn.XLOOKUP(Term2_Day_7[[#This Row],[Activity]],Types_of_Activity[Type of Activity],Types_of_Activity[Classification])=2,Term2_Day_7[[#This Row],[Elapsed]],0))</f>
        <v/>
      </c>
      <c r="AX30" s="107"/>
      <c r="AY30" s="136"/>
      <c r="AZ30" s="136"/>
      <c r="BA30" s="103"/>
      <c r="BB30" s="106" t="str">
        <f>IF(OR(ISBLANK(Term2_Day_8[[#This Row],[Start]]),ISBLANK(Term2_Day_8[[#This Row],[End]])),"",(Term2_Day_8[[#This Row],[End]]-Term2_Day_8[[#This Row],[Start]])*1440)</f>
        <v/>
      </c>
      <c r="BC30" s="106" t="str">
        <f>IF(ISBLANK(Term2_Day_8[[#This Row],[Activity]]),"",IF(_xlfn.XLOOKUP(Term2_Day_8[[#This Row],[Activity]],Types_of_Activity[Type of Activity],Types_of_Activity[Classification])=1,Term2_Day_8[[#This Row],[Elapsed]],0))</f>
        <v/>
      </c>
      <c r="BD30" s="106" t="str">
        <f>IF(ISBLANK(Term2_Day_8[[#This Row],[Activity]]),"",IF(_xlfn.XLOOKUP(Term2_Day_8[[#This Row],[Activity]],Types_of_Activity[Type of Activity],Types_of_Activity[Classification])=2,Term2_Day_8[[#This Row],[Elapsed]],0))</f>
        <v/>
      </c>
      <c r="BE30" s="107"/>
      <c r="BF30" s="136"/>
      <c r="BG30" s="136"/>
      <c r="BH30" s="103"/>
      <c r="BI30" s="106" t="str">
        <f>IF(OR(ISBLANK(Term2_Day_9[[#This Row],[Start]]),ISBLANK(Term2_Day_9[[#This Row],[End]])),"",(Term2_Day_9[[#This Row],[End]]-Term2_Day_9[[#This Row],[Start]])*1440)</f>
        <v/>
      </c>
      <c r="BJ30" s="106" t="str">
        <f>IF(ISBLANK(Term2_Day_9[[#This Row],[Activity]]),"",IF(_xlfn.XLOOKUP(Term2_Day_9[[#This Row],[Activity]],Types_of_Activity[Type of Activity],Types_of_Activity[Classification])=1,Term2_Day_9[[#This Row],[Elapsed]],0))</f>
        <v/>
      </c>
      <c r="BK30" s="106" t="str">
        <f>IF(ISBLANK(Term2_Day_9[[#This Row],[Activity]]),"",IF(_xlfn.XLOOKUP(Term2_Day_9[[#This Row],[Activity]],Types_of_Activity[Type of Activity],Types_of_Activity[Classification])=2,Term2_Day_9[[#This Row],[Elapsed]],0))</f>
        <v/>
      </c>
      <c r="BL30" s="107"/>
      <c r="BM30" s="136"/>
      <c r="BN30" s="136"/>
      <c r="BO30" s="103"/>
      <c r="BP30" s="106" t="str">
        <f>IF(OR(ISBLANK(Term2_Day_10[[#This Row],[Start]]),ISBLANK(Term2_Day_10[[#This Row],[End]])),"",(Term2_Day_10[[#This Row],[End]]-Term2_Day_10[[#This Row],[Start]])*1440)</f>
        <v/>
      </c>
      <c r="BQ30" s="106" t="str">
        <f>IF(ISBLANK(Term2_Day_10[[#This Row],[Activity]]),"",IF(_xlfn.XLOOKUP(Term2_Day_10[[#This Row],[Activity]],Types_of_Activity[Type of Activity],Types_of_Activity[Classification])=1,Term2_Day_10[[#This Row],[Elapsed]],0))</f>
        <v/>
      </c>
      <c r="BR30" s="106" t="str">
        <f>IF(ISBLANK(Term2_Day_10[[#This Row],[Activity]]),"",IF(_xlfn.XLOOKUP(Term2_Day_10[[#This Row],[Activity]],Types_of_Activity[Type of Activity],Types_of_Activity[Classification])=2,Term2_Day_10[[#This Row],[Elapsed]],0))</f>
        <v/>
      </c>
      <c r="BS30" s="107"/>
    </row>
    <row r="31" spans="2:71" x14ac:dyDescent="0.3">
      <c r="B31" s="136"/>
      <c r="C31" s="136"/>
      <c r="D31" s="103"/>
      <c r="E31" s="106" t="str">
        <f>IF(OR(ISBLANK(Term2_Day_1[[#This Row],[Start]]),ISBLANK(Term2_Day_1[[#This Row],[End]])),"",(Term2_Day_1[[#This Row],[End]]-Term2_Day_1[[#This Row],[Start]])*1440)</f>
        <v/>
      </c>
      <c r="F31" s="106" t="str">
        <f>IF(ISBLANK(Term2_Day_1[[#This Row],[Activity]]),"",IF(_xlfn.XLOOKUP(Term2_Day_1[[#This Row],[Activity]],Types_of_Activity[Type of Activity],Types_of_Activity[Classification])=1,Term2_Day_1[[#This Row],[Elapsed]],0))</f>
        <v/>
      </c>
      <c r="G31" s="106" t="str">
        <f>IF(ISBLANK(Term2_Day_1[[#This Row],[Activity]]),"",IF(_xlfn.XLOOKUP(Term2_Day_1[[#This Row],[Activity]],Types_of_Activity[Type of Activity],Types_of_Activity[Classification])=2,Term2_Day_1[[#This Row],[Elapsed]],0))</f>
        <v/>
      </c>
      <c r="I31" s="136"/>
      <c r="J31" s="136"/>
      <c r="K31" s="103"/>
      <c r="L31" s="106" t="str">
        <f>IF(OR(ISBLANK(Term2_Day_2[[#This Row],[Start]]),ISBLANK(Term2_Day_2[[#This Row],[End]])),"",(Term2_Day_2[[#This Row],[End]]-Term2_Day_2[[#This Row],[Start]])*1440)</f>
        <v/>
      </c>
      <c r="M31" s="106" t="str">
        <f>IF(ISBLANK(Term2_Day_2[[#This Row],[Activity]]),"",IF(_xlfn.XLOOKUP(Term2_Day_2[[#This Row],[Activity]],Types_of_Activity[Type of Activity],Types_of_Activity[Classification])=1,Term2_Day_2[[#This Row],[Elapsed]],0))</f>
        <v/>
      </c>
      <c r="N31" s="106" t="str">
        <f>IF(ISBLANK(Term2_Day_2[[#This Row],[Activity]]),"",IF(_xlfn.XLOOKUP(Term2_Day_2[[#This Row],[Activity]],Types_of_Activity[Type of Activity],Types_of_Activity[Classification])=2,Term2_Day_2[[#This Row],[Elapsed]],0))</f>
        <v/>
      </c>
      <c r="P31" s="136"/>
      <c r="Q31" s="136"/>
      <c r="R31" s="103"/>
      <c r="S31" s="106" t="str">
        <f>IF(OR(ISBLANK(Term2_Day_3[[#This Row],[Start]]),ISBLANK(Term2_Day_3[[#This Row],[End]])),"",(Term2_Day_3[[#This Row],[End]]-Term2_Day_3[[#This Row],[Start]])*1440)</f>
        <v/>
      </c>
      <c r="T31" s="106" t="str">
        <f>IF(ISBLANK(Term2_Day_3[[#This Row],[Activity]]),"",IF(_xlfn.XLOOKUP(Term2_Day_3[[#This Row],[Activity]],Types_of_Activity[Type of Activity],Types_of_Activity[Classification])=1,Term2_Day_3[[#This Row],[Elapsed]],0))</f>
        <v/>
      </c>
      <c r="U31" s="106" t="str">
        <f>IF(ISBLANK(Term2_Day_3[[#This Row],[Activity]]),"",IF(_xlfn.XLOOKUP(Term2_Day_3[[#This Row],[Activity]],Types_of_Activity[Type of Activity],Types_of_Activity[Classification])=2,Term2_Day_3[[#This Row],[Elapsed]],0))</f>
        <v/>
      </c>
      <c r="W31" s="136"/>
      <c r="X31" s="136"/>
      <c r="Y31" s="103"/>
      <c r="Z31" s="106" t="str">
        <f>IF(OR(ISBLANK(Term2_Day_4[[#This Row],[Start]]),ISBLANK(Term2_Day_4[[#This Row],[End]])),"",(Term2_Day_4[[#This Row],[End]]-Term2_Day_4[[#This Row],[Start]])*1440)</f>
        <v/>
      </c>
      <c r="AA31" s="106" t="str">
        <f>IF(ISBLANK(Term2_Day_4[[#This Row],[Activity]]),"",IF(_xlfn.XLOOKUP(Term2_Day_4[[#This Row],[Activity]],Types_of_Activity[Type of Activity],Types_of_Activity[Classification])=1,Term2_Day_4[[#This Row],[Elapsed]],0))</f>
        <v/>
      </c>
      <c r="AB31" s="106" t="str">
        <f>IF(ISBLANK(Term2_Day_4[[#This Row],[Activity]]),"",IF(_xlfn.XLOOKUP(Term2_Day_4[[#This Row],[Activity]],Types_of_Activity[Type of Activity],Types_of_Activity[Classification])=2,Term2_Day_4[[#This Row],[Elapsed]],0))</f>
        <v/>
      </c>
      <c r="AD31" s="136"/>
      <c r="AE31" s="136"/>
      <c r="AF31" s="103"/>
      <c r="AG31" s="106" t="str">
        <f>IF(OR(ISBLANK(Term2_Day_5[[#This Row],[Start]]),ISBLANK(Term2_Day_5[[#This Row],[End]])),"",(Term2_Day_5[[#This Row],[End]]-Term2_Day_5[[#This Row],[Start]])*1440)</f>
        <v/>
      </c>
      <c r="AH31" s="106" t="str">
        <f>IF(ISBLANK(Term2_Day_5[[#This Row],[Activity]]),"",IF(_xlfn.XLOOKUP(Term2_Day_5[[#This Row],[Activity]],Types_of_Activity[Type of Activity],Types_of_Activity[Classification])=1,Term2_Day_5[[#This Row],[Elapsed]],0))</f>
        <v/>
      </c>
      <c r="AI31" s="106" t="str">
        <f>IF(ISBLANK(Term2_Day_5[[#This Row],[Activity]]),"",IF(_xlfn.XLOOKUP(Term2_Day_5[[#This Row],[Activity]],Types_of_Activity[Type of Activity],Types_of_Activity[Classification])=2,Term2_Day_5[[#This Row],[Elapsed]],0))</f>
        <v/>
      </c>
      <c r="AJ31" s="107"/>
      <c r="AK31" s="136"/>
      <c r="AL31" s="136"/>
      <c r="AM31" s="103"/>
      <c r="AN31" s="106" t="str">
        <f>IF(OR(ISBLANK(Term2_Day_6[[#This Row],[Start]]),ISBLANK(Term2_Day_6[[#This Row],[End]])),"",(Term2_Day_6[[#This Row],[End]]-Term2_Day_6[[#This Row],[Start]])*1440)</f>
        <v/>
      </c>
      <c r="AO31" s="106" t="str">
        <f>IF(ISBLANK(Term2_Day_6[[#This Row],[Activity]]),"",IF(_xlfn.XLOOKUP(Term2_Day_6[[#This Row],[Activity]],Types_of_Activity[Type of Activity],Types_of_Activity[Classification])=1,Term2_Day_6[[#This Row],[Elapsed]],0))</f>
        <v/>
      </c>
      <c r="AP31" s="106" t="str">
        <f>IF(ISBLANK(Term2_Day_6[[#This Row],[Activity]]),"",IF(_xlfn.XLOOKUP(Term2_Day_6[[#This Row],[Activity]],Types_of_Activity[Type of Activity],Types_of_Activity[Classification])=2,Term2_Day_6[[#This Row],[Elapsed]],0))</f>
        <v/>
      </c>
      <c r="AQ31" s="107"/>
      <c r="AR31" s="136"/>
      <c r="AS31" s="136"/>
      <c r="AT31" s="103"/>
      <c r="AU31" s="106" t="str">
        <f>IF(OR(ISBLANK(Term2_Day_7[[#This Row],[Start]]),ISBLANK(Term2_Day_7[[#This Row],[End]])),"",(Term2_Day_7[[#This Row],[End]]-Term2_Day_7[[#This Row],[Start]])*1440)</f>
        <v/>
      </c>
      <c r="AV31" s="106" t="str">
        <f>IF(ISBLANK(Term2_Day_7[[#This Row],[Activity]]),"",IF(_xlfn.XLOOKUP(Term2_Day_7[[#This Row],[Activity]],Types_of_Activity[Type of Activity],Types_of_Activity[Classification])=1,Term2_Day_7[[#This Row],[Elapsed]],0))</f>
        <v/>
      </c>
      <c r="AW31" s="106" t="str">
        <f>IF(ISBLANK(Term2_Day_7[[#This Row],[Activity]]),"",IF(_xlfn.XLOOKUP(Term2_Day_7[[#This Row],[Activity]],Types_of_Activity[Type of Activity],Types_of_Activity[Classification])=2,Term2_Day_7[[#This Row],[Elapsed]],0))</f>
        <v/>
      </c>
      <c r="AX31" s="107"/>
      <c r="AY31" s="136"/>
      <c r="AZ31" s="136"/>
      <c r="BA31" s="103"/>
      <c r="BB31" s="106" t="str">
        <f>IF(OR(ISBLANK(Term2_Day_8[[#This Row],[Start]]),ISBLANK(Term2_Day_8[[#This Row],[End]])),"",(Term2_Day_8[[#This Row],[End]]-Term2_Day_8[[#This Row],[Start]])*1440)</f>
        <v/>
      </c>
      <c r="BC31" s="106" t="str">
        <f>IF(ISBLANK(Term2_Day_8[[#This Row],[Activity]]),"",IF(_xlfn.XLOOKUP(Term2_Day_8[[#This Row],[Activity]],Types_of_Activity[Type of Activity],Types_of_Activity[Classification])=1,Term2_Day_8[[#This Row],[Elapsed]],0))</f>
        <v/>
      </c>
      <c r="BD31" s="106" t="str">
        <f>IF(ISBLANK(Term2_Day_8[[#This Row],[Activity]]),"",IF(_xlfn.XLOOKUP(Term2_Day_8[[#This Row],[Activity]],Types_of_Activity[Type of Activity],Types_of_Activity[Classification])=2,Term2_Day_8[[#This Row],[Elapsed]],0))</f>
        <v/>
      </c>
      <c r="BE31" s="107"/>
      <c r="BF31" s="136"/>
      <c r="BG31" s="136"/>
      <c r="BH31" s="103"/>
      <c r="BI31" s="106" t="str">
        <f>IF(OR(ISBLANK(Term2_Day_9[[#This Row],[Start]]),ISBLANK(Term2_Day_9[[#This Row],[End]])),"",(Term2_Day_9[[#This Row],[End]]-Term2_Day_9[[#This Row],[Start]])*1440)</f>
        <v/>
      </c>
      <c r="BJ31" s="106" t="str">
        <f>IF(ISBLANK(Term2_Day_9[[#This Row],[Activity]]),"",IF(_xlfn.XLOOKUP(Term2_Day_9[[#This Row],[Activity]],Types_of_Activity[Type of Activity],Types_of_Activity[Classification])=1,Term2_Day_9[[#This Row],[Elapsed]],0))</f>
        <v/>
      </c>
      <c r="BK31" s="106" t="str">
        <f>IF(ISBLANK(Term2_Day_9[[#This Row],[Activity]]),"",IF(_xlfn.XLOOKUP(Term2_Day_9[[#This Row],[Activity]],Types_of_Activity[Type of Activity],Types_of_Activity[Classification])=2,Term2_Day_9[[#This Row],[Elapsed]],0))</f>
        <v/>
      </c>
      <c r="BL31" s="107"/>
      <c r="BM31" s="136"/>
      <c r="BN31" s="136"/>
      <c r="BO31" s="103"/>
      <c r="BP31" s="106" t="str">
        <f>IF(OR(ISBLANK(Term2_Day_10[[#This Row],[Start]]),ISBLANK(Term2_Day_10[[#This Row],[End]])),"",(Term2_Day_10[[#This Row],[End]]-Term2_Day_10[[#This Row],[Start]])*1440)</f>
        <v/>
      </c>
      <c r="BQ31" s="106" t="str">
        <f>IF(ISBLANK(Term2_Day_10[[#This Row],[Activity]]),"",IF(_xlfn.XLOOKUP(Term2_Day_10[[#This Row],[Activity]],Types_of_Activity[Type of Activity],Types_of_Activity[Classification])=1,Term2_Day_10[[#This Row],[Elapsed]],0))</f>
        <v/>
      </c>
      <c r="BR31" s="106" t="str">
        <f>IF(ISBLANK(Term2_Day_10[[#This Row],[Activity]]),"",IF(_xlfn.XLOOKUP(Term2_Day_10[[#This Row],[Activity]],Types_of_Activity[Type of Activity],Types_of_Activity[Classification])=2,Term2_Day_10[[#This Row],[Elapsed]],0))</f>
        <v/>
      </c>
      <c r="BS31" s="107"/>
    </row>
    <row r="32" spans="2:71" x14ac:dyDescent="0.3">
      <c r="B32" s="136"/>
      <c r="C32" s="136"/>
      <c r="D32" s="103"/>
      <c r="E32" s="106" t="str">
        <f>IF(OR(ISBLANK(Term2_Day_1[[#This Row],[Start]]),ISBLANK(Term2_Day_1[[#This Row],[End]])),"",(Term2_Day_1[[#This Row],[End]]-Term2_Day_1[[#This Row],[Start]])*1440)</f>
        <v/>
      </c>
      <c r="F32" s="106" t="str">
        <f>IF(ISBLANK(Term2_Day_1[[#This Row],[Activity]]),"",IF(_xlfn.XLOOKUP(Term2_Day_1[[#This Row],[Activity]],Types_of_Activity[Type of Activity],Types_of_Activity[Classification])=1,Term2_Day_1[[#This Row],[Elapsed]],0))</f>
        <v/>
      </c>
      <c r="G32" s="106" t="str">
        <f>IF(ISBLANK(Term2_Day_1[[#This Row],[Activity]]),"",IF(_xlfn.XLOOKUP(Term2_Day_1[[#This Row],[Activity]],Types_of_Activity[Type of Activity],Types_of_Activity[Classification])=2,Term2_Day_1[[#This Row],[Elapsed]],0))</f>
        <v/>
      </c>
      <c r="I32" s="136"/>
      <c r="J32" s="136"/>
      <c r="K32" s="103"/>
      <c r="L32" s="106" t="str">
        <f>IF(OR(ISBLANK(Term2_Day_2[[#This Row],[Start]]),ISBLANK(Term2_Day_2[[#This Row],[End]])),"",(Term2_Day_2[[#This Row],[End]]-Term2_Day_2[[#This Row],[Start]])*1440)</f>
        <v/>
      </c>
      <c r="M32" s="106" t="str">
        <f>IF(ISBLANK(Term2_Day_2[[#This Row],[Activity]]),"",IF(_xlfn.XLOOKUP(Term2_Day_2[[#This Row],[Activity]],Types_of_Activity[Type of Activity],Types_of_Activity[Classification])=1,Term2_Day_2[[#This Row],[Elapsed]],0))</f>
        <v/>
      </c>
      <c r="N32" s="106" t="str">
        <f>IF(ISBLANK(Term2_Day_2[[#This Row],[Activity]]),"",IF(_xlfn.XLOOKUP(Term2_Day_2[[#This Row],[Activity]],Types_of_Activity[Type of Activity],Types_of_Activity[Classification])=2,Term2_Day_2[[#This Row],[Elapsed]],0))</f>
        <v/>
      </c>
      <c r="P32" s="136"/>
      <c r="Q32" s="136"/>
      <c r="R32" s="103"/>
      <c r="S32" s="106" t="str">
        <f>IF(OR(ISBLANK(Term2_Day_3[[#This Row],[Start]]),ISBLANK(Term2_Day_3[[#This Row],[End]])),"",(Term2_Day_3[[#This Row],[End]]-Term2_Day_3[[#This Row],[Start]])*1440)</f>
        <v/>
      </c>
      <c r="T32" s="106" t="str">
        <f>IF(ISBLANK(Term2_Day_3[[#This Row],[Activity]]),"",IF(_xlfn.XLOOKUP(Term2_Day_3[[#This Row],[Activity]],Types_of_Activity[Type of Activity],Types_of_Activity[Classification])=1,Term2_Day_3[[#This Row],[Elapsed]],0))</f>
        <v/>
      </c>
      <c r="U32" s="106" t="str">
        <f>IF(ISBLANK(Term2_Day_3[[#This Row],[Activity]]),"",IF(_xlfn.XLOOKUP(Term2_Day_3[[#This Row],[Activity]],Types_of_Activity[Type of Activity],Types_of_Activity[Classification])=2,Term2_Day_3[[#This Row],[Elapsed]],0))</f>
        <v/>
      </c>
      <c r="W32" s="136"/>
      <c r="X32" s="136"/>
      <c r="Y32" s="103"/>
      <c r="Z32" s="106" t="str">
        <f>IF(OR(ISBLANK(Term2_Day_4[[#This Row],[Start]]),ISBLANK(Term2_Day_4[[#This Row],[End]])),"",(Term2_Day_4[[#This Row],[End]]-Term2_Day_4[[#This Row],[Start]])*1440)</f>
        <v/>
      </c>
      <c r="AA32" s="106" t="str">
        <f>IF(ISBLANK(Term2_Day_4[[#This Row],[Activity]]),"",IF(_xlfn.XLOOKUP(Term2_Day_4[[#This Row],[Activity]],Types_of_Activity[Type of Activity],Types_of_Activity[Classification])=1,Term2_Day_4[[#This Row],[Elapsed]],0))</f>
        <v/>
      </c>
      <c r="AB32" s="106" t="str">
        <f>IF(ISBLANK(Term2_Day_4[[#This Row],[Activity]]),"",IF(_xlfn.XLOOKUP(Term2_Day_4[[#This Row],[Activity]],Types_of_Activity[Type of Activity],Types_of_Activity[Classification])=2,Term2_Day_4[[#This Row],[Elapsed]],0))</f>
        <v/>
      </c>
      <c r="AD32" s="136"/>
      <c r="AE32" s="136"/>
      <c r="AF32" s="103"/>
      <c r="AG32" s="106" t="str">
        <f>IF(OR(ISBLANK(Term2_Day_5[[#This Row],[Start]]),ISBLANK(Term2_Day_5[[#This Row],[End]])),"",(Term2_Day_5[[#This Row],[End]]-Term2_Day_5[[#This Row],[Start]])*1440)</f>
        <v/>
      </c>
      <c r="AH32" s="106" t="str">
        <f>IF(ISBLANK(Term2_Day_5[[#This Row],[Activity]]),"",IF(_xlfn.XLOOKUP(Term2_Day_5[[#This Row],[Activity]],Types_of_Activity[Type of Activity],Types_of_Activity[Classification])=1,Term2_Day_5[[#This Row],[Elapsed]],0))</f>
        <v/>
      </c>
      <c r="AI32" s="106" t="str">
        <f>IF(ISBLANK(Term2_Day_5[[#This Row],[Activity]]),"",IF(_xlfn.XLOOKUP(Term2_Day_5[[#This Row],[Activity]],Types_of_Activity[Type of Activity],Types_of_Activity[Classification])=2,Term2_Day_5[[#This Row],[Elapsed]],0))</f>
        <v/>
      </c>
      <c r="AJ32" s="107"/>
      <c r="AK32" s="136"/>
      <c r="AL32" s="136"/>
      <c r="AM32" s="103"/>
      <c r="AN32" s="106" t="str">
        <f>IF(OR(ISBLANK(Term2_Day_6[[#This Row],[Start]]),ISBLANK(Term2_Day_6[[#This Row],[End]])),"",(Term2_Day_6[[#This Row],[End]]-Term2_Day_6[[#This Row],[Start]])*1440)</f>
        <v/>
      </c>
      <c r="AO32" s="106" t="str">
        <f>IF(ISBLANK(Term2_Day_6[[#This Row],[Activity]]),"",IF(_xlfn.XLOOKUP(Term2_Day_6[[#This Row],[Activity]],Types_of_Activity[Type of Activity],Types_of_Activity[Classification])=1,Term2_Day_6[[#This Row],[Elapsed]],0))</f>
        <v/>
      </c>
      <c r="AP32" s="106" t="str">
        <f>IF(ISBLANK(Term2_Day_6[[#This Row],[Activity]]),"",IF(_xlfn.XLOOKUP(Term2_Day_6[[#This Row],[Activity]],Types_of_Activity[Type of Activity],Types_of_Activity[Classification])=2,Term2_Day_6[[#This Row],[Elapsed]],0))</f>
        <v/>
      </c>
      <c r="AQ32" s="107"/>
      <c r="AR32" s="136"/>
      <c r="AS32" s="136"/>
      <c r="AT32" s="103"/>
      <c r="AU32" s="106" t="str">
        <f>IF(OR(ISBLANK(Term2_Day_7[[#This Row],[Start]]),ISBLANK(Term2_Day_7[[#This Row],[End]])),"",(Term2_Day_7[[#This Row],[End]]-Term2_Day_7[[#This Row],[Start]])*1440)</f>
        <v/>
      </c>
      <c r="AV32" s="106" t="str">
        <f>IF(ISBLANK(Term2_Day_7[[#This Row],[Activity]]),"",IF(_xlfn.XLOOKUP(Term2_Day_7[[#This Row],[Activity]],Types_of_Activity[Type of Activity],Types_of_Activity[Classification])=1,Term2_Day_7[[#This Row],[Elapsed]],0))</f>
        <v/>
      </c>
      <c r="AW32" s="106" t="str">
        <f>IF(ISBLANK(Term2_Day_7[[#This Row],[Activity]]),"",IF(_xlfn.XLOOKUP(Term2_Day_7[[#This Row],[Activity]],Types_of_Activity[Type of Activity],Types_of_Activity[Classification])=2,Term2_Day_7[[#This Row],[Elapsed]],0))</f>
        <v/>
      </c>
      <c r="AX32" s="107"/>
      <c r="AY32" s="136"/>
      <c r="AZ32" s="136"/>
      <c r="BA32" s="103"/>
      <c r="BB32" s="106" t="str">
        <f>IF(OR(ISBLANK(Term2_Day_8[[#This Row],[Start]]),ISBLANK(Term2_Day_8[[#This Row],[End]])),"",(Term2_Day_8[[#This Row],[End]]-Term2_Day_8[[#This Row],[Start]])*1440)</f>
        <v/>
      </c>
      <c r="BC32" s="106" t="str">
        <f>IF(ISBLANK(Term2_Day_8[[#This Row],[Activity]]),"",IF(_xlfn.XLOOKUP(Term2_Day_8[[#This Row],[Activity]],Types_of_Activity[Type of Activity],Types_of_Activity[Classification])=1,Term2_Day_8[[#This Row],[Elapsed]],0))</f>
        <v/>
      </c>
      <c r="BD32" s="106" t="str">
        <f>IF(ISBLANK(Term2_Day_8[[#This Row],[Activity]]),"",IF(_xlfn.XLOOKUP(Term2_Day_8[[#This Row],[Activity]],Types_of_Activity[Type of Activity],Types_of_Activity[Classification])=2,Term2_Day_8[[#This Row],[Elapsed]],0))</f>
        <v/>
      </c>
      <c r="BE32" s="107"/>
      <c r="BF32" s="136"/>
      <c r="BG32" s="136"/>
      <c r="BH32" s="103"/>
      <c r="BI32" s="106" t="str">
        <f>IF(OR(ISBLANK(Term2_Day_9[[#This Row],[Start]]),ISBLANK(Term2_Day_9[[#This Row],[End]])),"",(Term2_Day_9[[#This Row],[End]]-Term2_Day_9[[#This Row],[Start]])*1440)</f>
        <v/>
      </c>
      <c r="BJ32" s="106" t="str">
        <f>IF(ISBLANK(Term2_Day_9[[#This Row],[Activity]]),"",IF(_xlfn.XLOOKUP(Term2_Day_9[[#This Row],[Activity]],Types_of_Activity[Type of Activity],Types_of_Activity[Classification])=1,Term2_Day_9[[#This Row],[Elapsed]],0))</f>
        <v/>
      </c>
      <c r="BK32" s="106" t="str">
        <f>IF(ISBLANK(Term2_Day_9[[#This Row],[Activity]]),"",IF(_xlfn.XLOOKUP(Term2_Day_9[[#This Row],[Activity]],Types_of_Activity[Type of Activity],Types_of_Activity[Classification])=2,Term2_Day_9[[#This Row],[Elapsed]],0))</f>
        <v/>
      </c>
      <c r="BL32" s="107"/>
      <c r="BM32" s="136"/>
      <c r="BN32" s="136"/>
      <c r="BO32" s="103"/>
      <c r="BP32" s="106" t="str">
        <f>IF(OR(ISBLANK(Term2_Day_10[[#This Row],[Start]]),ISBLANK(Term2_Day_10[[#This Row],[End]])),"",(Term2_Day_10[[#This Row],[End]]-Term2_Day_10[[#This Row],[Start]])*1440)</f>
        <v/>
      </c>
      <c r="BQ32" s="106" t="str">
        <f>IF(ISBLANK(Term2_Day_10[[#This Row],[Activity]]),"",IF(_xlfn.XLOOKUP(Term2_Day_10[[#This Row],[Activity]],Types_of_Activity[Type of Activity],Types_of_Activity[Classification])=1,Term2_Day_10[[#This Row],[Elapsed]],0))</f>
        <v/>
      </c>
      <c r="BR32" s="106" t="str">
        <f>IF(ISBLANK(Term2_Day_10[[#This Row],[Activity]]),"",IF(_xlfn.XLOOKUP(Term2_Day_10[[#This Row],[Activity]],Types_of_Activity[Type of Activity],Types_of_Activity[Classification])=2,Term2_Day_10[[#This Row],[Elapsed]],0))</f>
        <v/>
      </c>
      <c r="BS32" s="107"/>
    </row>
    <row r="33" spans="2:71" x14ac:dyDescent="0.3">
      <c r="B33" s="136"/>
      <c r="C33" s="136"/>
      <c r="D33" s="103"/>
      <c r="E33" s="106" t="str">
        <f>IF(OR(ISBLANK(Term2_Day_1[[#This Row],[Start]]),ISBLANK(Term2_Day_1[[#This Row],[End]])),"",(Term2_Day_1[[#This Row],[End]]-Term2_Day_1[[#This Row],[Start]])*1440)</f>
        <v/>
      </c>
      <c r="F33" s="106" t="str">
        <f>IF(ISBLANK(Term2_Day_1[[#This Row],[Activity]]),"",IF(_xlfn.XLOOKUP(Term2_Day_1[[#This Row],[Activity]],Types_of_Activity[Type of Activity],Types_of_Activity[Classification])=1,Term2_Day_1[[#This Row],[Elapsed]],0))</f>
        <v/>
      </c>
      <c r="G33" s="106" t="str">
        <f>IF(ISBLANK(Term2_Day_1[[#This Row],[Activity]]),"",IF(_xlfn.XLOOKUP(Term2_Day_1[[#This Row],[Activity]],Types_of_Activity[Type of Activity],Types_of_Activity[Classification])=2,Term2_Day_1[[#This Row],[Elapsed]],0))</f>
        <v/>
      </c>
      <c r="I33" s="136"/>
      <c r="J33" s="136"/>
      <c r="K33" s="103"/>
      <c r="L33" s="106" t="str">
        <f>IF(OR(ISBLANK(Term2_Day_2[[#This Row],[Start]]),ISBLANK(Term2_Day_2[[#This Row],[End]])),"",(Term2_Day_2[[#This Row],[End]]-Term2_Day_2[[#This Row],[Start]])*1440)</f>
        <v/>
      </c>
      <c r="M33" s="106" t="str">
        <f>IF(ISBLANK(Term2_Day_2[[#This Row],[Activity]]),"",IF(_xlfn.XLOOKUP(Term2_Day_2[[#This Row],[Activity]],Types_of_Activity[Type of Activity],Types_of_Activity[Classification])=1,Term2_Day_2[[#This Row],[Elapsed]],0))</f>
        <v/>
      </c>
      <c r="N33" s="106" t="str">
        <f>IF(ISBLANK(Term2_Day_2[[#This Row],[Activity]]),"",IF(_xlfn.XLOOKUP(Term2_Day_2[[#This Row],[Activity]],Types_of_Activity[Type of Activity],Types_of_Activity[Classification])=2,Term2_Day_2[[#This Row],[Elapsed]],0))</f>
        <v/>
      </c>
      <c r="P33" s="136"/>
      <c r="Q33" s="136"/>
      <c r="R33" s="103"/>
      <c r="S33" s="106" t="str">
        <f>IF(OR(ISBLANK(Term2_Day_3[[#This Row],[Start]]),ISBLANK(Term2_Day_3[[#This Row],[End]])),"",(Term2_Day_3[[#This Row],[End]]-Term2_Day_3[[#This Row],[Start]])*1440)</f>
        <v/>
      </c>
      <c r="T33" s="106" t="str">
        <f>IF(ISBLANK(Term2_Day_3[[#This Row],[Activity]]),"",IF(_xlfn.XLOOKUP(Term2_Day_3[[#This Row],[Activity]],Types_of_Activity[Type of Activity],Types_of_Activity[Classification])=1,Term2_Day_3[[#This Row],[Elapsed]],0))</f>
        <v/>
      </c>
      <c r="U33" s="106" t="str">
        <f>IF(ISBLANK(Term2_Day_3[[#This Row],[Activity]]),"",IF(_xlfn.XLOOKUP(Term2_Day_3[[#This Row],[Activity]],Types_of_Activity[Type of Activity],Types_of_Activity[Classification])=2,Term2_Day_3[[#This Row],[Elapsed]],0))</f>
        <v/>
      </c>
      <c r="W33" s="136"/>
      <c r="X33" s="136"/>
      <c r="Y33" s="103"/>
      <c r="Z33" s="106" t="str">
        <f>IF(OR(ISBLANK(Term2_Day_4[[#This Row],[Start]]),ISBLANK(Term2_Day_4[[#This Row],[End]])),"",(Term2_Day_4[[#This Row],[End]]-Term2_Day_4[[#This Row],[Start]])*1440)</f>
        <v/>
      </c>
      <c r="AA33" s="106" t="str">
        <f>IF(ISBLANK(Term2_Day_4[[#This Row],[Activity]]),"",IF(_xlfn.XLOOKUP(Term2_Day_4[[#This Row],[Activity]],Types_of_Activity[Type of Activity],Types_of_Activity[Classification])=1,Term2_Day_4[[#This Row],[Elapsed]],0))</f>
        <v/>
      </c>
      <c r="AB33" s="106" t="str">
        <f>IF(ISBLANK(Term2_Day_4[[#This Row],[Activity]]),"",IF(_xlfn.XLOOKUP(Term2_Day_4[[#This Row],[Activity]],Types_of_Activity[Type of Activity],Types_of_Activity[Classification])=2,Term2_Day_4[[#This Row],[Elapsed]],0))</f>
        <v/>
      </c>
      <c r="AD33" s="136"/>
      <c r="AE33" s="136"/>
      <c r="AF33" s="103"/>
      <c r="AG33" s="106" t="str">
        <f>IF(OR(ISBLANK(Term2_Day_5[[#This Row],[Start]]),ISBLANK(Term2_Day_5[[#This Row],[End]])),"",(Term2_Day_5[[#This Row],[End]]-Term2_Day_5[[#This Row],[Start]])*1440)</f>
        <v/>
      </c>
      <c r="AH33" s="106" t="str">
        <f>IF(ISBLANK(Term2_Day_5[[#This Row],[Activity]]),"",IF(_xlfn.XLOOKUP(Term2_Day_5[[#This Row],[Activity]],Types_of_Activity[Type of Activity],Types_of_Activity[Classification])=1,Term2_Day_5[[#This Row],[Elapsed]],0))</f>
        <v/>
      </c>
      <c r="AI33" s="106" t="str">
        <f>IF(ISBLANK(Term2_Day_5[[#This Row],[Activity]]),"",IF(_xlfn.XLOOKUP(Term2_Day_5[[#This Row],[Activity]],Types_of_Activity[Type of Activity],Types_of_Activity[Classification])=2,Term2_Day_5[[#This Row],[Elapsed]],0))</f>
        <v/>
      </c>
      <c r="AJ33" s="107"/>
      <c r="AK33" s="136"/>
      <c r="AL33" s="136"/>
      <c r="AM33" s="103"/>
      <c r="AN33" s="106" t="str">
        <f>IF(OR(ISBLANK(Term2_Day_6[[#This Row],[Start]]),ISBLANK(Term2_Day_6[[#This Row],[End]])),"",(Term2_Day_6[[#This Row],[End]]-Term2_Day_6[[#This Row],[Start]])*1440)</f>
        <v/>
      </c>
      <c r="AO33" s="106" t="str">
        <f>IF(ISBLANK(Term2_Day_6[[#This Row],[Activity]]),"",IF(_xlfn.XLOOKUP(Term2_Day_6[[#This Row],[Activity]],Types_of_Activity[Type of Activity],Types_of_Activity[Classification])=1,Term2_Day_6[[#This Row],[Elapsed]],0))</f>
        <v/>
      </c>
      <c r="AP33" s="106" t="str">
        <f>IF(ISBLANK(Term2_Day_6[[#This Row],[Activity]]),"",IF(_xlfn.XLOOKUP(Term2_Day_6[[#This Row],[Activity]],Types_of_Activity[Type of Activity],Types_of_Activity[Classification])=2,Term2_Day_6[[#This Row],[Elapsed]],0))</f>
        <v/>
      </c>
      <c r="AQ33" s="107"/>
      <c r="AR33" s="136"/>
      <c r="AS33" s="136"/>
      <c r="AT33" s="103"/>
      <c r="AU33" s="106" t="str">
        <f>IF(OR(ISBLANK(Term2_Day_7[[#This Row],[Start]]),ISBLANK(Term2_Day_7[[#This Row],[End]])),"",(Term2_Day_7[[#This Row],[End]]-Term2_Day_7[[#This Row],[Start]])*1440)</f>
        <v/>
      </c>
      <c r="AV33" s="106" t="str">
        <f>IF(ISBLANK(Term2_Day_7[[#This Row],[Activity]]),"",IF(_xlfn.XLOOKUP(Term2_Day_7[[#This Row],[Activity]],Types_of_Activity[Type of Activity],Types_of_Activity[Classification])=1,Term2_Day_7[[#This Row],[Elapsed]],0))</f>
        <v/>
      </c>
      <c r="AW33" s="106" t="str">
        <f>IF(ISBLANK(Term2_Day_7[[#This Row],[Activity]]),"",IF(_xlfn.XLOOKUP(Term2_Day_7[[#This Row],[Activity]],Types_of_Activity[Type of Activity],Types_of_Activity[Classification])=2,Term2_Day_7[[#This Row],[Elapsed]],0))</f>
        <v/>
      </c>
      <c r="AX33" s="107"/>
      <c r="AY33" s="136"/>
      <c r="AZ33" s="136"/>
      <c r="BA33" s="103"/>
      <c r="BB33" s="106" t="str">
        <f>IF(OR(ISBLANK(Term2_Day_8[[#This Row],[Start]]),ISBLANK(Term2_Day_8[[#This Row],[End]])),"",(Term2_Day_8[[#This Row],[End]]-Term2_Day_8[[#This Row],[Start]])*1440)</f>
        <v/>
      </c>
      <c r="BC33" s="106" t="str">
        <f>IF(ISBLANK(Term2_Day_8[[#This Row],[Activity]]),"",IF(_xlfn.XLOOKUP(Term2_Day_8[[#This Row],[Activity]],Types_of_Activity[Type of Activity],Types_of_Activity[Classification])=1,Term2_Day_8[[#This Row],[Elapsed]],0))</f>
        <v/>
      </c>
      <c r="BD33" s="106" t="str">
        <f>IF(ISBLANK(Term2_Day_8[[#This Row],[Activity]]),"",IF(_xlfn.XLOOKUP(Term2_Day_8[[#This Row],[Activity]],Types_of_Activity[Type of Activity],Types_of_Activity[Classification])=2,Term2_Day_8[[#This Row],[Elapsed]],0))</f>
        <v/>
      </c>
      <c r="BE33" s="107"/>
      <c r="BF33" s="136"/>
      <c r="BG33" s="136"/>
      <c r="BH33" s="103"/>
      <c r="BI33" s="106" t="str">
        <f>IF(OR(ISBLANK(Term2_Day_9[[#This Row],[Start]]),ISBLANK(Term2_Day_9[[#This Row],[End]])),"",(Term2_Day_9[[#This Row],[End]]-Term2_Day_9[[#This Row],[Start]])*1440)</f>
        <v/>
      </c>
      <c r="BJ33" s="106" t="str">
        <f>IF(ISBLANK(Term2_Day_9[[#This Row],[Activity]]),"",IF(_xlfn.XLOOKUP(Term2_Day_9[[#This Row],[Activity]],Types_of_Activity[Type of Activity],Types_of_Activity[Classification])=1,Term2_Day_9[[#This Row],[Elapsed]],0))</f>
        <v/>
      </c>
      <c r="BK33" s="106" t="str">
        <f>IF(ISBLANK(Term2_Day_9[[#This Row],[Activity]]),"",IF(_xlfn.XLOOKUP(Term2_Day_9[[#This Row],[Activity]],Types_of_Activity[Type of Activity],Types_of_Activity[Classification])=2,Term2_Day_9[[#This Row],[Elapsed]],0))</f>
        <v/>
      </c>
      <c r="BL33" s="107"/>
      <c r="BM33" s="136"/>
      <c r="BN33" s="136"/>
      <c r="BO33" s="103"/>
      <c r="BP33" s="106" t="str">
        <f>IF(OR(ISBLANK(Term2_Day_10[[#This Row],[Start]]),ISBLANK(Term2_Day_10[[#This Row],[End]])),"",(Term2_Day_10[[#This Row],[End]]-Term2_Day_10[[#This Row],[Start]])*1440)</f>
        <v/>
      </c>
      <c r="BQ33" s="106" t="str">
        <f>IF(ISBLANK(Term2_Day_10[[#This Row],[Activity]]),"",IF(_xlfn.XLOOKUP(Term2_Day_10[[#This Row],[Activity]],Types_of_Activity[Type of Activity],Types_of_Activity[Classification])=1,Term2_Day_10[[#This Row],[Elapsed]],0))</f>
        <v/>
      </c>
      <c r="BR33" s="106" t="str">
        <f>IF(ISBLANK(Term2_Day_10[[#This Row],[Activity]]),"",IF(_xlfn.XLOOKUP(Term2_Day_10[[#This Row],[Activity]],Types_of_Activity[Type of Activity],Types_of_Activity[Classification])=2,Term2_Day_10[[#This Row],[Elapsed]],0))</f>
        <v/>
      </c>
      <c r="BS33" s="107"/>
    </row>
    <row r="34" spans="2:71" x14ac:dyDescent="0.3">
      <c r="B34" s="136"/>
      <c r="C34" s="136"/>
      <c r="D34" s="103"/>
      <c r="E34" s="106" t="str">
        <f>IF(OR(ISBLANK(Term2_Day_1[[#This Row],[Start]]),ISBLANK(Term2_Day_1[[#This Row],[End]])),"",(Term2_Day_1[[#This Row],[End]]-Term2_Day_1[[#This Row],[Start]])*1440)</f>
        <v/>
      </c>
      <c r="F34" s="106" t="str">
        <f>IF(ISBLANK(Term2_Day_1[[#This Row],[Activity]]),"",IF(_xlfn.XLOOKUP(Term2_Day_1[[#This Row],[Activity]],Types_of_Activity[Type of Activity],Types_of_Activity[Classification])=1,Term2_Day_1[[#This Row],[Elapsed]],0))</f>
        <v/>
      </c>
      <c r="G34" s="106" t="str">
        <f>IF(ISBLANK(Term2_Day_1[[#This Row],[Activity]]),"",IF(_xlfn.XLOOKUP(Term2_Day_1[[#This Row],[Activity]],Types_of_Activity[Type of Activity],Types_of_Activity[Classification])=2,Term2_Day_1[[#This Row],[Elapsed]],0))</f>
        <v/>
      </c>
      <c r="I34" s="136"/>
      <c r="J34" s="136"/>
      <c r="K34" s="103"/>
      <c r="L34" s="106" t="str">
        <f>IF(OR(ISBLANK(Term2_Day_2[[#This Row],[Start]]),ISBLANK(Term2_Day_2[[#This Row],[End]])),"",(Term2_Day_2[[#This Row],[End]]-Term2_Day_2[[#This Row],[Start]])*1440)</f>
        <v/>
      </c>
      <c r="M34" s="106" t="str">
        <f>IF(ISBLANK(Term2_Day_2[[#This Row],[Activity]]),"",IF(_xlfn.XLOOKUP(Term2_Day_2[[#This Row],[Activity]],Types_of_Activity[Type of Activity],Types_of_Activity[Classification])=1,Term2_Day_2[[#This Row],[Elapsed]],0))</f>
        <v/>
      </c>
      <c r="N34" s="106" t="str">
        <f>IF(ISBLANK(Term2_Day_2[[#This Row],[Activity]]),"",IF(_xlfn.XLOOKUP(Term2_Day_2[[#This Row],[Activity]],Types_of_Activity[Type of Activity],Types_of_Activity[Classification])=2,Term2_Day_2[[#This Row],[Elapsed]],0))</f>
        <v/>
      </c>
      <c r="P34" s="136"/>
      <c r="Q34" s="136"/>
      <c r="R34" s="103"/>
      <c r="S34" s="106" t="str">
        <f>IF(OR(ISBLANK(Term2_Day_3[[#This Row],[Start]]),ISBLANK(Term2_Day_3[[#This Row],[End]])),"",(Term2_Day_3[[#This Row],[End]]-Term2_Day_3[[#This Row],[Start]])*1440)</f>
        <v/>
      </c>
      <c r="T34" s="106" t="str">
        <f>IF(ISBLANK(Term2_Day_3[[#This Row],[Activity]]),"",IF(_xlfn.XLOOKUP(Term2_Day_3[[#This Row],[Activity]],Types_of_Activity[Type of Activity],Types_of_Activity[Classification])=1,Term2_Day_3[[#This Row],[Elapsed]],0))</f>
        <v/>
      </c>
      <c r="U34" s="106" t="str">
        <f>IF(ISBLANK(Term2_Day_3[[#This Row],[Activity]]),"",IF(_xlfn.XLOOKUP(Term2_Day_3[[#This Row],[Activity]],Types_of_Activity[Type of Activity],Types_of_Activity[Classification])=2,Term2_Day_3[[#This Row],[Elapsed]],0))</f>
        <v/>
      </c>
      <c r="W34" s="136"/>
      <c r="X34" s="136"/>
      <c r="Y34" s="103"/>
      <c r="Z34" s="106" t="str">
        <f>IF(OR(ISBLANK(Term2_Day_4[[#This Row],[Start]]),ISBLANK(Term2_Day_4[[#This Row],[End]])),"",(Term2_Day_4[[#This Row],[End]]-Term2_Day_4[[#This Row],[Start]])*1440)</f>
        <v/>
      </c>
      <c r="AA34" s="106" t="str">
        <f>IF(ISBLANK(Term2_Day_4[[#This Row],[Activity]]),"",IF(_xlfn.XLOOKUP(Term2_Day_4[[#This Row],[Activity]],Types_of_Activity[Type of Activity],Types_of_Activity[Classification])=1,Term2_Day_4[[#This Row],[Elapsed]],0))</f>
        <v/>
      </c>
      <c r="AB34" s="106" t="str">
        <f>IF(ISBLANK(Term2_Day_4[[#This Row],[Activity]]),"",IF(_xlfn.XLOOKUP(Term2_Day_4[[#This Row],[Activity]],Types_of_Activity[Type of Activity],Types_of_Activity[Classification])=2,Term2_Day_4[[#This Row],[Elapsed]],0))</f>
        <v/>
      </c>
      <c r="AD34" s="136"/>
      <c r="AE34" s="136"/>
      <c r="AF34" s="103"/>
      <c r="AG34" s="106" t="str">
        <f>IF(OR(ISBLANK(Term2_Day_5[[#This Row],[Start]]),ISBLANK(Term2_Day_5[[#This Row],[End]])),"",(Term2_Day_5[[#This Row],[End]]-Term2_Day_5[[#This Row],[Start]])*1440)</f>
        <v/>
      </c>
      <c r="AH34" s="106" t="str">
        <f>IF(ISBLANK(Term2_Day_5[[#This Row],[Activity]]),"",IF(_xlfn.XLOOKUP(Term2_Day_5[[#This Row],[Activity]],Types_of_Activity[Type of Activity],Types_of_Activity[Classification])=1,Term2_Day_5[[#This Row],[Elapsed]],0))</f>
        <v/>
      </c>
      <c r="AI34" s="106" t="str">
        <f>IF(ISBLANK(Term2_Day_5[[#This Row],[Activity]]),"",IF(_xlfn.XLOOKUP(Term2_Day_5[[#This Row],[Activity]],Types_of_Activity[Type of Activity],Types_of_Activity[Classification])=2,Term2_Day_5[[#This Row],[Elapsed]],0))</f>
        <v/>
      </c>
      <c r="AJ34" s="107"/>
      <c r="AK34" s="136"/>
      <c r="AL34" s="136"/>
      <c r="AM34" s="103"/>
      <c r="AN34" s="106" t="str">
        <f>IF(OR(ISBLANK(Term2_Day_6[[#This Row],[Start]]),ISBLANK(Term2_Day_6[[#This Row],[End]])),"",(Term2_Day_6[[#This Row],[End]]-Term2_Day_6[[#This Row],[Start]])*1440)</f>
        <v/>
      </c>
      <c r="AO34" s="106" t="str">
        <f>IF(ISBLANK(Term2_Day_6[[#This Row],[Activity]]),"",IF(_xlfn.XLOOKUP(Term2_Day_6[[#This Row],[Activity]],Types_of_Activity[Type of Activity],Types_of_Activity[Classification])=1,Term2_Day_6[[#This Row],[Elapsed]],0))</f>
        <v/>
      </c>
      <c r="AP34" s="106" t="str">
        <f>IF(ISBLANK(Term2_Day_6[[#This Row],[Activity]]),"",IF(_xlfn.XLOOKUP(Term2_Day_6[[#This Row],[Activity]],Types_of_Activity[Type of Activity],Types_of_Activity[Classification])=2,Term2_Day_6[[#This Row],[Elapsed]],0))</f>
        <v/>
      </c>
      <c r="AQ34" s="107"/>
      <c r="AR34" s="136"/>
      <c r="AS34" s="136"/>
      <c r="AT34" s="103"/>
      <c r="AU34" s="106" t="str">
        <f>IF(OR(ISBLANK(Term2_Day_7[[#This Row],[Start]]),ISBLANK(Term2_Day_7[[#This Row],[End]])),"",(Term2_Day_7[[#This Row],[End]]-Term2_Day_7[[#This Row],[Start]])*1440)</f>
        <v/>
      </c>
      <c r="AV34" s="106" t="str">
        <f>IF(ISBLANK(Term2_Day_7[[#This Row],[Activity]]),"",IF(_xlfn.XLOOKUP(Term2_Day_7[[#This Row],[Activity]],Types_of_Activity[Type of Activity],Types_of_Activity[Classification])=1,Term2_Day_7[[#This Row],[Elapsed]],0))</f>
        <v/>
      </c>
      <c r="AW34" s="106" t="str">
        <f>IF(ISBLANK(Term2_Day_7[[#This Row],[Activity]]),"",IF(_xlfn.XLOOKUP(Term2_Day_7[[#This Row],[Activity]],Types_of_Activity[Type of Activity],Types_of_Activity[Classification])=2,Term2_Day_7[[#This Row],[Elapsed]],0))</f>
        <v/>
      </c>
      <c r="AX34" s="107"/>
      <c r="AY34" s="136"/>
      <c r="AZ34" s="136"/>
      <c r="BA34" s="103"/>
      <c r="BB34" s="106" t="str">
        <f>IF(OR(ISBLANK(Term2_Day_8[[#This Row],[Start]]),ISBLANK(Term2_Day_8[[#This Row],[End]])),"",(Term2_Day_8[[#This Row],[End]]-Term2_Day_8[[#This Row],[Start]])*1440)</f>
        <v/>
      </c>
      <c r="BC34" s="106" t="str">
        <f>IF(ISBLANK(Term2_Day_8[[#This Row],[Activity]]),"",IF(_xlfn.XLOOKUP(Term2_Day_8[[#This Row],[Activity]],Types_of_Activity[Type of Activity],Types_of_Activity[Classification])=1,Term2_Day_8[[#This Row],[Elapsed]],0))</f>
        <v/>
      </c>
      <c r="BD34" s="106" t="str">
        <f>IF(ISBLANK(Term2_Day_8[[#This Row],[Activity]]),"",IF(_xlfn.XLOOKUP(Term2_Day_8[[#This Row],[Activity]],Types_of_Activity[Type of Activity],Types_of_Activity[Classification])=2,Term2_Day_8[[#This Row],[Elapsed]],0))</f>
        <v/>
      </c>
      <c r="BE34" s="107"/>
      <c r="BF34" s="136"/>
      <c r="BG34" s="136"/>
      <c r="BH34" s="103"/>
      <c r="BI34" s="106" t="str">
        <f>IF(OR(ISBLANK(Term2_Day_9[[#This Row],[Start]]),ISBLANK(Term2_Day_9[[#This Row],[End]])),"",(Term2_Day_9[[#This Row],[End]]-Term2_Day_9[[#This Row],[Start]])*1440)</f>
        <v/>
      </c>
      <c r="BJ34" s="106" t="str">
        <f>IF(ISBLANK(Term2_Day_9[[#This Row],[Activity]]),"",IF(_xlfn.XLOOKUP(Term2_Day_9[[#This Row],[Activity]],Types_of_Activity[Type of Activity],Types_of_Activity[Classification])=1,Term2_Day_9[[#This Row],[Elapsed]],0))</f>
        <v/>
      </c>
      <c r="BK34" s="106" t="str">
        <f>IF(ISBLANK(Term2_Day_9[[#This Row],[Activity]]),"",IF(_xlfn.XLOOKUP(Term2_Day_9[[#This Row],[Activity]],Types_of_Activity[Type of Activity],Types_of_Activity[Classification])=2,Term2_Day_9[[#This Row],[Elapsed]],0))</f>
        <v/>
      </c>
      <c r="BL34" s="107"/>
      <c r="BM34" s="136"/>
      <c r="BN34" s="136"/>
      <c r="BO34" s="103"/>
      <c r="BP34" s="106" t="str">
        <f>IF(OR(ISBLANK(Term2_Day_10[[#This Row],[Start]]),ISBLANK(Term2_Day_10[[#This Row],[End]])),"",(Term2_Day_10[[#This Row],[End]]-Term2_Day_10[[#This Row],[Start]])*1440)</f>
        <v/>
      </c>
      <c r="BQ34" s="106" t="str">
        <f>IF(ISBLANK(Term2_Day_10[[#This Row],[Activity]]),"",IF(_xlfn.XLOOKUP(Term2_Day_10[[#This Row],[Activity]],Types_of_Activity[Type of Activity],Types_of_Activity[Classification])=1,Term2_Day_10[[#This Row],[Elapsed]],0))</f>
        <v/>
      </c>
      <c r="BR34" s="106" t="str">
        <f>IF(ISBLANK(Term2_Day_10[[#This Row],[Activity]]),"",IF(_xlfn.XLOOKUP(Term2_Day_10[[#This Row],[Activity]],Types_of_Activity[Type of Activity],Types_of_Activity[Classification])=2,Term2_Day_10[[#This Row],[Elapsed]],0))</f>
        <v/>
      </c>
      <c r="BS34" s="107"/>
    </row>
    <row r="35" spans="2:71" x14ac:dyDescent="0.3">
      <c r="B35" s="136"/>
      <c r="C35" s="136"/>
      <c r="D35" s="103"/>
      <c r="E35" s="106" t="str">
        <f>IF(OR(ISBLANK(Term2_Day_1[[#This Row],[Start]]),ISBLANK(Term2_Day_1[[#This Row],[End]])),"",(Term2_Day_1[[#This Row],[End]]-Term2_Day_1[[#This Row],[Start]])*1440)</f>
        <v/>
      </c>
      <c r="F35" s="106" t="str">
        <f>IF(ISBLANK(Term2_Day_1[[#This Row],[Activity]]),"",IF(_xlfn.XLOOKUP(Term2_Day_1[[#This Row],[Activity]],Types_of_Activity[Type of Activity],Types_of_Activity[Classification])=1,Term2_Day_1[[#This Row],[Elapsed]],0))</f>
        <v/>
      </c>
      <c r="G35" s="106" t="str">
        <f>IF(ISBLANK(Term2_Day_1[[#This Row],[Activity]]),"",IF(_xlfn.XLOOKUP(Term2_Day_1[[#This Row],[Activity]],Types_of_Activity[Type of Activity],Types_of_Activity[Classification])=2,Term2_Day_1[[#This Row],[Elapsed]],0))</f>
        <v/>
      </c>
      <c r="I35" s="136"/>
      <c r="J35" s="136"/>
      <c r="K35" s="103"/>
      <c r="L35" s="106" t="str">
        <f>IF(OR(ISBLANK(Term2_Day_2[[#This Row],[Start]]),ISBLANK(Term2_Day_2[[#This Row],[End]])),"",(Term2_Day_2[[#This Row],[End]]-Term2_Day_2[[#This Row],[Start]])*1440)</f>
        <v/>
      </c>
      <c r="M35" s="106" t="str">
        <f>IF(ISBLANK(Term2_Day_2[[#This Row],[Activity]]),"",IF(_xlfn.XLOOKUP(Term2_Day_2[[#This Row],[Activity]],Types_of_Activity[Type of Activity],Types_of_Activity[Classification])=1,Term2_Day_2[[#This Row],[Elapsed]],0))</f>
        <v/>
      </c>
      <c r="N35" s="106" t="str">
        <f>IF(ISBLANK(Term2_Day_2[[#This Row],[Activity]]),"",IF(_xlfn.XLOOKUP(Term2_Day_2[[#This Row],[Activity]],Types_of_Activity[Type of Activity],Types_of_Activity[Classification])=2,Term2_Day_2[[#This Row],[Elapsed]],0))</f>
        <v/>
      </c>
      <c r="P35" s="136"/>
      <c r="Q35" s="136"/>
      <c r="R35" s="103"/>
      <c r="S35" s="106" t="str">
        <f>IF(OR(ISBLANK(Term2_Day_3[[#This Row],[Start]]),ISBLANK(Term2_Day_3[[#This Row],[End]])),"",(Term2_Day_3[[#This Row],[End]]-Term2_Day_3[[#This Row],[Start]])*1440)</f>
        <v/>
      </c>
      <c r="T35" s="106" t="str">
        <f>IF(ISBLANK(Term2_Day_3[[#This Row],[Activity]]),"",IF(_xlfn.XLOOKUP(Term2_Day_3[[#This Row],[Activity]],Types_of_Activity[Type of Activity],Types_of_Activity[Classification])=1,Term2_Day_3[[#This Row],[Elapsed]],0))</f>
        <v/>
      </c>
      <c r="U35" s="106" t="str">
        <f>IF(ISBLANK(Term2_Day_3[[#This Row],[Activity]]),"",IF(_xlfn.XLOOKUP(Term2_Day_3[[#This Row],[Activity]],Types_of_Activity[Type of Activity],Types_of_Activity[Classification])=2,Term2_Day_3[[#This Row],[Elapsed]],0))</f>
        <v/>
      </c>
      <c r="W35" s="136"/>
      <c r="X35" s="136"/>
      <c r="Y35" s="103"/>
      <c r="Z35" s="106" t="str">
        <f>IF(OR(ISBLANK(Term2_Day_4[[#This Row],[Start]]),ISBLANK(Term2_Day_4[[#This Row],[End]])),"",(Term2_Day_4[[#This Row],[End]]-Term2_Day_4[[#This Row],[Start]])*1440)</f>
        <v/>
      </c>
      <c r="AA35" s="106" t="str">
        <f>IF(ISBLANK(Term2_Day_4[[#This Row],[Activity]]),"",IF(_xlfn.XLOOKUP(Term2_Day_4[[#This Row],[Activity]],Types_of_Activity[Type of Activity],Types_of_Activity[Classification])=1,Term2_Day_4[[#This Row],[Elapsed]],0))</f>
        <v/>
      </c>
      <c r="AB35" s="106" t="str">
        <f>IF(ISBLANK(Term2_Day_4[[#This Row],[Activity]]),"",IF(_xlfn.XLOOKUP(Term2_Day_4[[#This Row],[Activity]],Types_of_Activity[Type of Activity],Types_of_Activity[Classification])=2,Term2_Day_4[[#This Row],[Elapsed]],0))</f>
        <v/>
      </c>
      <c r="AD35" s="136"/>
      <c r="AE35" s="136"/>
      <c r="AF35" s="103"/>
      <c r="AG35" s="106" t="str">
        <f>IF(OR(ISBLANK(Term2_Day_5[[#This Row],[Start]]),ISBLANK(Term2_Day_5[[#This Row],[End]])),"",(Term2_Day_5[[#This Row],[End]]-Term2_Day_5[[#This Row],[Start]])*1440)</f>
        <v/>
      </c>
      <c r="AH35" s="106" t="str">
        <f>IF(ISBLANK(Term2_Day_5[[#This Row],[Activity]]),"",IF(_xlfn.XLOOKUP(Term2_Day_5[[#This Row],[Activity]],Types_of_Activity[Type of Activity],Types_of_Activity[Classification])=1,Term2_Day_5[[#This Row],[Elapsed]],0))</f>
        <v/>
      </c>
      <c r="AI35" s="106" t="str">
        <f>IF(ISBLANK(Term2_Day_5[[#This Row],[Activity]]),"",IF(_xlfn.XLOOKUP(Term2_Day_5[[#This Row],[Activity]],Types_of_Activity[Type of Activity],Types_of_Activity[Classification])=2,Term2_Day_5[[#This Row],[Elapsed]],0))</f>
        <v/>
      </c>
      <c r="AJ35" s="107"/>
      <c r="AK35" s="136"/>
      <c r="AL35" s="136"/>
      <c r="AM35" s="103"/>
      <c r="AN35" s="106" t="str">
        <f>IF(OR(ISBLANK(Term2_Day_6[[#This Row],[Start]]),ISBLANK(Term2_Day_6[[#This Row],[End]])),"",(Term2_Day_6[[#This Row],[End]]-Term2_Day_6[[#This Row],[Start]])*1440)</f>
        <v/>
      </c>
      <c r="AO35" s="106" t="str">
        <f>IF(ISBLANK(Term2_Day_6[[#This Row],[Activity]]),"",IF(_xlfn.XLOOKUP(Term2_Day_6[[#This Row],[Activity]],Types_of_Activity[Type of Activity],Types_of_Activity[Classification])=1,Term2_Day_6[[#This Row],[Elapsed]],0))</f>
        <v/>
      </c>
      <c r="AP35" s="106" t="str">
        <f>IF(ISBLANK(Term2_Day_6[[#This Row],[Activity]]),"",IF(_xlfn.XLOOKUP(Term2_Day_6[[#This Row],[Activity]],Types_of_Activity[Type of Activity],Types_of_Activity[Classification])=2,Term2_Day_6[[#This Row],[Elapsed]],0))</f>
        <v/>
      </c>
      <c r="AQ35" s="107"/>
      <c r="AR35" s="136"/>
      <c r="AS35" s="136"/>
      <c r="AT35" s="103"/>
      <c r="AU35" s="106" t="str">
        <f>IF(OR(ISBLANK(Term2_Day_7[[#This Row],[Start]]),ISBLANK(Term2_Day_7[[#This Row],[End]])),"",(Term2_Day_7[[#This Row],[End]]-Term2_Day_7[[#This Row],[Start]])*1440)</f>
        <v/>
      </c>
      <c r="AV35" s="106" t="str">
        <f>IF(ISBLANK(Term2_Day_7[[#This Row],[Activity]]),"",IF(_xlfn.XLOOKUP(Term2_Day_7[[#This Row],[Activity]],Types_of_Activity[Type of Activity],Types_of_Activity[Classification])=1,Term2_Day_7[[#This Row],[Elapsed]],0))</f>
        <v/>
      </c>
      <c r="AW35" s="106" t="str">
        <f>IF(ISBLANK(Term2_Day_7[[#This Row],[Activity]]),"",IF(_xlfn.XLOOKUP(Term2_Day_7[[#This Row],[Activity]],Types_of_Activity[Type of Activity],Types_of_Activity[Classification])=2,Term2_Day_7[[#This Row],[Elapsed]],0))</f>
        <v/>
      </c>
      <c r="AX35" s="107"/>
      <c r="AY35" s="136"/>
      <c r="AZ35" s="136"/>
      <c r="BA35" s="103"/>
      <c r="BB35" s="106" t="str">
        <f>IF(OR(ISBLANK(Term2_Day_8[[#This Row],[Start]]),ISBLANK(Term2_Day_8[[#This Row],[End]])),"",(Term2_Day_8[[#This Row],[End]]-Term2_Day_8[[#This Row],[Start]])*1440)</f>
        <v/>
      </c>
      <c r="BC35" s="106" t="str">
        <f>IF(ISBLANK(Term2_Day_8[[#This Row],[Activity]]),"",IF(_xlfn.XLOOKUP(Term2_Day_8[[#This Row],[Activity]],Types_of_Activity[Type of Activity],Types_of_Activity[Classification])=1,Term2_Day_8[[#This Row],[Elapsed]],0))</f>
        <v/>
      </c>
      <c r="BD35" s="106" t="str">
        <f>IF(ISBLANK(Term2_Day_8[[#This Row],[Activity]]),"",IF(_xlfn.XLOOKUP(Term2_Day_8[[#This Row],[Activity]],Types_of_Activity[Type of Activity],Types_of_Activity[Classification])=2,Term2_Day_8[[#This Row],[Elapsed]],0))</f>
        <v/>
      </c>
      <c r="BE35" s="107"/>
      <c r="BF35" s="136"/>
      <c r="BG35" s="136"/>
      <c r="BH35" s="103"/>
      <c r="BI35" s="106" t="str">
        <f>IF(OR(ISBLANK(Term2_Day_9[[#This Row],[Start]]),ISBLANK(Term2_Day_9[[#This Row],[End]])),"",(Term2_Day_9[[#This Row],[End]]-Term2_Day_9[[#This Row],[Start]])*1440)</f>
        <v/>
      </c>
      <c r="BJ35" s="106" t="str">
        <f>IF(ISBLANK(Term2_Day_9[[#This Row],[Activity]]),"",IF(_xlfn.XLOOKUP(Term2_Day_9[[#This Row],[Activity]],Types_of_Activity[Type of Activity],Types_of_Activity[Classification])=1,Term2_Day_9[[#This Row],[Elapsed]],0))</f>
        <v/>
      </c>
      <c r="BK35" s="106" t="str">
        <f>IF(ISBLANK(Term2_Day_9[[#This Row],[Activity]]),"",IF(_xlfn.XLOOKUP(Term2_Day_9[[#This Row],[Activity]],Types_of_Activity[Type of Activity],Types_of_Activity[Classification])=2,Term2_Day_9[[#This Row],[Elapsed]],0))</f>
        <v/>
      </c>
      <c r="BL35" s="107"/>
      <c r="BM35" s="136"/>
      <c r="BN35" s="136"/>
      <c r="BO35" s="103"/>
      <c r="BP35" s="106" t="str">
        <f>IF(OR(ISBLANK(Term2_Day_10[[#This Row],[Start]]),ISBLANK(Term2_Day_10[[#This Row],[End]])),"",(Term2_Day_10[[#This Row],[End]]-Term2_Day_10[[#This Row],[Start]])*1440)</f>
        <v/>
      </c>
      <c r="BQ35" s="106" t="str">
        <f>IF(ISBLANK(Term2_Day_10[[#This Row],[Activity]]),"",IF(_xlfn.XLOOKUP(Term2_Day_10[[#This Row],[Activity]],Types_of_Activity[Type of Activity],Types_of_Activity[Classification])=1,Term2_Day_10[[#This Row],[Elapsed]],0))</f>
        <v/>
      </c>
      <c r="BR35" s="106" t="str">
        <f>IF(ISBLANK(Term2_Day_10[[#This Row],[Activity]]),"",IF(_xlfn.XLOOKUP(Term2_Day_10[[#This Row],[Activity]],Types_of_Activity[Type of Activity],Types_of_Activity[Classification])=2,Term2_Day_10[[#This Row],[Elapsed]],0))</f>
        <v/>
      </c>
      <c r="BS35" s="107"/>
    </row>
    <row r="36" spans="2:71" x14ac:dyDescent="0.3">
      <c r="B36" s="136"/>
      <c r="C36" s="136"/>
      <c r="D36" s="103"/>
      <c r="E36" s="106" t="str">
        <f>IF(OR(ISBLANK(Term2_Day_1[[#This Row],[Start]]),ISBLANK(Term2_Day_1[[#This Row],[End]])),"",(Term2_Day_1[[#This Row],[End]]-Term2_Day_1[[#This Row],[Start]])*1440)</f>
        <v/>
      </c>
      <c r="F36" s="106" t="str">
        <f>IF(ISBLANK(Term2_Day_1[[#This Row],[Activity]]),"",IF(_xlfn.XLOOKUP(Term2_Day_1[[#This Row],[Activity]],Types_of_Activity[Type of Activity],Types_of_Activity[Classification])=1,Term2_Day_1[[#This Row],[Elapsed]],0))</f>
        <v/>
      </c>
      <c r="G36" s="106" t="str">
        <f>IF(ISBLANK(Term2_Day_1[[#This Row],[Activity]]),"",IF(_xlfn.XLOOKUP(Term2_Day_1[[#This Row],[Activity]],Types_of_Activity[Type of Activity],Types_of_Activity[Classification])=2,Term2_Day_1[[#This Row],[Elapsed]],0))</f>
        <v/>
      </c>
      <c r="I36" s="136"/>
      <c r="J36" s="136"/>
      <c r="K36" s="103"/>
      <c r="L36" s="106" t="str">
        <f>IF(OR(ISBLANK(Term2_Day_2[[#This Row],[Start]]),ISBLANK(Term2_Day_2[[#This Row],[End]])),"",(Term2_Day_2[[#This Row],[End]]-Term2_Day_2[[#This Row],[Start]])*1440)</f>
        <v/>
      </c>
      <c r="M36" s="106" t="str">
        <f>IF(ISBLANK(Term2_Day_2[[#This Row],[Activity]]),"",IF(_xlfn.XLOOKUP(Term2_Day_2[[#This Row],[Activity]],Types_of_Activity[Type of Activity],Types_of_Activity[Classification])=1,Term2_Day_2[[#This Row],[Elapsed]],0))</f>
        <v/>
      </c>
      <c r="N36" s="106" t="str">
        <f>IF(ISBLANK(Term2_Day_2[[#This Row],[Activity]]),"",IF(_xlfn.XLOOKUP(Term2_Day_2[[#This Row],[Activity]],Types_of_Activity[Type of Activity],Types_of_Activity[Classification])=2,Term2_Day_2[[#This Row],[Elapsed]],0))</f>
        <v/>
      </c>
      <c r="P36" s="136"/>
      <c r="Q36" s="136"/>
      <c r="R36" s="103"/>
      <c r="S36" s="106" t="str">
        <f>IF(OR(ISBLANK(Term2_Day_3[[#This Row],[Start]]),ISBLANK(Term2_Day_3[[#This Row],[End]])),"",(Term2_Day_3[[#This Row],[End]]-Term2_Day_3[[#This Row],[Start]])*1440)</f>
        <v/>
      </c>
      <c r="T36" s="106" t="str">
        <f>IF(ISBLANK(Term2_Day_3[[#This Row],[Activity]]),"",IF(_xlfn.XLOOKUP(Term2_Day_3[[#This Row],[Activity]],Types_of_Activity[Type of Activity],Types_of_Activity[Classification])=1,Term2_Day_3[[#This Row],[Elapsed]],0))</f>
        <v/>
      </c>
      <c r="U36" s="106" t="str">
        <f>IF(ISBLANK(Term2_Day_3[[#This Row],[Activity]]),"",IF(_xlfn.XLOOKUP(Term2_Day_3[[#This Row],[Activity]],Types_of_Activity[Type of Activity],Types_of_Activity[Classification])=2,Term2_Day_3[[#This Row],[Elapsed]],0))</f>
        <v/>
      </c>
      <c r="W36" s="136"/>
      <c r="X36" s="136"/>
      <c r="Y36" s="103"/>
      <c r="Z36" s="106" t="str">
        <f>IF(OR(ISBLANK(Term2_Day_4[[#This Row],[Start]]),ISBLANK(Term2_Day_4[[#This Row],[End]])),"",(Term2_Day_4[[#This Row],[End]]-Term2_Day_4[[#This Row],[Start]])*1440)</f>
        <v/>
      </c>
      <c r="AA36" s="106" t="str">
        <f>IF(ISBLANK(Term2_Day_4[[#This Row],[Activity]]),"",IF(_xlfn.XLOOKUP(Term2_Day_4[[#This Row],[Activity]],Types_of_Activity[Type of Activity],Types_of_Activity[Classification])=1,Term2_Day_4[[#This Row],[Elapsed]],0))</f>
        <v/>
      </c>
      <c r="AB36" s="106" t="str">
        <f>IF(ISBLANK(Term2_Day_4[[#This Row],[Activity]]),"",IF(_xlfn.XLOOKUP(Term2_Day_4[[#This Row],[Activity]],Types_of_Activity[Type of Activity],Types_of_Activity[Classification])=2,Term2_Day_4[[#This Row],[Elapsed]],0))</f>
        <v/>
      </c>
      <c r="AD36" s="136"/>
      <c r="AE36" s="136"/>
      <c r="AF36" s="103"/>
      <c r="AG36" s="106" t="str">
        <f>IF(OR(ISBLANK(Term2_Day_5[[#This Row],[Start]]),ISBLANK(Term2_Day_5[[#This Row],[End]])),"",(Term2_Day_5[[#This Row],[End]]-Term2_Day_5[[#This Row],[Start]])*1440)</f>
        <v/>
      </c>
      <c r="AH36" s="106" t="str">
        <f>IF(ISBLANK(Term2_Day_5[[#This Row],[Activity]]),"",IF(_xlfn.XLOOKUP(Term2_Day_5[[#This Row],[Activity]],Types_of_Activity[Type of Activity],Types_of_Activity[Classification])=1,Term2_Day_5[[#This Row],[Elapsed]],0))</f>
        <v/>
      </c>
      <c r="AI36" s="106" t="str">
        <f>IF(ISBLANK(Term2_Day_5[[#This Row],[Activity]]),"",IF(_xlfn.XLOOKUP(Term2_Day_5[[#This Row],[Activity]],Types_of_Activity[Type of Activity],Types_of_Activity[Classification])=2,Term2_Day_5[[#This Row],[Elapsed]],0))</f>
        <v/>
      </c>
      <c r="AJ36" s="107"/>
      <c r="AK36" s="136"/>
      <c r="AL36" s="136"/>
      <c r="AM36" s="103"/>
      <c r="AN36" s="106" t="str">
        <f>IF(OR(ISBLANK(Term2_Day_6[[#This Row],[Start]]),ISBLANK(Term2_Day_6[[#This Row],[End]])),"",(Term2_Day_6[[#This Row],[End]]-Term2_Day_6[[#This Row],[Start]])*1440)</f>
        <v/>
      </c>
      <c r="AO36" s="106" t="str">
        <f>IF(ISBLANK(Term2_Day_6[[#This Row],[Activity]]),"",IF(_xlfn.XLOOKUP(Term2_Day_6[[#This Row],[Activity]],Types_of_Activity[Type of Activity],Types_of_Activity[Classification])=1,Term2_Day_6[[#This Row],[Elapsed]],0))</f>
        <v/>
      </c>
      <c r="AP36" s="106" t="str">
        <f>IF(ISBLANK(Term2_Day_6[[#This Row],[Activity]]),"",IF(_xlfn.XLOOKUP(Term2_Day_6[[#This Row],[Activity]],Types_of_Activity[Type of Activity],Types_of_Activity[Classification])=2,Term2_Day_6[[#This Row],[Elapsed]],0))</f>
        <v/>
      </c>
      <c r="AQ36" s="107"/>
      <c r="AR36" s="136"/>
      <c r="AS36" s="136"/>
      <c r="AT36" s="103"/>
      <c r="AU36" s="106" t="str">
        <f>IF(OR(ISBLANK(Term2_Day_7[[#This Row],[Start]]),ISBLANK(Term2_Day_7[[#This Row],[End]])),"",(Term2_Day_7[[#This Row],[End]]-Term2_Day_7[[#This Row],[Start]])*1440)</f>
        <v/>
      </c>
      <c r="AV36" s="106" t="str">
        <f>IF(ISBLANK(Term2_Day_7[[#This Row],[Activity]]),"",IF(_xlfn.XLOOKUP(Term2_Day_7[[#This Row],[Activity]],Types_of_Activity[Type of Activity],Types_of_Activity[Classification])=1,Term2_Day_7[[#This Row],[Elapsed]],0))</f>
        <v/>
      </c>
      <c r="AW36" s="106" t="str">
        <f>IF(ISBLANK(Term2_Day_7[[#This Row],[Activity]]),"",IF(_xlfn.XLOOKUP(Term2_Day_7[[#This Row],[Activity]],Types_of_Activity[Type of Activity],Types_of_Activity[Classification])=2,Term2_Day_7[[#This Row],[Elapsed]],0))</f>
        <v/>
      </c>
      <c r="AX36" s="107"/>
      <c r="AY36" s="136"/>
      <c r="AZ36" s="136"/>
      <c r="BA36" s="103"/>
      <c r="BB36" s="106" t="str">
        <f>IF(OR(ISBLANK(Term2_Day_8[[#This Row],[Start]]),ISBLANK(Term2_Day_8[[#This Row],[End]])),"",(Term2_Day_8[[#This Row],[End]]-Term2_Day_8[[#This Row],[Start]])*1440)</f>
        <v/>
      </c>
      <c r="BC36" s="106" t="str">
        <f>IF(ISBLANK(Term2_Day_8[[#This Row],[Activity]]),"",IF(_xlfn.XLOOKUP(Term2_Day_8[[#This Row],[Activity]],Types_of_Activity[Type of Activity],Types_of_Activity[Classification])=1,Term2_Day_8[[#This Row],[Elapsed]],0))</f>
        <v/>
      </c>
      <c r="BD36" s="106" t="str">
        <f>IF(ISBLANK(Term2_Day_8[[#This Row],[Activity]]),"",IF(_xlfn.XLOOKUP(Term2_Day_8[[#This Row],[Activity]],Types_of_Activity[Type of Activity],Types_of_Activity[Classification])=2,Term2_Day_8[[#This Row],[Elapsed]],0))</f>
        <v/>
      </c>
      <c r="BE36" s="107"/>
      <c r="BF36" s="136"/>
      <c r="BG36" s="136"/>
      <c r="BH36" s="103"/>
      <c r="BI36" s="106" t="str">
        <f>IF(OR(ISBLANK(Term2_Day_9[[#This Row],[Start]]),ISBLANK(Term2_Day_9[[#This Row],[End]])),"",(Term2_Day_9[[#This Row],[End]]-Term2_Day_9[[#This Row],[Start]])*1440)</f>
        <v/>
      </c>
      <c r="BJ36" s="106" t="str">
        <f>IF(ISBLANK(Term2_Day_9[[#This Row],[Activity]]),"",IF(_xlfn.XLOOKUP(Term2_Day_9[[#This Row],[Activity]],Types_of_Activity[Type of Activity],Types_of_Activity[Classification])=1,Term2_Day_9[[#This Row],[Elapsed]],0))</f>
        <v/>
      </c>
      <c r="BK36" s="106" t="str">
        <f>IF(ISBLANK(Term2_Day_9[[#This Row],[Activity]]),"",IF(_xlfn.XLOOKUP(Term2_Day_9[[#This Row],[Activity]],Types_of_Activity[Type of Activity],Types_of_Activity[Classification])=2,Term2_Day_9[[#This Row],[Elapsed]],0))</f>
        <v/>
      </c>
      <c r="BL36" s="107"/>
      <c r="BM36" s="136"/>
      <c r="BN36" s="136"/>
      <c r="BO36" s="103"/>
      <c r="BP36" s="106" t="str">
        <f>IF(OR(ISBLANK(Term2_Day_10[[#This Row],[Start]]),ISBLANK(Term2_Day_10[[#This Row],[End]])),"",(Term2_Day_10[[#This Row],[End]]-Term2_Day_10[[#This Row],[Start]])*1440)</f>
        <v/>
      </c>
      <c r="BQ36" s="106" t="str">
        <f>IF(ISBLANK(Term2_Day_10[[#This Row],[Activity]]),"",IF(_xlfn.XLOOKUP(Term2_Day_10[[#This Row],[Activity]],Types_of_Activity[Type of Activity],Types_of_Activity[Classification])=1,Term2_Day_10[[#This Row],[Elapsed]],0))</f>
        <v/>
      </c>
      <c r="BR36" s="106" t="str">
        <f>IF(ISBLANK(Term2_Day_10[[#This Row],[Activity]]),"",IF(_xlfn.XLOOKUP(Term2_Day_10[[#This Row],[Activity]],Types_of_Activity[Type of Activity],Types_of_Activity[Classification])=2,Term2_Day_10[[#This Row],[Elapsed]],0))</f>
        <v/>
      </c>
      <c r="BS36" s="107"/>
    </row>
    <row r="37" spans="2:71" x14ac:dyDescent="0.3">
      <c r="B37" s="136"/>
      <c r="C37" s="136"/>
      <c r="D37" s="103"/>
      <c r="E37" s="106" t="str">
        <f>IF(OR(ISBLANK(Term2_Day_1[[#This Row],[Start]]),ISBLANK(Term2_Day_1[[#This Row],[End]])),"",(Term2_Day_1[[#This Row],[End]]-Term2_Day_1[[#This Row],[Start]])*1440)</f>
        <v/>
      </c>
      <c r="F37" s="106" t="str">
        <f>IF(ISBLANK(Term2_Day_1[[#This Row],[Activity]]),"",IF(_xlfn.XLOOKUP(Term2_Day_1[[#This Row],[Activity]],Types_of_Activity[Type of Activity],Types_of_Activity[Classification])=1,Term2_Day_1[[#This Row],[Elapsed]],0))</f>
        <v/>
      </c>
      <c r="G37" s="106" t="str">
        <f>IF(ISBLANK(Term2_Day_1[[#This Row],[Activity]]),"",IF(_xlfn.XLOOKUP(Term2_Day_1[[#This Row],[Activity]],Types_of_Activity[Type of Activity],Types_of_Activity[Classification])=2,Term2_Day_1[[#This Row],[Elapsed]],0))</f>
        <v/>
      </c>
      <c r="I37" s="136"/>
      <c r="J37" s="136"/>
      <c r="K37" s="103"/>
      <c r="L37" s="106" t="str">
        <f>IF(OR(ISBLANK(Term2_Day_2[[#This Row],[Start]]),ISBLANK(Term2_Day_2[[#This Row],[End]])),"",(Term2_Day_2[[#This Row],[End]]-Term2_Day_2[[#This Row],[Start]])*1440)</f>
        <v/>
      </c>
      <c r="M37" s="106" t="str">
        <f>IF(ISBLANK(Term2_Day_2[[#This Row],[Activity]]),"",IF(_xlfn.XLOOKUP(Term2_Day_2[[#This Row],[Activity]],Types_of_Activity[Type of Activity],Types_of_Activity[Classification])=1,Term2_Day_2[[#This Row],[Elapsed]],0))</f>
        <v/>
      </c>
      <c r="N37" s="106" t="str">
        <f>IF(ISBLANK(Term2_Day_2[[#This Row],[Activity]]),"",IF(_xlfn.XLOOKUP(Term2_Day_2[[#This Row],[Activity]],Types_of_Activity[Type of Activity],Types_of_Activity[Classification])=2,Term2_Day_2[[#This Row],[Elapsed]],0))</f>
        <v/>
      </c>
      <c r="P37" s="136"/>
      <c r="Q37" s="136"/>
      <c r="R37" s="103"/>
      <c r="S37" s="106" t="str">
        <f>IF(OR(ISBLANK(Term2_Day_3[[#This Row],[Start]]),ISBLANK(Term2_Day_3[[#This Row],[End]])),"",(Term2_Day_3[[#This Row],[End]]-Term2_Day_3[[#This Row],[Start]])*1440)</f>
        <v/>
      </c>
      <c r="T37" s="106" t="str">
        <f>IF(ISBLANK(Term2_Day_3[[#This Row],[Activity]]),"",IF(_xlfn.XLOOKUP(Term2_Day_3[[#This Row],[Activity]],Types_of_Activity[Type of Activity],Types_of_Activity[Classification])=1,Term2_Day_3[[#This Row],[Elapsed]],0))</f>
        <v/>
      </c>
      <c r="U37" s="106" t="str">
        <f>IF(ISBLANK(Term2_Day_3[[#This Row],[Activity]]),"",IF(_xlfn.XLOOKUP(Term2_Day_3[[#This Row],[Activity]],Types_of_Activity[Type of Activity],Types_of_Activity[Classification])=2,Term2_Day_3[[#This Row],[Elapsed]],0))</f>
        <v/>
      </c>
      <c r="W37" s="136"/>
      <c r="X37" s="136"/>
      <c r="Y37" s="103"/>
      <c r="Z37" s="106" t="str">
        <f>IF(OR(ISBLANK(Term2_Day_4[[#This Row],[Start]]),ISBLANK(Term2_Day_4[[#This Row],[End]])),"",(Term2_Day_4[[#This Row],[End]]-Term2_Day_4[[#This Row],[Start]])*1440)</f>
        <v/>
      </c>
      <c r="AA37" s="106" t="str">
        <f>IF(ISBLANK(Term2_Day_4[[#This Row],[Activity]]),"",IF(_xlfn.XLOOKUP(Term2_Day_4[[#This Row],[Activity]],Types_of_Activity[Type of Activity],Types_of_Activity[Classification])=1,Term2_Day_4[[#This Row],[Elapsed]],0))</f>
        <v/>
      </c>
      <c r="AB37" s="106" t="str">
        <f>IF(ISBLANK(Term2_Day_4[[#This Row],[Activity]]),"",IF(_xlfn.XLOOKUP(Term2_Day_4[[#This Row],[Activity]],Types_of_Activity[Type of Activity],Types_of_Activity[Classification])=2,Term2_Day_4[[#This Row],[Elapsed]],0))</f>
        <v/>
      </c>
      <c r="AD37" s="136"/>
      <c r="AE37" s="136"/>
      <c r="AF37" s="103"/>
      <c r="AG37" s="106" t="str">
        <f>IF(OR(ISBLANK(Term2_Day_5[[#This Row],[Start]]),ISBLANK(Term2_Day_5[[#This Row],[End]])),"",(Term2_Day_5[[#This Row],[End]]-Term2_Day_5[[#This Row],[Start]])*1440)</f>
        <v/>
      </c>
      <c r="AH37" s="106" t="str">
        <f>IF(ISBLANK(Term2_Day_5[[#This Row],[Activity]]),"",IF(_xlfn.XLOOKUP(Term2_Day_5[[#This Row],[Activity]],Types_of_Activity[Type of Activity],Types_of_Activity[Classification])=1,Term2_Day_5[[#This Row],[Elapsed]],0))</f>
        <v/>
      </c>
      <c r="AI37" s="106" t="str">
        <f>IF(ISBLANK(Term2_Day_5[[#This Row],[Activity]]),"",IF(_xlfn.XLOOKUP(Term2_Day_5[[#This Row],[Activity]],Types_of_Activity[Type of Activity],Types_of_Activity[Classification])=2,Term2_Day_5[[#This Row],[Elapsed]],0))</f>
        <v/>
      </c>
      <c r="AJ37" s="107"/>
      <c r="AK37" s="136"/>
      <c r="AL37" s="136"/>
      <c r="AM37" s="103"/>
      <c r="AN37" s="106" t="str">
        <f>IF(OR(ISBLANK(Term2_Day_6[[#This Row],[Start]]),ISBLANK(Term2_Day_6[[#This Row],[End]])),"",(Term2_Day_6[[#This Row],[End]]-Term2_Day_6[[#This Row],[Start]])*1440)</f>
        <v/>
      </c>
      <c r="AO37" s="106" t="str">
        <f>IF(ISBLANK(Term2_Day_6[[#This Row],[Activity]]),"",IF(_xlfn.XLOOKUP(Term2_Day_6[[#This Row],[Activity]],Types_of_Activity[Type of Activity],Types_of_Activity[Classification])=1,Term2_Day_6[[#This Row],[Elapsed]],0))</f>
        <v/>
      </c>
      <c r="AP37" s="106" t="str">
        <f>IF(ISBLANK(Term2_Day_6[[#This Row],[Activity]]),"",IF(_xlfn.XLOOKUP(Term2_Day_6[[#This Row],[Activity]],Types_of_Activity[Type of Activity],Types_of_Activity[Classification])=2,Term2_Day_6[[#This Row],[Elapsed]],0))</f>
        <v/>
      </c>
      <c r="AQ37" s="107"/>
      <c r="AR37" s="136"/>
      <c r="AS37" s="136"/>
      <c r="AT37" s="103"/>
      <c r="AU37" s="106" t="str">
        <f>IF(OR(ISBLANK(Term2_Day_7[[#This Row],[Start]]),ISBLANK(Term2_Day_7[[#This Row],[End]])),"",(Term2_Day_7[[#This Row],[End]]-Term2_Day_7[[#This Row],[Start]])*1440)</f>
        <v/>
      </c>
      <c r="AV37" s="106" t="str">
        <f>IF(ISBLANK(Term2_Day_7[[#This Row],[Activity]]),"",IF(_xlfn.XLOOKUP(Term2_Day_7[[#This Row],[Activity]],Types_of_Activity[Type of Activity],Types_of_Activity[Classification])=1,Term2_Day_7[[#This Row],[Elapsed]],0))</f>
        <v/>
      </c>
      <c r="AW37" s="106" t="str">
        <f>IF(ISBLANK(Term2_Day_7[[#This Row],[Activity]]),"",IF(_xlfn.XLOOKUP(Term2_Day_7[[#This Row],[Activity]],Types_of_Activity[Type of Activity],Types_of_Activity[Classification])=2,Term2_Day_7[[#This Row],[Elapsed]],0))</f>
        <v/>
      </c>
      <c r="AX37" s="107"/>
      <c r="AY37" s="136"/>
      <c r="AZ37" s="136"/>
      <c r="BA37" s="103"/>
      <c r="BB37" s="106" t="str">
        <f>IF(OR(ISBLANK(Term2_Day_8[[#This Row],[Start]]),ISBLANK(Term2_Day_8[[#This Row],[End]])),"",(Term2_Day_8[[#This Row],[End]]-Term2_Day_8[[#This Row],[Start]])*1440)</f>
        <v/>
      </c>
      <c r="BC37" s="106" t="str">
        <f>IF(ISBLANK(Term2_Day_8[[#This Row],[Activity]]),"",IF(_xlfn.XLOOKUP(Term2_Day_8[[#This Row],[Activity]],Types_of_Activity[Type of Activity],Types_of_Activity[Classification])=1,Term2_Day_8[[#This Row],[Elapsed]],0))</f>
        <v/>
      </c>
      <c r="BD37" s="106" t="str">
        <f>IF(ISBLANK(Term2_Day_8[[#This Row],[Activity]]),"",IF(_xlfn.XLOOKUP(Term2_Day_8[[#This Row],[Activity]],Types_of_Activity[Type of Activity],Types_of_Activity[Classification])=2,Term2_Day_8[[#This Row],[Elapsed]],0))</f>
        <v/>
      </c>
      <c r="BE37" s="107"/>
      <c r="BF37" s="136"/>
      <c r="BG37" s="136"/>
      <c r="BH37" s="103"/>
      <c r="BI37" s="106" t="str">
        <f>IF(OR(ISBLANK(Term2_Day_9[[#This Row],[Start]]),ISBLANK(Term2_Day_9[[#This Row],[End]])),"",(Term2_Day_9[[#This Row],[End]]-Term2_Day_9[[#This Row],[Start]])*1440)</f>
        <v/>
      </c>
      <c r="BJ37" s="106" t="str">
        <f>IF(ISBLANK(Term2_Day_9[[#This Row],[Activity]]),"",IF(_xlfn.XLOOKUP(Term2_Day_9[[#This Row],[Activity]],Types_of_Activity[Type of Activity],Types_of_Activity[Classification])=1,Term2_Day_9[[#This Row],[Elapsed]],0))</f>
        <v/>
      </c>
      <c r="BK37" s="106" t="str">
        <f>IF(ISBLANK(Term2_Day_9[[#This Row],[Activity]]),"",IF(_xlfn.XLOOKUP(Term2_Day_9[[#This Row],[Activity]],Types_of_Activity[Type of Activity],Types_of_Activity[Classification])=2,Term2_Day_9[[#This Row],[Elapsed]],0))</f>
        <v/>
      </c>
      <c r="BL37" s="107"/>
      <c r="BM37" s="136"/>
      <c r="BN37" s="136"/>
      <c r="BO37" s="103"/>
      <c r="BP37" s="106" t="str">
        <f>IF(OR(ISBLANK(Term2_Day_10[[#This Row],[Start]]),ISBLANK(Term2_Day_10[[#This Row],[End]])),"",(Term2_Day_10[[#This Row],[End]]-Term2_Day_10[[#This Row],[Start]])*1440)</f>
        <v/>
      </c>
      <c r="BQ37" s="106" t="str">
        <f>IF(ISBLANK(Term2_Day_10[[#This Row],[Activity]]),"",IF(_xlfn.XLOOKUP(Term2_Day_10[[#This Row],[Activity]],Types_of_Activity[Type of Activity],Types_of_Activity[Classification])=1,Term2_Day_10[[#This Row],[Elapsed]],0))</f>
        <v/>
      </c>
      <c r="BR37" s="106" t="str">
        <f>IF(ISBLANK(Term2_Day_10[[#This Row],[Activity]]),"",IF(_xlfn.XLOOKUP(Term2_Day_10[[#This Row],[Activity]],Types_of_Activity[Type of Activity],Types_of_Activity[Classification])=2,Term2_Day_10[[#This Row],[Elapsed]],0))</f>
        <v/>
      </c>
      <c r="BS37" s="107"/>
    </row>
    <row r="38" spans="2:71" x14ac:dyDescent="0.3">
      <c r="B38" s="136"/>
      <c r="C38" s="136"/>
      <c r="D38" s="103"/>
      <c r="E38" s="106" t="str">
        <f>IF(OR(ISBLANK(Term2_Day_1[[#This Row],[Start]]),ISBLANK(Term2_Day_1[[#This Row],[End]])),"",(Term2_Day_1[[#This Row],[End]]-Term2_Day_1[[#This Row],[Start]])*1440)</f>
        <v/>
      </c>
      <c r="F38" s="106" t="str">
        <f>IF(ISBLANK(Term2_Day_1[[#This Row],[Activity]]),"",IF(_xlfn.XLOOKUP(Term2_Day_1[[#This Row],[Activity]],Types_of_Activity[Type of Activity],Types_of_Activity[Classification])=1,Term2_Day_1[[#This Row],[Elapsed]],0))</f>
        <v/>
      </c>
      <c r="G38" s="106" t="str">
        <f>IF(ISBLANK(Term2_Day_1[[#This Row],[Activity]]),"",IF(_xlfn.XLOOKUP(Term2_Day_1[[#This Row],[Activity]],Types_of_Activity[Type of Activity],Types_of_Activity[Classification])=2,Term2_Day_1[[#This Row],[Elapsed]],0))</f>
        <v/>
      </c>
      <c r="I38" s="136"/>
      <c r="J38" s="136"/>
      <c r="K38" s="103"/>
      <c r="L38" s="106" t="str">
        <f>IF(OR(ISBLANK(Term2_Day_2[[#This Row],[Start]]),ISBLANK(Term2_Day_2[[#This Row],[End]])),"",(Term2_Day_2[[#This Row],[End]]-Term2_Day_2[[#This Row],[Start]])*1440)</f>
        <v/>
      </c>
      <c r="M38" s="106" t="str">
        <f>IF(ISBLANK(Term2_Day_2[[#This Row],[Activity]]),"",IF(_xlfn.XLOOKUP(Term2_Day_2[[#This Row],[Activity]],Types_of_Activity[Type of Activity],Types_of_Activity[Classification])=1,Term2_Day_2[[#This Row],[Elapsed]],0))</f>
        <v/>
      </c>
      <c r="N38" s="106" t="str">
        <f>IF(ISBLANK(Term2_Day_2[[#This Row],[Activity]]),"",IF(_xlfn.XLOOKUP(Term2_Day_2[[#This Row],[Activity]],Types_of_Activity[Type of Activity],Types_of_Activity[Classification])=2,Term2_Day_2[[#This Row],[Elapsed]],0))</f>
        <v/>
      </c>
      <c r="P38" s="136"/>
      <c r="Q38" s="136"/>
      <c r="R38" s="103"/>
      <c r="S38" s="106" t="str">
        <f>IF(OR(ISBLANK(Term2_Day_3[[#This Row],[Start]]),ISBLANK(Term2_Day_3[[#This Row],[End]])),"",(Term2_Day_3[[#This Row],[End]]-Term2_Day_3[[#This Row],[Start]])*1440)</f>
        <v/>
      </c>
      <c r="T38" s="106" t="str">
        <f>IF(ISBLANK(Term2_Day_3[[#This Row],[Activity]]),"",IF(_xlfn.XLOOKUP(Term2_Day_3[[#This Row],[Activity]],Types_of_Activity[Type of Activity],Types_of_Activity[Classification])=1,Term2_Day_3[[#This Row],[Elapsed]],0))</f>
        <v/>
      </c>
      <c r="U38" s="106" t="str">
        <f>IF(ISBLANK(Term2_Day_3[[#This Row],[Activity]]),"",IF(_xlfn.XLOOKUP(Term2_Day_3[[#This Row],[Activity]],Types_of_Activity[Type of Activity],Types_of_Activity[Classification])=2,Term2_Day_3[[#This Row],[Elapsed]],0))</f>
        <v/>
      </c>
      <c r="W38" s="136"/>
      <c r="X38" s="136"/>
      <c r="Y38" s="103"/>
      <c r="Z38" s="106" t="str">
        <f>IF(OR(ISBLANK(Term2_Day_4[[#This Row],[Start]]),ISBLANK(Term2_Day_4[[#This Row],[End]])),"",(Term2_Day_4[[#This Row],[End]]-Term2_Day_4[[#This Row],[Start]])*1440)</f>
        <v/>
      </c>
      <c r="AA38" s="106" t="str">
        <f>IF(ISBLANK(Term2_Day_4[[#This Row],[Activity]]),"",IF(_xlfn.XLOOKUP(Term2_Day_4[[#This Row],[Activity]],Types_of_Activity[Type of Activity],Types_of_Activity[Classification])=1,Term2_Day_4[[#This Row],[Elapsed]],0))</f>
        <v/>
      </c>
      <c r="AB38" s="106" t="str">
        <f>IF(ISBLANK(Term2_Day_4[[#This Row],[Activity]]),"",IF(_xlfn.XLOOKUP(Term2_Day_4[[#This Row],[Activity]],Types_of_Activity[Type of Activity],Types_of_Activity[Classification])=2,Term2_Day_4[[#This Row],[Elapsed]],0))</f>
        <v/>
      </c>
      <c r="AD38" s="136"/>
      <c r="AE38" s="136"/>
      <c r="AF38" s="103"/>
      <c r="AG38" s="106" t="str">
        <f>IF(OR(ISBLANK(Term2_Day_5[[#This Row],[Start]]),ISBLANK(Term2_Day_5[[#This Row],[End]])),"",(Term2_Day_5[[#This Row],[End]]-Term2_Day_5[[#This Row],[Start]])*1440)</f>
        <v/>
      </c>
      <c r="AH38" s="106" t="str">
        <f>IF(ISBLANK(Term2_Day_5[[#This Row],[Activity]]),"",IF(_xlfn.XLOOKUP(Term2_Day_5[[#This Row],[Activity]],Types_of_Activity[Type of Activity],Types_of_Activity[Classification])=1,Term2_Day_5[[#This Row],[Elapsed]],0))</f>
        <v/>
      </c>
      <c r="AI38" s="106" t="str">
        <f>IF(ISBLANK(Term2_Day_5[[#This Row],[Activity]]),"",IF(_xlfn.XLOOKUP(Term2_Day_5[[#This Row],[Activity]],Types_of_Activity[Type of Activity],Types_of_Activity[Classification])=2,Term2_Day_5[[#This Row],[Elapsed]],0))</f>
        <v/>
      </c>
      <c r="AJ38" s="107"/>
      <c r="AK38" s="136"/>
      <c r="AL38" s="136"/>
      <c r="AM38" s="103"/>
      <c r="AN38" s="106" t="str">
        <f>IF(OR(ISBLANK(Term2_Day_6[[#This Row],[Start]]),ISBLANK(Term2_Day_6[[#This Row],[End]])),"",(Term2_Day_6[[#This Row],[End]]-Term2_Day_6[[#This Row],[Start]])*1440)</f>
        <v/>
      </c>
      <c r="AO38" s="106" t="str">
        <f>IF(ISBLANK(Term2_Day_6[[#This Row],[Activity]]),"",IF(_xlfn.XLOOKUP(Term2_Day_6[[#This Row],[Activity]],Types_of_Activity[Type of Activity],Types_of_Activity[Classification])=1,Term2_Day_6[[#This Row],[Elapsed]],0))</f>
        <v/>
      </c>
      <c r="AP38" s="106" t="str">
        <f>IF(ISBLANK(Term2_Day_6[[#This Row],[Activity]]),"",IF(_xlfn.XLOOKUP(Term2_Day_6[[#This Row],[Activity]],Types_of_Activity[Type of Activity],Types_of_Activity[Classification])=2,Term2_Day_6[[#This Row],[Elapsed]],0))</f>
        <v/>
      </c>
      <c r="AQ38" s="107"/>
      <c r="AR38" s="136"/>
      <c r="AS38" s="136"/>
      <c r="AT38" s="103"/>
      <c r="AU38" s="106" t="str">
        <f>IF(OR(ISBLANK(Term2_Day_7[[#This Row],[Start]]),ISBLANK(Term2_Day_7[[#This Row],[End]])),"",(Term2_Day_7[[#This Row],[End]]-Term2_Day_7[[#This Row],[Start]])*1440)</f>
        <v/>
      </c>
      <c r="AV38" s="106" t="str">
        <f>IF(ISBLANK(Term2_Day_7[[#This Row],[Activity]]),"",IF(_xlfn.XLOOKUP(Term2_Day_7[[#This Row],[Activity]],Types_of_Activity[Type of Activity],Types_of_Activity[Classification])=1,Term2_Day_7[[#This Row],[Elapsed]],0))</f>
        <v/>
      </c>
      <c r="AW38" s="106" t="str">
        <f>IF(ISBLANK(Term2_Day_7[[#This Row],[Activity]]),"",IF(_xlfn.XLOOKUP(Term2_Day_7[[#This Row],[Activity]],Types_of_Activity[Type of Activity],Types_of_Activity[Classification])=2,Term2_Day_7[[#This Row],[Elapsed]],0))</f>
        <v/>
      </c>
      <c r="AX38" s="107"/>
      <c r="AY38" s="136"/>
      <c r="AZ38" s="136"/>
      <c r="BA38" s="103"/>
      <c r="BB38" s="106" t="str">
        <f>IF(OR(ISBLANK(Term2_Day_8[[#This Row],[Start]]),ISBLANK(Term2_Day_8[[#This Row],[End]])),"",(Term2_Day_8[[#This Row],[End]]-Term2_Day_8[[#This Row],[Start]])*1440)</f>
        <v/>
      </c>
      <c r="BC38" s="106" t="str">
        <f>IF(ISBLANK(Term2_Day_8[[#This Row],[Activity]]),"",IF(_xlfn.XLOOKUP(Term2_Day_8[[#This Row],[Activity]],Types_of_Activity[Type of Activity],Types_of_Activity[Classification])=1,Term2_Day_8[[#This Row],[Elapsed]],0))</f>
        <v/>
      </c>
      <c r="BD38" s="106" t="str">
        <f>IF(ISBLANK(Term2_Day_8[[#This Row],[Activity]]),"",IF(_xlfn.XLOOKUP(Term2_Day_8[[#This Row],[Activity]],Types_of_Activity[Type of Activity],Types_of_Activity[Classification])=2,Term2_Day_8[[#This Row],[Elapsed]],0))</f>
        <v/>
      </c>
      <c r="BE38" s="107"/>
      <c r="BF38" s="136"/>
      <c r="BG38" s="136"/>
      <c r="BH38" s="103"/>
      <c r="BI38" s="106" t="str">
        <f>IF(OR(ISBLANK(Term2_Day_9[[#This Row],[Start]]),ISBLANK(Term2_Day_9[[#This Row],[End]])),"",(Term2_Day_9[[#This Row],[End]]-Term2_Day_9[[#This Row],[Start]])*1440)</f>
        <v/>
      </c>
      <c r="BJ38" s="106" t="str">
        <f>IF(ISBLANK(Term2_Day_9[[#This Row],[Activity]]),"",IF(_xlfn.XLOOKUP(Term2_Day_9[[#This Row],[Activity]],Types_of_Activity[Type of Activity],Types_of_Activity[Classification])=1,Term2_Day_9[[#This Row],[Elapsed]],0))</f>
        <v/>
      </c>
      <c r="BK38" s="106" t="str">
        <f>IF(ISBLANK(Term2_Day_9[[#This Row],[Activity]]),"",IF(_xlfn.XLOOKUP(Term2_Day_9[[#This Row],[Activity]],Types_of_Activity[Type of Activity],Types_of_Activity[Classification])=2,Term2_Day_9[[#This Row],[Elapsed]],0))</f>
        <v/>
      </c>
      <c r="BL38" s="107"/>
      <c r="BM38" s="136"/>
      <c r="BN38" s="136"/>
      <c r="BO38" s="103"/>
      <c r="BP38" s="106" t="str">
        <f>IF(OR(ISBLANK(Term2_Day_10[[#This Row],[Start]]),ISBLANK(Term2_Day_10[[#This Row],[End]])),"",(Term2_Day_10[[#This Row],[End]]-Term2_Day_10[[#This Row],[Start]])*1440)</f>
        <v/>
      </c>
      <c r="BQ38" s="106" t="str">
        <f>IF(ISBLANK(Term2_Day_10[[#This Row],[Activity]]),"",IF(_xlfn.XLOOKUP(Term2_Day_10[[#This Row],[Activity]],Types_of_Activity[Type of Activity],Types_of_Activity[Classification])=1,Term2_Day_10[[#This Row],[Elapsed]],0))</f>
        <v/>
      </c>
      <c r="BR38" s="106" t="str">
        <f>IF(ISBLANK(Term2_Day_10[[#This Row],[Activity]]),"",IF(_xlfn.XLOOKUP(Term2_Day_10[[#This Row],[Activity]],Types_of_Activity[Type of Activity],Types_of_Activity[Classification])=2,Term2_Day_10[[#This Row],[Elapsed]],0))</f>
        <v/>
      </c>
      <c r="BS38" s="107"/>
    </row>
    <row r="39" spans="2:71" x14ac:dyDescent="0.3">
      <c r="B39" s="136"/>
      <c r="C39" s="136"/>
      <c r="D39" s="103"/>
      <c r="E39" s="106" t="str">
        <f>IF(OR(ISBLANK(Term2_Day_1[[#This Row],[Start]]),ISBLANK(Term2_Day_1[[#This Row],[End]])),"",(Term2_Day_1[[#This Row],[End]]-Term2_Day_1[[#This Row],[Start]])*1440)</f>
        <v/>
      </c>
      <c r="F39" s="106" t="str">
        <f>IF(ISBLANK(Term2_Day_1[[#This Row],[Activity]]),"",IF(_xlfn.XLOOKUP(Term2_Day_1[[#This Row],[Activity]],Types_of_Activity[Type of Activity],Types_of_Activity[Classification])=1,Term2_Day_1[[#This Row],[Elapsed]],0))</f>
        <v/>
      </c>
      <c r="G39" s="106" t="str">
        <f>IF(ISBLANK(Term2_Day_1[[#This Row],[Activity]]),"",IF(_xlfn.XLOOKUP(Term2_Day_1[[#This Row],[Activity]],Types_of_Activity[Type of Activity],Types_of_Activity[Classification])=2,Term2_Day_1[[#This Row],[Elapsed]],0))</f>
        <v/>
      </c>
      <c r="I39" s="136"/>
      <c r="J39" s="136"/>
      <c r="K39" s="103"/>
      <c r="L39" s="106" t="str">
        <f>IF(OR(ISBLANK(Term2_Day_2[[#This Row],[Start]]),ISBLANK(Term2_Day_2[[#This Row],[End]])),"",(Term2_Day_2[[#This Row],[End]]-Term2_Day_2[[#This Row],[Start]])*1440)</f>
        <v/>
      </c>
      <c r="M39" s="106" t="str">
        <f>IF(ISBLANK(Term2_Day_2[[#This Row],[Activity]]),"",IF(_xlfn.XLOOKUP(Term2_Day_2[[#This Row],[Activity]],Types_of_Activity[Type of Activity],Types_of_Activity[Classification])=1,Term2_Day_2[[#This Row],[Elapsed]],0))</f>
        <v/>
      </c>
      <c r="N39" s="106" t="str">
        <f>IF(ISBLANK(Term2_Day_2[[#This Row],[Activity]]),"",IF(_xlfn.XLOOKUP(Term2_Day_2[[#This Row],[Activity]],Types_of_Activity[Type of Activity],Types_of_Activity[Classification])=2,Term2_Day_2[[#This Row],[Elapsed]],0))</f>
        <v/>
      </c>
      <c r="P39" s="136"/>
      <c r="Q39" s="136"/>
      <c r="R39" s="103"/>
      <c r="S39" s="106" t="str">
        <f>IF(OR(ISBLANK(Term2_Day_3[[#This Row],[Start]]),ISBLANK(Term2_Day_3[[#This Row],[End]])),"",(Term2_Day_3[[#This Row],[End]]-Term2_Day_3[[#This Row],[Start]])*1440)</f>
        <v/>
      </c>
      <c r="T39" s="106" t="str">
        <f>IF(ISBLANK(Term2_Day_3[[#This Row],[Activity]]),"",IF(_xlfn.XLOOKUP(Term2_Day_3[[#This Row],[Activity]],Types_of_Activity[Type of Activity],Types_of_Activity[Classification])=1,Term2_Day_3[[#This Row],[Elapsed]],0))</f>
        <v/>
      </c>
      <c r="U39" s="106" t="str">
        <f>IF(ISBLANK(Term2_Day_3[[#This Row],[Activity]]),"",IF(_xlfn.XLOOKUP(Term2_Day_3[[#This Row],[Activity]],Types_of_Activity[Type of Activity],Types_of_Activity[Classification])=2,Term2_Day_3[[#This Row],[Elapsed]],0))</f>
        <v/>
      </c>
      <c r="W39" s="136"/>
      <c r="X39" s="136"/>
      <c r="Y39" s="103"/>
      <c r="Z39" s="106" t="str">
        <f>IF(OR(ISBLANK(Term2_Day_4[[#This Row],[Start]]),ISBLANK(Term2_Day_4[[#This Row],[End]])),"",(Term2_Day_4[[#This Row],[End]]-Term2_Day_4[[#This Row],[Start]])*1440)</f>
        <v/>
      </c>
      <c r="AA39" s="106" t="str">
        <f>IF(ISBLANK(Term2_Day_4[[#This Row],[Activity]]),"",IF(_xlfn.XLOOKUP(Term2_Day_4[[#This Row],[Activity]],Types_of_Activity[Type of Activity],Types_of_Activity[Classification])=1,Term2_Day_4[[#This Row],[Elapsed]],0))</f>
        <v/>
      </c>
      <c r="AB39" s="106" t="str">
        <f>IF(ISBLANK(Term2_Day_4[[#This Row],[Activity]]),"",IF(_xlfn.XLOOKUP(Term2_Day_4[[#This Row],[Activity]],Types_of_Activity[Type of Activity],Types_of_Activity[Classification])=2,Term2_Day_4[[#This Row],[Elapsed]],0))</f>
        <v/>
      </c>
      <c r="AD39" s="136"/>
      <c r="AE39" s="136"/>
      <c r="AF39" s="103"/>
      <c r="AG39" s="106" t="str">
        <f>IF(OR(ISBLANK(Term2_Day_5[[#This Row],[Start]]),ISBLANK(Term2_Day_5[[#This Row],[End]])),"",(Term2_Day_5[[#This Row],[End]]-Term2_Day_5[[#This Row],[Start]])*1440)</f>
        <v/>
      </c>
      <c r="AH39" s="106" t="str">
        <f>IF(ISBLANK(Term2_Day_5[[#This Row],[Activity]]),"",IF(_xlfn.XLOOKUP(Term2_Day_5[[#This Row],[Activity]],Types_of_Activity[Type of Activity],Types_of_Activity[Classification])=1,Term2_Day_5[[#This Row],[Elapsed]],0))</f>
        <v/>
      </c>
      <c r="AI39" s="106" t="str">
        <f>IF(ISBLANK(Term2_Day_5[[#This Row],[Activity]]),"",IF(_xlfn.XLOOKUP(Term2_Day_5[[#This Row],[Activity]],Types_of_Activity[Type of Activity],Types_of_Activity[Classification])=2,Term2_Day_5[[#This Row],[Elapsed]],0))</f>
        <v/>
      </c>
      <c r="AJ39" s="107"/>
      <c r="AK39" s="136"/>
      <c r="AL39" s="136"/>
      <c r="AM39" s="103"/>
      <c r="AN39" s="106" t="str">
        <f>IF(OR(ISBLANK(Term2_Day_6[[#This Row],[Start]]),ISBLANK(Term2_Day_6[[#This Row],[End]])),"",(Term2_Day_6[[#This Row],[End]]-Term2_Day_6[[#This Row],[Start]])*1440)</f>
        <v/>
      </c>
      <c r="AO39" s="106" t="str">
        <f>IF(ISBLANK(Term2_Day_6[[#This Row],[Activity]]),"",IF(_xlfn.XLOOKUP(Term2_Day_6[[#This Row],[Activity]],Types_of_Activity[Type of Activity],Types_of_Activity[Classification])=1,Term2_Day_6[[#This Row],[Elapsed]],0))</f>
        <v/>
      </c>
      <c r="AP39" s="106" t="str">
        <f>IF(ISBLANK(Term2_Day_6[[#This Row],[Activity]]),"",IF(_xlfn.XLOOKUP(Term2_Day_6[[#This Row],[Activity]],Types_of_Activity[Type of Activity],Types_of_Activity[Classification])=2,Term2_Day_6[[#This Row],[Elapsed]],0))</f>
        <v/>
      </c>
      <c r="AQ39" s="107"/>
      <c r="AR39" s="136"/>
      <c r="AS39" s="136"/>
      <c r="AT39" s="103"/>
      <c r="AU39" s="106" t="str">
        <f>IF(OR(ISBLANK(Term2_Day_7[[#This Row],[Start]]),ISBLANK(Term2_Day_7[[#This Row],[End]])),"",(Term2_Day_7[[#This Row],[End]]-Term2_Day_7[[#This Row],[Start]])*1440)</f>
        <v/>
      </c>
      <c r="AV39" s="106" t="str">
        <f>IF(ISBLANK(Term2_Day_7[[#This Row],[Activity]]),"",IF(_xlfn.XLOOKUP(Term2_Day_7[[#This Row],[Activity]],Types_of_Activity[Type of Activity],Types_of_Activity[Classification])=1,Term2_Day_7[[#This Row],[Elapsed]],0))</f>
        <v/>
      </c>
      <c r="AW39" s="106" t="str">
        <f>IF(ISBLANK(Term2_Day_7[[#This Row],[Activity]]),"",IF(_xlfn.XLOOKUP(Term2_Day_7[[#This Row],[Activity]],Types_of_Activity[Type of Activity],Types_of_Activity[Classification])=2,Term2_Day_7[[#This Row],[Elapsed]],0))</f>
        <v/>
      </c>
      <c r="AX39" s="107"/>
      <c r="AY39" s="136"/>
      <c r="AZ39" s="136"/>
      <c r="BA39" s="103"/>
      <c r="BB39" s="106" t="str">
        <f>IF(OR(ISBLANK(Term2_Day_8[[#This Row],[Start]]),ISBLANK(Term2_Day_8[[#This Row],[End]])),"",(Term2_Day_8[[#This Row],[End]]-Term2_Day_8[[#This Row],[Start]])*1440)</f>
        <v/>
      </c>
      <c r="BC39" s="106" t="str">
        <f>IF(ISBLANK(Term2_Day_8[[#This Row],[Activity]]),"",IF(_xlfn.XLOOKUP(Term2_Day_8[[#This Row],[Activity]],Types_of_Activity[Type of Activity],Types_of_Activity[Classification])=1,Term2_Day_8[[#This Row],[Elapsed]],0))</f>
        <v/>
      </c>
      <c r="BD39" s="106" t="str">
        <f>IF(ISBLANK(Term2_Day_8[[#This Row],[Activity]]),"",IF(_xlfn.XLOOKUP(Term2_Day_8[[#This Row],[Activity]],Types_of_Activity[Type of Activity],Types_of_Activity[Classification])=2,Term2_Day_8[[#This Row],[Elapsed]],0))</f>
        <v/>
      </c>
      <c r="BE39" s="107"/>
      <c r="BF39" s="136"/>
      <c r="BG39" s="136"/>
      <c r="BH39" s="103"/>
      <c r="BI39" s="106" t="str">
        <f>IF(OR(ISBLANK(Term2_Day_9[[#This Row],[Start]]),ISBLANK(Term2_Day_9[[#This Row],[End]])),"",(Term2_Day_9[[#This Row],[End]]-Term2_Day_9[[#This Row],[Start]])*1440)</f>
        <v/>
      </c>
      <c r="BJ39" s="106" t="str">
        <f>IF(ISBLANK(Term2_Day_9[[#This Row],[Activity]]),"",IF(_xlfn.XLOOKUP(Term2_Day_9[[#This Row],[Activity]],Types_of_Activity[Type of Activity],Types_of_Activity[Classification])=1,Term2_Day_9[[#This Row],[Elapsed]],0))</f>
        <v/>
      </c>
      <c r="BK39" s="106" t="str">
        <f>IF(ISBLANK(Term2_Day_9[[#This Row],[Activity]]),"",IF(_xlfn.XLOOKUP(Term2_Day_9[[#This Row],[Activity]],Types_of_Activity[Type of Activity],Types_of_Activity[Classification])=2,Term2_Day_9[[#This Row],[Elapsed]],0))</f>
        <v/>
      </c>
      <c r="BL39" s="107"/>
      <c r="BM39" s="136"/>
      <c r="BN39" s="136"/>
      <c r="BO39" s="103"/>
      <c r="BP39" s="106" t="str">
        <f>IF(OR(ISBLANK(Term2_Day_10[[#This Row],[Start]]),ISBLANK(Term2_Day_10[[#This Row],[End]])),"",(Term2_Day_10[[#This Row],[End]]-Term2_Day_10[[#This Row],[Start]])*1440)</f>
        <v/>
      </c>
      <c r="BQ39" s="106" t="str">
        <f>IF(ISBLANK(Term2_Day_10[[#This Row],[Activity]]),"",IF(_xlfn.XLOOKUP(Term2_Day_10[[#This Row],[Activity]],Types_of_Activity[Type of Activity],Types_of_Activity[Classification])=1,Term2_Day_10[[#This Row],[Elapsed]],0))</f>
        <v/>
      </c>
      <c r="BR39" s="106" t="str">
        <f>IF(ISBLANK(Term2_Day_10[[#This Row],[Activity]]),"",IF(_xlfn.XLOOKUP(Term2_Day_10[[#This Row],[Activity]],Types_of_Activity[Type of Activity],Types_of_Activity[Classification])=2,Term2_Day_10[[#This Row],[Elapsed]],0))</f>
        <v/>
      </c>
      <c r="BS39" s="107"/>
    </row>
    <row r="40" spans="2:71" x14ac:dyDescent="0.3">
      <c r="B40" s="136"/>
      <c r="C40" s="136"/>
      <c r="D40" s="103"/>
      <c r="E40" s="106" t="str">
        <f>IF(OR(ISBLANK(Term2_Day_1[[#This Row],[Start]]),ISBLANK(Term2_Day_1[[#This Row],[End]])),"",(Term2_Day_1[[#This Row],[End]]-Term2_Day_1[[#This Row],[Start]])*1440)</f>
        <v/>
      </c>
      <c r="F40" s="106" t="str">
        <f>IF(ISBLANK(Term2_Day_1[[#This Row],[Activity]]),"",IF(_xlfn.XLOOKUP(Term2_Day_1[[#This Row],[Activity]],Types_of_Activity[Type of Activity],Types_of_Activity[Classification])=1,Term2_Day_1[[#This Row],[Elapsed]],0))</f>
        <v/>
      </c>
      <c r="G40" s="106" t="str">
        <f>IF(ISBLANK(Term2_Day_1[[#This Row],[Activity]]),"",IF(_xlfn.XLOOKUP(Term2_Day_1[[#This Row],[Activity]],Types_of_Activity[Type of Activity],Types_of_Activity[Classification])=2,Term2_Day_1[[#This Row],[Elapsed]],0))</f>
        <v/>
      </c>
      <c r="I40" s="136"/>
      <c r="J40" s="136"/>
      <c r="K40" s="103"/>
      <c r="L40" s="106" t="str">
        <f>IF(OR(ISBLANK(Term2_Day_2[[#This Row],[Start]]),ISBLANK(Term2_Day_2[[#This Row],[End]])),"",(Term2_Day_2[[#This Row],[End]]-Term2_Day_2[[#This Row],[Start]])*1440)</f>
        <v/>
      </c>
      <c r="M40" s="106" t="str">
        <f>IF(ISBLANK(Term2_Day_2[[#This Row],[Activity]]),"",IF(_xlfn.XLOOKUP(Term2_Day_2[[#This Row],[Activity]],Types_of_Activity[Type of Activity],Types_of_Activity[Classification])=1,Term2_Day_2[[#This Row],[Elapsed]],0))</f>
        <v/>
      </c>
      <c r="N40" s="106" t="str">
        <f>IF(ISBLANK(Term2_Day_2[[#This Row],[Activity]]),"",IF(_xlfn.XLOOKUP(Term2_Day_2[[#This Row],[Activity]],Types_of_Activity[Type of Activity],Types_of_Activity[Classification])=2,Term2_Day_2[[#This Row],[Elapsed]],0))</f>
        <v/>
      </c>
      <c r="P40" s="136"/>
      <c r="Q40" s="136"/>
      <c r="R40" s="103"/>
      <c r="S40" s="106" t="str">
        <f>IF(OR(ISBLANK(Term2_Day_3[[#This Row],[Start]]),ISBLANK(Term2_Day_3[[#This Row],[End]])),"",(Term2_Day_3[[#This Row],[End]]-Term2_Day_3[[#This Row],[Start]])*1440)</f>
        <v/>
      </c>
      <c r="T40" s="106" t="str">
        <f>IF(ISBLANK(Term2_Day_3[[#This Row],[Activity]]),"",IF(_xlfn.XLOOKUP(Term2_Day_3[[#This Row],[Activity]],Types_of_Activity[Type of Activity],Types_of_Activity[Classification])=1,Term2_Day_3[[#This Row],[Elapsed]],0))</f>
        <v/>
      </c>
      <c r="U40" s="106" t="str">
        <f>IF(ISBLANK(Term2_Day_3[[#This Row],[Activity]]),"",IF(_xlfn.XLOOKUP(Term2_Day_3[[#This Row],[Activity]],Types_of_Activity[Type of Activity],Types_of_Activity[Classification])=2,Term2_Day_3[[#This Row],[Elapsed]],0))</f>
        <v/>
      </c>
      <c r="W40" s="136"/>
      <c r="X40" s="136"/>
      <c r="Y40" s="103"/>
      <c r="Z40" s="106" t="str">
        <f>IF(OR(ISBLANK(Term2_Day_4[[#This Row],[Start]]),ISBLANK(Term2_Day_4[[#This Row],[End]])),"",(Term2_Day_4[[#This Row],[End]]-Term2_Day_4[[#This Row],[Start]])*1440)</f>
        <v/>
      </c>
      <c r="AA40" s="106" t="str">
        <f>IF(ISBLANK(Term2_Day_4[[#This Row],[Activity]]),"",IF(_xlfn.XLOOKUP(Term2_Day_4[[#This Row],[Activity]],Types_of_Activity[Type of Activity],Types_of_Activity[Classification])=1,Term2_Day_4[[#This Row],[Elapsed]],0))</f>
        <v/>
      </c>
      <c r="AB40" s="106" t="str">
        <f>IF(ISBLANK(Term2_Day_4[[#This Row],[Activity]]),"",IF(_xlfn.XLOOKUP(Term2_Day_4[[#This Row],[Activity]],Types_of_Activity[Type of Activity],Types_of_Activity[Classification])=2,Term2_Day_4[[#This Row],[Elapsed]],0))</f>
        <v/>
      </c>
      <c r="AD40" s="136"/>
      <c r="AE40" s="136"/>
      <c r="AF40" s="103"/>
      <c r="AG40" s="106" t="str">
        <f>IF(OR(ISBLANK(Term2_Day_5[[#This Row],[Start]]),ISBLANK(Term2_Day_5[[#This Row],[End]])),"",(Term2_Day_5[[#This Row],[End]]-Term2_Day_5[[#This Row],[Start]])*1440)</f>
        <v/>
      </c>
      <c r="AH40" s="106" t="str">
        <f>IF(ISBLANK(Term2_Day_5[[#This Row],[Activity]]),"",IF(_xlfn.XLOOKUP(Term2_Day_5[[#This Row],[Activity]],Types_of_Activity[Type of Activity],Types_of_Activity[Classification])=1,Term2_Day_5[[#This Row],[Elapsed]],0))</f>
        <v/>
      </c>
      <c r="AI40" s="106" t="str">
        <f>IF(ISBLANK(Term2_Day_5[[#This Row],[Activity]]),"",IF(_xlfn.XLOOKUP(Term2_Day_5[[#This Row],[Activity]],Types_of_Activity[Type of Activity],Types_of_Activity[Classification])=2,Term2_Day_5[[#This Row],[Elapsed]],0))</f>
        <v/>
      </c>
      <c r="AJ40" s="107"/>
      <c r="AK40" s="136"/>
      <c r="AL40" s="136"/>
      <c r="AM40" s="103"/>
      <c r="AN40" s="106" t="str">
        <f>IF(OR(ISBLANK(Term2_Day_6[[#This Row],[Start]]),ISBLANK(Term2_Day_6[[#This Row],[End]])),"",(Term2_Day_6[[#This Row],[End]]-Term2_Day_6[[#This Row],[Start]])*1440)</f>
        <v/>
      </c>
      <c r="AO40" s="106" t="str">
        <f>IF(ISBLANK(Term2_Day_6[[#This Row],[Activity]]),"",IF(_xlfn.XLOOKUP(Term2_Day_6[[#This Row],[Activity]],Types_of_Activity[Type of Activity],Types_of_Activity[Classification])=1,Term2_Day_6[[#This Row],[Elapsed]],0))</f>
        <v/>
      </c>
      <c r="AP40" s="106" t="str">
        <f>IF(ISBLANK(Term2_Day_6[[#This Row],[Activity]]),"",IF(_xlfn.XLOOKUP(Term2_Day_6[[#This Row],[Activity]],Types_of_Activity[Type of Activity],Types_of_Activity[Classification])=2,Term2_Day_6[[#This Row],[Elapsed]],0))</f>
        <v/>
      </c>
      <c r="AQ40" s="107"/>
      <c r="AR40" s="136"/>
      <c r="AS40" s="136"/>
      <c r="AT40" s="103"/>
      <c r="AU40" s="106" t="str">
        <f>IF(OR(ISBLANK(Term2_Day_7[[#This Row],[Start]]),ISBLANK(Term2_Day_7[[#This Row],[End]])),"",(Term2_Day_7[[#This Row],[End]]-Term2_Day_7[[#This Row],[Start]])*1440)</f>
        <v/>
      </c>
      <c r="AV40" s="106" t="str">
        <f>IF(ISBLANK(Term2_Day_7[[#This Row],[Activity]]),"",IF(_xlfn.XLOOKUP(Term2_Day_7[[#This Row],[Activity]],Types_of_Activity[Type of Activity],Types_of_Activity[Classification])=1,Term2_Day_7[[#This Row],[Elapsed]],0))</f>
        <v/>
      </c>
      <c r="AW40" s="106" t="str">
        <f>IF(ISBLANK(Term2_Day_7[[#This Row],[Activity]]),"",IF(_xlfn.XLOOKUP(Term2_Day_7[[#This Row],[Activity]],Types_of_Activity[Type of Activity],Types_of_Activity[Classification])=2,Term2_Day_7[[#This Row],[Elapsed]],0))</f>
        <v/>
      </c>
      <c r="AX40" s="107"/>
      <c r="AY40" s="136"/>
      <c r="AZ40" s="136"/>
      <c r="BA40" s="103"/>
      <c r="BB40" s="106" t="str">
        <f>IF(OR(ISBLANK(Term2_Day_8[[#This Row],[Start]]),ISBLANK(Term2_Day_8[[#This Row],[End]])),"",(Term2_Day_8[[#This Row],[End]]-Term2_Day_8[[#This Row],[Start]])*1440)</f>
        <v/>
      </c>
      <c r="BC40" s="106" t="str">
        <f>IF(ISBLANK(Term2_Day_8[[#This Row],[Activity]]),"",IF(_xlfn.XLOOKUP(Term2_Day_8[[#This Row],[Activity]],Types_of_Activity[Type of Activity],Types_of_Activity[Classification])=1,Term2_Day_8[[#This Row],[Elapsed]],0))</f>
        <v/>
      </c>
      <c r="BD40" s="106" t="str">
        <f>IF(ISBLANK(Term2_Day_8[[#This Row],[Activity]]),"",IF(_xlfn.XLOOKUP(Term2_Day_8[[#This Row],[Activity]],Types_of_Activity[Type of Activity],Types_of_Activity[Classification])=2,Term2_Day_8[[#This Row],[Elapsed]],0))</f>
        <v/>
      </c>
      <c r="BE40" s="107"/>
      <c r="BF40" s="136"/>
      <c r="BG40" s="136"/>
      <c r="BH40" s="103"/>
      <c r="BI40" s="106" t="str">
        <f>IF(OR(ISBLANK(Term2_Day_9[[#This Row],[Start]]),ISBLANK(Term2_Day_9[[#This Row],[End]])),"",(Term2_Day_9[[#This Row],[End]]-Term2_Day_9[[#This Row],[Start]])*1440)</f>
        <v/>
      </c>
      <c r="BJ40" s="106" t="str">
        <f>IF(ISBLANK(Term2_Day_9[[#This Row],[Activity]]),"",IF(_xlfn.XLOOKUP(Term2_Day_9[[#This Row],[Activity]],Types_of_Activity[Type of Activity],Types_of_Activity[Classification])=1,Term2_Day_9[[#This Row],[Elapsed]],0))</f>
        <v/>
      </c>
      <c r="BK40" s="106" t="str">
        <f>IF(ISBLANK(Term2_Day_9[[#This Row],[Activity]]),"",IF(_xlfn.XLOOKUP(Term2_Day_9[[#This Row],[Activity]],Types_of_Activity[Type of Activity],Types_of_Activity[Classification])=2,Term2_Day_9[[#This Row],[Elapsed]],0))</f>
        <v/>
      </c>
      <c r="BL40" s="107"/>
      <c r="BM40" s="136"/>
      <c r="BN40" s="136"/>
      <c r="BO40" s="103"/>
      <c r="BP40" s="106" t="str">
        <f>IF(OR(ISBLANK(Term2_Day_10[[#This Row],[Start]]),ISBLANK(Term2_Day_10[[#This Row],[End]])),"",(Term2_Day_10[[#This Row],[End]]-Term2_Day_10[[#This Row],[Start]])*1440)</f>
        <v/>
      </c>
      <c r="BQ40" s="106" t="str">
        <f>IF(ISBLANK(Term2_Day_10[[#This Row],[Activity]]),"",IF(_xlfn.XLOOKUP(Term2_Day_10[[#This Row],[Activity]],Types_of_Activity[Type of Activity],Types_of_Activity[Classification])=1,Term2_Day_10[[#This Row],[Elapsed]],0))</f>
        <v/>
      </c>
      <c r="BR40" s="106" t="str">
        <f>IF(ISBLANK(Term2_Day_10[[#This Row],[Activity]]),"",IF(_xlfn.XLOOKUP(Term2_Day_10[[#This Row],[Activity]],Types_of_Activity[Type of Activity],Types_of_Activity[Classification])=2,Term2_Day_10[[#This Row],[Elapsed]],0))</f>
        <v/>
      </c>
      <c r="BS40" s="107"/>
    </row>
    <row r="41" spans="2:71" x14ac:dyDescent="0.3">
      <c r="B41" s="136"/>
      <c r="C41" s="136"/>
      <c r="D41" s="103"/>
      <c r="E41" s="106" t="str">
        <f>IF(OR(ISBLANK(Term2_Day_1[[#This Row],[Start]]),ISBLANK(Term2_Day_1[[#This Row],[End]])),"",(Term2_Day_1[[#This Row],[End]]-Term2_Day_1[[#This Row],[Start]])*1440)</f>
        <v/>
      </c>
      <c r="F41" s="106" t="str">
        <f>IF(ISBLANK(Term2_Day_1[[#This Row],[Activity]]),"",IF(_xlfn.XLOOKUP(Term2_Day_1[[#This Row],[Activity]],Types_of_Activity[Type of Activity],Types_of_Activity[Classification])=1,Term2_Day_1[[#This Row],[Elapsed]],0))</f>
        <v/>
      </c>
      <c r="G41" s="106" t="str">
        <f>IF(ISBLANK(Term2_Day_1[[#This Row],[Activity]]),"",IF(_xlfn.XLOOKUP(Term2_Day_1[[#This Row],[Activity]],Types_of_Activity[Type of Activity],Types_of_Activity[Classification])=2,Term2_Day_1[[#This Row],[Elapsed]],0))</f>
        <v/>
      </c>
      <c r="I41" s="136"/>
      <c r="J41" s="136"/>
      <c r="K41" s="103"/>
      <c r="L41" s="106" t="str">
        <f>IF(OR(ISBLANK(Term2_Day_2[[#This Row],[Start]]),ISBLANK(Term2_Day_2[[#This Row],[End]])),"",(Term2_Day_2[[#This Row],[End]]-Term2_Day_2[[#This Row],[Start]])*1440)</f>
        <v/>
      </c>
      <c r="M41" s="106" t="str">
        <f>IF(ISBLANK(Term2_Day_2[[#This Row],[Activity]]),"",IF(_xlfn.XLOOKUP(Term2_Day_2[[#This Row],[Activity]],Types_of_Activity[Type of Activity],Types_of_Activity[Classification])=1,Term2_Day_2[[#This Row],[Elapsed]],0))</f>
        <v/>
      </c>
      <c r="N41" s="106" t="str">
        <f>IF(ISBLANK(Term2_Day_2[[#This Row],[Activity]]),"",IF(_xlfn.XLOOKUP(Term2_Day_2[[#This Row],[Activity]],Types_of_Activity[Type of Activity],Types_of_Activity[Classification])=2,Term2_Day_2[[#This Row],[Elapsed]],0))</f>
        <v/>
      </c>
      <c r="P41" s="136"/>
      <c r="Q41" s="136"/>
      <c r="R41" s="103"/>
      <c r="S41" s="106" t="str">
        <f>IF(OR(ISBLANK(Term2_Day_3[[#This Row],[Start]]),ISBLANK(Term2_Day_3[[#This Row],[End]])),"",(Term2_Day_3[[#This Row],[End]]-Term2_Day_3[[#This Row],[Start]])*1440)</f>
        <v/>
      </c>
      <c r="T41" s="106" t="str">
        <f>IF(ISBLANK(Term2_Day_3[[#This Row],[Activity]]),"",IF(_xlfn.XLOOKUP(Term2_Day_3[[#This Row],[Activity]],Types_of_Activity[Type of Activity],Types_of_Activity[Classification])=1,Term2_Day_3[[#This Row],[Elapsed]],0))</f>
        <v/>
      </c>
      <c r="U41" s="106" t="str">
        <f>IF(ISBLANK(Term2_Day_3[[#This Row],[Activity]]),"",IF(_xlfn.XLOOKUP(Term2_Day_3[[#This Row],[Activity]],Types_of_Activity[Type of Activity],Types_of_Activity[Classification])=2,Term2_Day_3[[#This Row],[Elapsed]],0))</f>
        <v/>
      </c>
      <c r="W41" s="136"/>
      <c r="X41" s="136"/>
      <c r="Y41" s="103"/>
      <c r="Z41" s="106" t="str">
        <f>IF(OR(ISBLANK(Term2_Day_4[[#This Row],[Start]]),ISBLANK(Term2_Day_4[[#This Row],[End]])),"",(Term2_Day_4[[#This Row],[End]]-Term2_Day_4[[#This Row],[Start]])*1440)</f>
        <v/>
      </c>
      <c r="AA41" s="106" t="str">
        <f>IF(ISBLANK(Term2_Day_4[[#This Row],[Activity]]),"",IF(_xlfn.XLOOKUP(Term2_Day_4[[#This Row],[Activity]],Types_of_Activity[Type of Activity],Types_of_Activity[Classification])=1,Term2_Day_4[[#This Row],[Elapsed]],0))</f>
        <v/>
      </c>
      <c r="AB41" s="106" t="str">
        <f>IF(ISBLANK(Term2_Day_4[[#This Row],[Activity]]),"",IF(_xlfn.XLOOKUP(Term2_Day_4[[#This Row],[Activity]],Types_of_Activity[Type of Activity],Types_of_Activity[Classification])=2,Term2_Day_4[[#This Row],[Elapsed]],0))</f>
        <v/>
      </c>
      <c r="AD41" s="136"/>
      <c r="AE41" s="136"/>
      <c r="AF41" s="103"/>
      <c r="AG41" s="106" t="str">
        <f>IF(OR(ISBLANK(Term2_Day_5[[#This Row],[Start]]),ISBLANK(Term2_Day_5[[#This Row],[End]])),"",(Term2_Day_5[[#This Row],[End]]-Term2_Day_5[[#This Row],[Start]])*1440)</f>
        <v/>
      </c>
      <c r="AH41" s="106" t="str">
        <f>IF(ISBLANK(Term2_Day_5[[#This Row],[Activity]]),"",IF(_xlfn.XLOOKUP(Term2_Day_5[[#This Row],[Activity]],Types_of_Activity[Type of Activity],Types_of_Activity[Classification])=1,Term2_Day_5[[#This Row],[Elapsed]],0))</f>
        <v/>
      </c>
      <c r="AI41" s="106" t="str">
        <f>IF(ISBLANK(Term2_Day_5[[#This Row],[Activity]]),"",IF(_xlfn.XLOOKUP(Term2_Day_5[[#This Row],[Activity]],Types_of_Activity[Type of Activity],Types_of_Activity[Classification])=2,Term2_Day_5[[#This Row],[Elapsed]],0))</f>
        <v/>
      </c>
      <c r="AJ41" s="107"/>
      <c r="AK41" s="136"/>
      <c r="AL41" s="136"/>
      <c r="AM41" s="103"/>
      <c r="AN41" s="106" t="str">
        <f>IF(OR(ISBLANK(Term2_Day_6[[#This Row],[Start]]),ISBLANK(Term2_Day_6[[#This Row],[End]])),"",(Term2_Day_6[[#This Row],[End]]-Term2_Day_6[[#This Row],[Start]])*1440)</f>
        <v/>
      </c>
      <c r="AO41" s="106" t="str">
        <f>IF(ISBLANK(Term2_Day_6[[#This Row],[Activity]]),"",IF(_xlfn.XLOOKUP(Term2_Day_6[[#This Row],[Activity]],Types_of_Activity[Type of Activity],Types_of_Activity[Classification])=1,Term2_Day_6[[#This Row],[Elapsed]],0))</f>
        <v/>
      </c>
      <c r="AP41" s="106" t="str">
        <f>IF(ISBLANK(Term2_Day_6[[#This Row],[Activity]]),"",IF(_xlfn.XLOOKUP(Term2_Day_6[[#This Row],[Activity]],Types_of_Activity[Type of Activity],Types_of_Activity[Classification])=2,Term2_Day_6[[#This Row],[Elapsed]],0))</f>
        <v/>
      </c>
      <c r="AQ41" s="107"/>
      <c r="AR41" s="136"/>
      <c r="AS41" s="136"/>
      <c r="AT41" s="103"/>
      <c r="AU41" s="106" t="str">
        <f>IF(OR(ISBLANK(Term2_Day_7[[#This Row],[Start]]),ISBLANK(Term2_Day_7[[#This Row],[End]])),"",(Term2_Day_7[[#This Row],[End]]-Term2_Day_7[[#This Row],[Start]])*1440)</f>
        <v/>
      </c>
      <c r="AV41" s="106" t="str">
        <f>IF(ISBLANK(Term2_Day_7[[#This Row],[Activity]]),"",IF(_xlfn.XLOOKUP(Term2_Day_7[[#This Row],[Activity]],Types_of_Activity[Type of Activity],Types_of_Activity[Classification])=1,Term2_Day_7[[#This Row],[Elapsed]],0))</f>
        <v/>
      </c>
      <c r="AW41" s="106" t="str">
        <f>IF(ISBLANK(Term2_Day_7[[#This Row],[Activity]]),"",IF(_xlfn.XLOOKUP(Term2_Day_7[[#This Row],[Activity]],Types_of_Activity[Type of Activity],Types_of_Activity[Classification])=2,Term2_Day_7[[#This Row],[Elapsed]],0))</f>
        <v/>
      </c>
      <c r="AX41" s="107"/>
      <c r="AY41" s="136"/>
      <c r="AZ41" s="136"/>
      <c r="BA41" s="103"/>
      <c r="BB41" s="106" t="str">
        <f>IF(OR(ISBLANK(Term2_Day_8[[#This Row],[Start]]),ISBLANK(Term2_Day_8[[#This Row],[End]])),"",(Term2_Day_8[[#This Row],[End]]-Term2_Day_8[[#This Row],[Start]])*1440)</f>
        <v/>
      </c>
      <c r="BC41" s="106" t="str">
        <f>IF(ISBLANK(Term2_Day_8[[#This Row],[Activity]]),"",IF(_xlfn.XLOOKUP(Term2_Day_8[[#This Row],[Activity]],Types_of_Activity[Type of Activity],Types_of_Activity[Classification])=1,Term2_Day_8[[#This Row],[Elapsed]],0))</f>
        <v/>
      </c>
      <c r="BD41" s="106" t="str">
        <f>IF(ISBLANK(Term2_Day_8[[#This Row],[Activity]]),"",IF(_xlfn.XLOOKUP(Term2_Day_8[[#This Row],[Activity]],Types_of_Activity[Type of Activity],Types_of_Activity[Classification])=2,Term2_Day_8[[#This Row],[Elapsed]],0))</f>
        <v/>
      </c>
      <c r="BE41" s="107"/>
      <c r="BF41" s="136"/>
      <c r="BG41" s="136"/>
      <c r="BH41" s="103"/>
      <c r="BI41" s="106" t="str">
        <f>IF(OR(ISBLANK(Term2_Day_9[[#This Row],[Start]]),ISBLANK(Term2_Day_9[[#This Row],[End]])),"",(Term2_Day_9[[#This Row],[End]]-Term2_Day_9[[#This Row],[Start]])*1440)</f>
        <v/>
      </c>
      <c r="BJ41" s="106" t="str">
        <f>IF(ISBLANK(Term2_Day_9[[#This Row],[Activity]]),"",IF(_xlfn.XLOOKUP(Term2_Day_9[[#This Row],[Activity]],Types_of_Activity[Type of Activity],Types_of_Activity[Classification])=1,Term2_Day_9[[#This Row],[Elapsed]],0))</f>
        <v/>
      </c>
      <c r="BK41" s="106" t="str">
        <f>IF(ISBLANK(Term2_Day_9[[#This Row],[Activity]]),"",IF(_xlfn.XLOOKUP(Term2_Day_9[[#This Row],[Activity]],Types_of_Activity[Type of Activity],Types_of_Activity[Classification])=2,Term2_Day_9[[#This Row],[Elapsed]],0))</f>
        <v/>
      </c>
      <c r="BL41" s="107"/>
      <c r="BM41" s="136"/>
      <c r="BN41" s="136"/>
      <c r="BO41" s="103"/>
      <c r="BP41" s="106" t="str">
        <f>IF(OR(ISBLANK(Term2_Day_10[[#This Row],[Start]]),ISBLANK(Term2_Day_10[[#This Row],[End]])),"",(Term2_Day_10[[#This Row],[End]]-Term2_Day_10[[#This Row],[Start]])*1440)</f>
        <v/>
      </c>
      <c r="BQ41" s="106" t="str">
        <f>IF(ISBLANK(Term2_Day_10[[#This Row],[Activity]]),"",IF(_xlfn.XLOOKUP(Term2_Day_10[[#This Row],[Activity]],Types_of_Activity[Type of Activity],Types_of_Activity[Classification])=1,Term2_Day_10[[#This Row],[Elapsed]],0))</f>
        <v/>
      </c>
      <c r="BR41" s="106" t="str">
        <f>IF(ISBLANK(Term2_Day_10[[#This Row],[Activity]]),"",IF(_xlfn.XLOOKUP(Term2_Day_10[[#This Row],[Activity]],Types_of_Activity[Type of Activity],Types_of_Activity[Classification])=2,Term2_Day_10[[#This Row],[Elapsed]],0))</f>
        <v/>
      </c>
      <c r="BS41" s="107"/>
    </row>
    <row r="42" spans="2:71" x14ac:dyDescent="0.3">
      <c r="B42" s="136"/>
      <c r="C42" s="136"/>
      <c r="D42" s="103"/>
      <c r="E42" s="106" t="str">
        <f>IF(OR(ISBLANK(Term2_Day_1[[#This Row],[Start]]),ISBLANK(Term2_Day_1[[#This Row],[End]])),"",(Term2_Day_1[[#This Row],[End]]-Term2_Day_1[[#This Row],[Start]])*1440)</f>
        <v/>
      </c>
      <c r="F42" s="106" t="str">
        <f>IF(ISBLANK(Term2_Day_1[[#This Row],[Activity]]),"",IF(_xlfn.XLOOKUP(Term2_Day_1[[#This Row],[Activity]],Types_of_Activity[Type of Activity],Types_of_Activity[Classification])=1,Term2_Day_1[[#This Row],[Elapsed]],0))</f>
        <v/>
      </c>
      <c r="G42" s="106" t="str">
        <f>IF(ISBLANK(Term2_Day_1[[#This Row],[Activity]]),"",IF(_xlfn.XLOOKUP(Term2_Day_1[[#This Row],[Activity]],Types_of_Activity[Type of Activity],Types_of_Activity[Classification])=2,Term2_Day_1[[#This Row],[Elapsed]],0))</f>
        <v/>
      </c>
      <c r="I42" s="136"/>
      <c r="J42" s="136"/>
      <c r="K42" s="103"/>
      <c r="L42" s="106" t="str">
        <f>IF(OR(ISBLANK(Term2_Day_2[[#This Row],[Start]]),ISBLANK(Term2_Day_2[[#This Row],[End]])),"",(Term2_Day_2[[#This Row],[End]]-Term2_Day_2[[#This Row],[Start]])*1440)</f>
        <v/>
      </c>
      <c r="M42" s="106" t="str">
        <f>IF(ISBLANK(Term2_Day_2[[#This Row],[Activity]]),"",IF(_xlfn.XLOOKUP(Term2_Day_2[[#This Row],[Activity]],Types_of_Activity[Type of Activity],Types_of_Activity[Classification])=1,Term2_Day_2[[#This Row],[Elapsed]],0))</f>
        <v/>
      </c>
      <c r="N42" s="106" t="str">
        <f>IF(ISBLANK(Term2_Day_2[[#This Row],[Activity]]),"",IF(_xlfn.XLOOKUP(Term2_Day_2[[#This Row],[Activity]],Types_of_Activity[Type of Activity],Types_of_Activity[Classification])=2,Term2_Day_2[[#This Row],[Elapsed]],0))</f>
        <v/>
      </c>
      <c r="P42" s="136"/>
      <c r="Q42" s="136"/>
      <c r="R42" s="103"/>
      <c r="S42" s="106" t="str">
        <f>IF(OR(ISBLANK(Term2_Day_3[[#This Row],[Start]]),ISBLANK(Term2_Day_3[[#This Row],[End]])),"",(Term2_Day_3[[#This Row],[End]]-Term2_Day_3[[#This Row],[Start]])*1440)</f>
        <v/>
      </c>
      <c r="T42" s="106" t="str">
        <f>IF(ISBLANK(Term2_Day_3[[#This Row],[Activity]]),"",IF(_xlfn.XLOOKUP(Term2_Day_3[[#This Row],[Activity]],Types_of_Activity[Type of Activity],Types_of_Activity[Classification])=1,Term2_Day_3[[#This Row],[Elapsed]],0))</f>
        <v/>
      </c>
      <c r="U42" s="106" t="str">
        <f>IF(ISBLANK(Term2_Day_3[[#This Row],[Activity]]),"",IF(_xlfn.XLOOKUP(Term2_Day_3[[#This Row],[Activity]],Types_of_Activity[Type of Activity],Types_of_Activity[Classification])=2,Term2_Day_3[[#This Row],[Elapsed]],0))</f>
        <v/>
      </c>
      <c r="W42" s="136"/>
      <c r="X42" s="136"/>
      <c r="Y42" s="103"/>
      <c r="Z42" s="106" t="str">
        <f>IF(OR(ISBLANK(Term2_Day_4[[#This Row],[Start]]),ISBLANK(Term2_Day_4[[#This Row],[End]])),"",(Term2_Day_4[[#This Row],[End]]-Term2_Day_4[[#This Row],[Start]])*1440)</f>
        <v/>
      </c>
      <c r="AA42" s="106" t="str">
        <f>IF(ISBLANK(Term2_Day_4[[#This Row],[Activity]]),"",IF(_xlfn.XLOOKUP(Term2_Day_4[[#This Row],[Activity]],Types_of_Activity[Type of Activity],Types_of_Activity[Classification])=1,Term2_Day_4[[#This Row],[Elapsed]],0))</f>
        <v/>
      </c>
      <c r="AB42" s="106" t="str">
        <f>IF(ISBLANK(Term2_Day_4[[#This Row],[Activity]]),"",IF(_xlfn.XLOOKUP(Term2_Day_4[[#This Row],[Activity]],Types_of_Activity[Type of Activity],Types_of_Activity[Classification])=2,Term2_Day_4[[#This Row],[Elapsed]],0))</f>
        <v/>
      </c>
      <c r="AD42" s="136"/>
      <c r="AE42" s="136"/>
      <c r="AF42" s="103"/>
      <c r="AG42" s="106" t="str">
        <f>IF(OR(ISBLANK(Term2_Day_5[[#This Row],[Start]]),ISBLANK(Term2_Day_5[[#This Row],[End]])),"",(Term2_Day_5[[#This Row],[End]]-Term2_Day_5[[#This Row],[Start]])*1440)</f>
        <v/>
      </c>
      <c r="AH42" s="106" t="str">
        <f>IF(ISBLANK(Term2_Day_5[[#This Row],[Activity]]),"",IF(_xlfn.XLOOKUP(Term2_Day_5[[#This Row],[Activity]],Types_of_Activity[Type of Activity],Types_of_Activity[Classification])=1,Term2_Day_5[[#This Row],[Elapsed]],0))</f>
        <v/>
      </c>
      <c r="AI42" s="106" t="str">
        <f>IF(ISBLANK(Term2_Day_5[[#This Row],[Activity]]),"",IF(_xlfn.XLOOKUP(Term2_Day_5[[#This Row],[Activity]],Types_of_Activity[Type of Activity],Types_of_Activity[Classification])=2,Term2_Day_5[[#This Row],[Elapsed]],0))</f>
        <v/>
      </c>
      <c r="AJ42" s="107"/>
      <c r="AK42" s="136"/>
      <c r="AL42" s="136"/>
      <c r="AM42" s="103"/>
      <c r="AN42" s="106" t="str">
        <f>IF(OR(ISBLANK(Term2_Day_6[[#This Row],[Start]]),ISBLANK(Term2_Day_6[[#This Row],[End]])),"",(Term2_Day_6[[#This Row],[End]]-Term2_Day_6[[#This Row],[Start]])*1440)</f>
        <v/>
      </c>
      <c r="AO42" s="106" t="str">
        <f>IF(ISBLANK(Term2_Day_6[[#This Row],[Activity]]),"",IF(_xlfn.XLOOKUP(Term2_Day_6[[#This Row],[Activity]],Types_of_Activity[Type of Activity],Types_of_Activity[Classification])=1,Term2_Day_6[[#This Row],[Elapsed]],0))</f>
        <v/>
      </c>
      <c r="AP42" s="106" t="str">
        <f>IF(ISBLANK(Term2_Day_6[[#This Row],[Activity]]),"",IF(_xlfn.XLOOKUP(Term2_Day_6[[#This Row],[Activity]],Types_of_Activity[Type of Activity],Types_of_Activity[Classification])=2,Term2_Day_6[[#This Row],[Elapsed]],0))</f>
        <v/>
      </c>
      <c r="AQ42" s="107"/>
      <c r="AR42" s="136"/>
      <c r="AS42" s="136"/>
      <c r="AT42" s="103"/>
      <c r="AU42" s="106" t="str">
        <f>IF(OR(ISBLANK(Term2_Day_7[[#This Row],[Start]]),ISBLANK(Term2_Day_7[[#This Row],[End]])),"",(Term2_Day_7[[#This Row],[End]]-Term2_Day_7[[#This Row],[Start]])*1440)</f>
        <v/>
      </c>
      <c r="AV42" s="106" t="str">
        <f>IF(ISBLANK(Term2_Day_7[[#This Row],[Activity]]),"",IF(_xlfn.XLOOKUP(Term2_Day_7[[#This Row],[Activity]],Types_of_Activity[Type of Activity],Types_of_Activity[Classification])=1,Term2_Day_7[[#This Row],[Elapsed]],0))</f>
        <v/>
      </c>
      <c r="AW42" s="106" t="str">
        <f>IF(ISBLANK(Term2_Day_7[[#This Row],[Activity]]),"",IF(_xlfn.XLOOKUP(Term2_Day_7[[#This Row],[Activity]],Types_of_Activity[Type of Activity],Types_of_Activity[Classification])=2,Term2_Day_7[[#This Row],[Elapsed]],0))</f>
        <v/>
      </c>
      <c r="AX42" s="107"/>
      <c r="AY42" s="136"/>
      <c r="AZ42" s="136"/>
      <c r="BA42" s="103"/>
      <c r="BB42" s="106" t="str">
        <f>IF(OR(ISBLANK(Term2_Day_8[[#This Row],[Start]]),ISBLANK(Term2_Day_8[[#This Row],[End]])),"",(Term2_Day_8[[#This Row],[End]]-Term2_Day_8[[#This Row],[Start]])*1440)</f>
        <v/>
      </c>
      <c r="BC42" s="106" t="str">
        <f>IF(ISBLANK(Term2_Day_8[[#This Row],[Activity]]),"",IF(_xlfn.XLOOKUP(Term2_Day_8[[#This Row],[Activity]],Types_of_Activity[Type of Activity],Types_of_Activity[Classification])=1,Term2_Day_8[[#This Row],[Elapsed]],0))</f>
        <v/>
      </c>
      <c r="BD42" s="106" t="str">
        <f>IF(ISBLANK(Term2_Day_8[[#This Row],[Activity]]),"",IF(_xlfn.XLOOKUP(Term2_Day_8[[#This Row],[Activity]],Types_of_Activity[Type of Activity],Types_of_Activity[Classification])=2,Term2_Day_8[[#This Row],[Elapsed]],0))</f>
        <v/>
      </c>
      <c r="BE42" s="107"/>
      <c r="BF42" s="136"/>
      <c r="BG42" s="136"/>
      <c r="BH42" s="103"/>
      <c r="BI42" s="106" t="str">
        <f>IF(OR(ISBLANK(Term2_Day_9[[#This Row],[Start]]),ISBLANK(Term2_Day_9[[#This Row],[End]])),"",(Term2_Day_9[[#This Row],[End]]-Term2_Day_9[[#This Row],[Start]])*1440)</f>
        <v/>
      </c>
      <c r="BJ42" s="106" t="str">
        <f>IF(ISBLANK(Term2_Day_9[[#This Row],[Activity]]),"",IF(_xlfn.XLOOKUP(Term2_Day_9[[#This Row],[Activity]],Types_of_Activity[Type of Activity],Types_of_Activity[Classification])=1,Term2_Day_9[[#This Row],[Elapsed]],0))</f>
        <v/>
      </c>
      <c r="BK42" s="106" t="str">
        <f>IF(ISBLANK(Term2_Day_9[[#This Row],[Activity]]),"",IF(_xlfn.XLOOKUP(Term2_Day_9[[#This Row],[Activity]],Types_of_Activity[Type of Activity],Types_of_Activity[Classification])=2,Term2_Day_9[[#This Row],[Elapsed]],0))</f>
        <v/>
      </c>
      <c r="BL42" s="107"/>
      <c r="BM42" s="136"/>
      <c r="BN42" s="136"/>
      <c r="BO42" s="103"/>
      <c r="BP42" s="106" t="str">
        <f>IF(OR(ISBLANK(Term2_Day_10[[#This Row],[Start]]),ISBLANK(Term2_Day_10[[#This Row],[End]])),"",(Term2_Day_10[[#This Row],[End]]-Term2_Day_10[[#This Row],[Start]])*1440)</f>
        <v/>
      </c>
      <c r="BQ42" s="106" t="str">
        <f>IF(ISBLANK(Term2_Day_10[[#This Row],[Activity]]),"",IF(_xlfn.XLOOKUP(Term2_Day_10[[#This Row],[Activity]],Types_of_Activity[Type of Activity],Types_of_Activity[Classification])=1,Term2_Day_10[[#This Row],[Elapsed]],0))</f>
        <v/>
      </c>
      <c r="BR42" s="106" t="str">
        <f>IF(ISBLANK(Term2_Day_10[[#This Row],[Activity]]),"",IF(_xlfn.XLOOKUP(Term2_Day_10[[#This Row],[Activity]],Types_of_Activity[Type of Activity],Types_of_Activity[Classification])=2,Term2_Day_10[[#This Row],[Elapsed]],0))</f>
        <v/>
      </c>
      <c r="BS42" s="107"/>
    </row>
    <row r="43" spans="2:71" x14ac:dyDescent="0.3">
      <c r="B43" s="136"/>
      <c r="C43" s="136"/>
      <c r="D43" s="103"/>
      <c r="E43" s="106" t="str">
        <f>IF(OR(ISBLANK(Term2_Day_1[[#This Row],[Start]]),ISBLANK(Term2_Day_1[[#This Row],[End]])),"",(Term2_Day_1[[#This Row],[End]]-Term2_Day_1[[#This Row],[Start]])*1440)</f>
        <v/>
      </c>
      <c r="F43" s="106" t="str">
        <f>IF(ISBLANK(Term2_Day_1[[#This Row],[Activity]]),"",IF(_xlfn.XLOOKUP(Term2_Day_1[[#This Row],[Activity]],Types_of_Activity[Type of Activity],Types_of_Activity[Classification])=1,Term2_Day_1[[#This Row],[Elapsed]],0))</f>
        <v/>
      </c>
      <c r="G43" s="106" t="str">
        <f>IF(ISBLANK(Term2_Day_1[[#This Row],[Activity]]),"",IF(_xlfn.XLOOKUP(Term2_Day_1[[#This Row],[Activity]],Types_of_Activity[Type of Activity],Types_of_Activity[Classification])=2,Term2_Day_1[[#This Row],[Elapsed]],0))</f>
        <v/>
      </c>
      <c r="I43" s="136"/>
      <c r="J43" s="136"/>
      <c r="K43" s="103"/>
      <c r="L43" s="106" t="str">
        <f>IF(OR(ISBLANK(Term2_Day_2[[#This Row],[Start]]),ISBLANK(Term2_Day_2[[#This Row],[End]])),"",(Term2_Day_2[[#This Row],[End]]-Term2_Day_2[[#This Row],[Start]])*1440)</f>
        <v/>
      </c>
      <c r="M43" s="106" t="str">
        <f>IF(ISBLANK(Term2_Day_2[[#This Row],[Activity]]),"",IF(_xlfn.XLOOKUP(Term2_Day_2[[#This Row],[Activity]],Types_of_Activity[Type of Activity],Types_of_Activity[Classification])=1,Term2_Day_2[[#This Row],[Elapsed]],0))</f>
        <v/>
      </c>
      <c r="N43" s="106" t="str">
        <f>IF(ISBLANK(Term2_Day_2[[#This Row],[Activity]]),"",IF(_xlfn.XLOOKUP(Term2_Day_2[[#This Row],[Activity]],Types_of_Activity[Type of Activity],Types_of_Activity[Classification])=2,Term2_Day_2[[#This Row],[Elapsed]],0))</f>
        <v/>
      </c>
      <c r="P43" s="136"/>
      <c r="Q43" s="136"/>
      <c r="R43" s="103"/>
      <c r="S43" s="106" t="str">
        <f>IF(OR(ISBLANK(Term2_Day_3[[#This Row],[Start]]),ISBLANK(Term2_Day_3[[#This Row],[End]])),"",(Term2_Day_3[[#This Row],[End]]-Term2_Day_3[[#This Row],[Start]])*1440)</f>
        <v/>
      </c>
      <c r="T43" s="106" t="str">
        <f>IF(ISBLANK(Term2_Day_3[[#This Row],[Activity]]),"",IF(_xlfn.XLOOKUP(Term2_Day_3[[#This Row],[Activity]],Types_of_Activity[Type of Activity],Types_of_Activity[Classification])=1,Term2_Day_3[[#This Row],[Elapsed]],0))</f>
        <v/>
      </c>
      <c r="U43" s="106" t="str">
        <f>IF(ISBLANK(Term2_Day_3[[#This Row],[Activity]]),"",IF(_xlfn.XLOOKUP(Term2_Day_3[[#This Row],[Activity]],Types_of_Activity[Type of Activity],Types_of_Activity[Classification])=2,Term2_Day_3[[#This Row],[Elapsed]],0))</f>
        <v/>
      </c>
      <c r="W43" s="136"/>
      <c r="X43" s="136"/>
      <c r="Y43" s="103"/>
      <c r="Z43" s="106" t="str">
        <f>IF(OR(ISBLANK(Term2_Day_4[[#This Row],[Start]]),ISBLANK(Term2_Day_4[[#This Row],[End]])),"",(Term2_Day_4[[#This Row],[End]]-Term2_Day_4[[#This Row],[Start]])*1440)</f>
        <v/>
      </c>
      <c r="AA43" s="106" t="str">
        <f>IF(ISBLANK(Term2_Day_4[[#This Row],[Activity]]),"",IF(_xlfn.XLOOKUP(Term2_Day_4[[#This Row],[Activity]],Types_of_Activity[Type of Activity],Types_of_Activity[Classification])=1,Term2_Day_4[[#This Row],[Elapsed]],0))</f>
        <v/>
      </c>
      <c r="AB43" s="106" t="str">
        <f>IF(ISBLANK(Term2_Day_4[[#This Row],[Activity]]),"",IF(_xlfn.XLOOKUP(Term2_Day_4[[#This Row],[Activity]],Types_of_Activity[Type of Activity],Types_of_Activity[Classification])=2,Term2_Day_4[[#This Row],[Elapsed]],0))</f>
        <v/>
      </c>
      <c r="AD43" s="136"/>
      <c r="AE43" s="136"/>
      <c r="AF43" s="103"/>
      <c r="AG43" s="106" t="str">
        <f>IF(OR(ISBLANK(Term2_Day_5[[#This Row],[Start]]),ISBLANK(Term2_Day_5[[#This Row],[End]])),"",(Term2_Day_5[[#This Row],[End]]-Term2_Day_5[[#This Row],[Start]])*1440)</f>
        <v/>
      </c>
      <c r="AH43" s="106" t="str">
        <f>IF(ISBLANK(Term2_Day_5[[#This Row],[Activity]]),"",IF(_xlfn.XLOOKUP(Term2_Day_5[[#This Row],[Activity]],Types_of_Activity[Type of Activity],Types_of_Activity[Classification])=1,Term2_Day_5[[#This Row],[Elapsed]],0))</f>
        <v/>
      </c>
      <c r="AI43" s="106" t="str">
        <f>IF(ISBLANK(Term2_Day_5[[#This Row],[Activity]]),"",IF(_xlfn.XLOOKUP(Term2_Day_5[[#This Row],[Activity]],Types_of_Activity[Type of Activity],Types_of_Activity[Classification])=2,Term2_Day_5[[#This Row],[Elapsed]],0))</f>
        <v/>
      </c>
      <c r="AJ43" s="107"/>
      <c r="AK43" s="136"/>
      <c r="AL43" s="136"/>
      <c r="AM43" s="103"/>
      <c r="AN43" s="106" t="str">
        <f>IF(OR(ISBLANK(Term2_Day_6[[#This Row],[Start]]),ISBLANK(Term2_Day_6[[#This Row],[End]])),"",(Term2_Day_6[[#This Row],[End]]-Term2_Day_6[[#This Row],[Start]])*1440)</f>
        <v/>
      </c>
      <c r="AO43" s="106" t="str">
        <f>IF(ISBLANK(Term2_Day_6[[#This Row],[Activity]]),"",IF(_xlfn.XLOOKUP(Term2_Day_6[[#This Row],[Activity]],Types_of_Activity[Type of Activity],Types_of_Activity[Classification])=1,Term2_Day_6[[#This Row],[Elapsed]],0))</f>
        <v/>
      </c>
      <c r="AP43" s="106" t="str">
        <f>IF(ISBLANK(Term2_Day_6[[#This Row],[Activity]]),"",IF(_xlfn.XLOOKUP(Term2_Day_6[[#This Row],[Activity]],Types_of_Activity[Type of Activity],Types_of_Activity[Classification])=2,Term2_Day_6[[#This Row],[Elapsed]],0))</f>
        <v/>
      </c>
      <c r="AQ43" s="107"/>
      <c r="AR43" s="136"/>
      <c r="AS43" s="136"/>
      <c r="AT43" s="103"/>
      <c r="AU43" s="106" t="str">
        <f>IF(OR(ISBLANK(Term2_Day_7[[#This Row],[Start]]),ISBLANK(Term2_Day_7[[#This Row],[End]])),"",(Term2_Day_7[[#This Row],[End]]-Term2_Day_7[[#This Row],[Start]])*1440)</f>
        <v/>
      </c>
      <c r="AV43" s="106" t="str">
        <f>IF(ISBLANK(Term2_Day_7[[#This Row],[Activity]]),"",IF(_xlfn.XLOOKUP(Term2_Day_7[[#This Row],[Activity]],Types_of_Activity[Type of Activity],Types_of_Activity[Classification])=1,Term2_Day_7[[#This Row],[Elapsed]],0))</f>
        <v/>
      </c>
      <c r="AW43" s="106" t="str">
        <f>IF(ISBLANK(Term2_Day_7[[#This Row],[Activity]]),"",IF(_xlfn.XLOOKUP(Term2_Day_7[[#This Row],[Activity]],Types_of_Activity[Type of Activity],Types_of_Activity[Classification])=2,Term2_Day_7[[#This Row],[Elapsed]],0))</f>
        <v/>
      </c>
      <c r="AX43" s="107"/>
      <c r="AY43" s="136"/>
      <c r="AZ43" s="136"/>
      <c r="BA43" s="103"/>
      <c r="BB43" s="106" t="str">
        <f>IF(OR(ISBLANK(Term2_Day_8[[#This Row],[Start]]),ISBLANK(Term2_Day_8[[#This Row],[End]])),"",(Term2_Day_8[[#This Row],[End]]-Term2_Day_8[[#This Row],[Start]])*1440)</f>
        <v/>
      </c>
      <c r="BC43" s="106" t="str">
        <f>IF(ISBLANK(Term2_Day_8[[#This Row],[Activity]]),"",IF(_xlfn.XLOOKUP(Term2_Day_8[[#This Row],[Activity]],Types_of_Activity[Type of Activity],Types_of_Activity[Classification])=1,Term2_Day_8[[#This Row],[Elapsed]],0))</f>
        <v/>
      </c>
      <c r="BD43" s="106" t="str">
        <f>IF(ISBLANK(Term2_Day_8[[#This Row],[Activity]]),"",IF(_xlfn.XLOOKUP(Term2_Day_8[[#This Row],[Activity]],Types_of_Activity[Type of Activity],Types_of_Activity[Classification])=2,Term2_Day_8[[#This Row],[Elapsed]],0))</f>
        <v/>
      </c>
      <c r="BE43" s="107"/>
      <c r="BF43" s="136"/>
      <c r="BG43" s="136"/>
      <c r="BH43" s="103"/>
      <c r="BI43" s="106" t="str">
        <f>IF(OR(ISBLANK(Term2_Day_9[[#This Row],[Start]]),ISBLANK(Term2_Day_9[[#This Row],[End]])),"",(Term2_Day_9[[#This Row],[End]]-Term2_Day_9[[#This Row],[Start]])*1440)</f>
        <v/>
      </c>
      <c r="BJ43" s="106" t="str">
        <f>IF(ISBLANK(Term2_Day_9[[#This Row],[Activity]]),"",IF(_xlfn.XLOOKUP(Term2_Day_9[[#This Row],[Activity]],Types_of_Activity[Type of Activity],Types_of_Activity[Classification])=1,Term2_Day_9[[#This Row],[Elapsed]],0))</f>
        <v/>
      </c>
      <c r="BK43" s="106" t="str">
        <f>IF(ISBLANK(Term2_Day_9[[#This Row],[Activity]]),"",IF(_xlfn.XLOOKUP(Term2_Day_9[[#This Row],[Activity]],Types_of_Activity[Type of Activity],Types_of_Activity[Classification])=2,Term2_Day_9[[#This Row],[Elapsed]],0))</f>
        <v/>
      </c>
      <c r="BL43" s="107"/>
      <c r="BM43" s="136"/>
      <c r="BN43" s="136"/>
      <c r="BO43" s="103"/>
      <c r="BP43" s="106" t="str">
        <f>IF(OR(ISBLANK(Term2_Day_10[[#This Row],[Start]]),ISBLANK(Term2_Day_10[[#This Row],[End]])),"",(Term2_Day_10[[#This Row],[End]]-Term2_Day_10[[#This Row],[Start]])*1440)</f>
        <v/>
      </c>
      <c r="BQ43" s="106" t="str">
        <f>IF(ISBLANK(Term2_Day_10[[#This Row],[Activity]]),"",IF(_xlfn.XLOOKUP(Term2_Day_10[[#This Row],[Activity]],Types_of_Activity[Type of Activity],Types_of_Activity[Classification])=1,Term2_Day_10[[#This Row],[Elapsed]],0))</f>
        <v/>
      </c>
      <c r="BR43" s="106" t="str">
        <f>IF(ISBLANK(Term2_Day_10[[#This Row],[Activity]]),"",IF(_xlfn.XLOOKUP(Term2_Day_10[[#This Row],[Activity]],Types_of_Activity[Type of Activity],Types_of_Activity[Classification])=2,Term2_Day_10[[#This Row],[Elapsed]],0))</f>
        <v/>
      </c>
      <c r="BS43" s="107"/>
    </row>
    <row r="44" spans="2:71" x14ac:dyDescent="0.3">
      <c r="B44" s="136"/>
      <c r="C44" s="136"/>
      <c r="D44" s="103"/>
      <c r="E44" s="106" t="str">
        <f>IF(OR(ISBLANK(Term2_Day_1[[#This Row],[Start]]),ISBLANK(Term2_Day_1[[#This Row],[End]])),"",(Term2_Day_1[[#This Row],[End]]-Term2_Day_1[[#This Row],[Start]])*1440)</f>
        <v/>
      </c>
      <c r="F44" s="106" t="str">
        <f>IF(ISBLANK(Term2_Day_1[[#This Row],[Activity]]),"",IF(_xlfn.XLOOKUP(Term2_Day_1[[#This Row],[Activity]],Types_of_Activity[Type of Activity],Types_of_Activity[Classification])=1,Term2_Day_1[[#This Row],[Elapsed]],0))</f>
        <v/>
      </c>
      <c r="G44" s="106" t="str">
        <f>IF(ISBLANK(Term2_Day_1[[#This Row],[Activity]]),"",IF(_xlfn.XLOOKUP(Term2_Day_1[[#This Row],[Activity]],Types_of_Activity[Type of Activity],Types_of_Activity[Classification])=2,Term2_Day_1[[#This Row],[Elapsed]],0))</f>
        <v/>
      </c>
      <c r="I44" s="136"/>
      <c r="J44" s="136"/>
      <c r="K44" s="103"/>
      <c r="L44" s="106" t="str">
        <f>IF(OR(ISBLANK(Term2_Day_2[[#This Row],[Start]]),ISBLANK(Term2_Day_2[[#This Row],[End]])),"",(Term2_Day_2[[#This Row],[End]]-Term2_Day_2[[#This Row],[Start]])*1440)</f>
        <v/>
      </c>
      <c r="M44" s="106" t="str">
        <f>IF(ISBLANK(Term2_Day_2[[#This Row],[Activity]]),"",IF(_xlfn.XLOOKUP(Term2_Day_2[[#This Row],[Activity]],Types_of_Activity[Type of Activity],Types_of_Activity[Classification])=1,Term2_Day_2[[#This Row],[Elapsed]],0))</f>
        <v/>
      </c>
      <c r="N44" s="106" t="str">
        <f>IF(ISBLANK(Term2_Day_2[[#This Row],[Activity]]),"",IF(_xlfn.XLOOKUP(Term2_Day_2[[#This Row],[Activity]],Types_of_Activity[Type of Activity],Types_of_Activity[Classification])=2,Term2_Day_2[[#This Row],[Elapsed]],0))</f>
        <v/>
      </c>
      <c r="P44" s="136"/>
      <c r="Q44" s="136"/>
      <c r="R44" s="103"/>
      <c r="S44" s="106" t="str">
        <f>IF(OR(ISBLANK(Term2_Day_3[[#This Row],[Start]]),ISBLANK(Term2_Day_3[[#This Row],[End]])),"",(Term2_Day_3[[#This Row],[End]]-Term2_Day_3[[#This Row],[Start]])*1440)</f>
        <v/>
      </c>
      <c r="T44" s="106" t="str">
        <f>IF(ISBLANK(Term2_Day_3[[#This Row],[Activity]]),"",IF(_xlfn.XLOOKUP(Term2_Day_3[[#This Row],[Activity]],Types_of_Activity[Type of Activity],Types_of_Activity[Classification])=1,Term2_Day_3[[#This Row],[Elapsed]],0))</f>
        <v/>
      </c>
      <c r="U44" s="106" t="str">
        <f>IF(ISBLANK(Term2_Day_3[[#This Row],[Activity]]),"",IF(_xlfn.XLOOKUP(Term2_Day_3[[#This Row],[Activity]],Types_of_Activity[Type of Activity],Types_of_Activity[Classification])=2,Term2_Day_3[[#This Row],[Elapsed]],0))</f>
        <v/>
      </c>
      <c r="W44" s="136"/>
      <c r="X44" s="136"/>
      <c r="Y44" s="103"/>
      <c r="Z44" s="106" t="str">
        <f>IF(OR(ISBLANK(Term2_Day_4[[#This Row],[Start]]),ISBLANK(Term2_Day_4[[#This Row],[End]])),"",(Term2_Day_4[[#This Row],[End]]-Term2_Day_4[[#This Row],[Start]])*1440)</f>
        <v/>
      </c>
      <c r="AA44" s="106" t="str">
        <f>IF(ISBLANK(Term2_Day_4[[#This Row],[Activity]]),"",IF(_xlfn.XLOOKUP(Term2_Day_4[[#This Row],[Activity]],Types_of_Activity[Type of Activity],Types_of_Activity[Classification])=1,Term2_Day_4[[#This Row],[Elapsed]],0))</f>
        <v/>
      </c>
      <c r="AB44" s="106" t="str">
        <f>IF(ISBLANK(Term2_Day_4[[#This Row],[Activity]]),"",IF(_xlfn.XLOOKUP(Term2_Day_4[[#This Row],[Activity]],Types_of_Activity[Type of Activity],Types_of_Activity[Classification])=2,Term2_Day_4[[#This Row],[Elapsed]],0))</f>
        <v/>
      </c>
      <c r="AD44" s="136"/>
      <c r="AE44" s="136"/>
      <c r="AF44" s="103"/>
      <c r="AG44" s="106" t="str">
        <f>IF(OR(ISBLANK(Term2_Day_5[[#This Row],[Start]]),ISBLANK(Term2_Day_5[[#This Row],[End]])),"",(Term2_Day_5[[#This Row],[End]]-Term2_Day_5[[#This Row],[Start]])*1440)</f>
        <v/>
      </c>
      <c r="AH44" s="106" t="str">
        <f>IF(ISBLANK(Term2_Day_5[[#This Row],[Activity]]),"",IF(_xlfn.XLOOKUP(Term2_Day_5[[#This Row],[Activity]],Types_of_Activity[Type of Activity],Types_of_Activity[Classification])=1,Term2_Day_5[[#This Row],[Elapsed]],0))</f>
        <v/>
      </c>
      <c r="AI44" s="106" t="str">
        <f>IF(ISBLANK(Term2_Day_5[[#This Row],[Activity]]),"",IF(_xlfn.XLOOKUP(Term2_Day_5[[#This Row],[Activity]],Types_of_Activity[Type of Activity],Types_of_Activity[Classification])=2,Term2_Day_5[[#This Row],[Elapsed]],0))</f>
        <v/>
      </c>
      <c r="AJ44" s="107"/>
      <c r="AK44" s="136"/>
      <c r="AL44" s="136"/>
      <c r="AM44" s="103"/>
      <c r="AN44" s="106" t="str">
        <f>IF(OR(ISBLANK(Term2_Day_6[[#This Row],[Start]]),ISBLANK(Term2_Day_6[[#This Row],[End]])),"",(Term2_Day_6[[#This Row],[End]]-Term2_Day_6[[#This Row],[Start]])*1440)</f>
        <v/>
      </c>
      <c r="AO44" s="106" t="str">
        <f>IF(ISBLANK(Term2_Day_6[[#This Row],[Activity]]),"",IF(_xlfn.XLOOKUP(Term2_Day_6[[#This Row],[Activity]],Types_of_Activity[Type of Activity],Types_of_Activity[Classification])=1,Term2_Day_6[[#This Row],[Elapsed]],0))</f>
        <v/>
      </c>
      <c r="AP44" s="106" t="str">
        <f>IF(ISBLANK(Term2_Day_6[[#This Row],[Activity]]),"",IF(_xlfn.XLOOKUP(Term2_Day_6[[#This Row],[Activity]],Types_of_Activity[Type of Activity],Types_of_Activity[Classification])=2,Term2_Day_6[[#This Row],[Elapsed]],0))</f>
        <v/>
      </c>
      <c r="AQ44" s="107"/>
      <c r="AR44" s="136"/>
      <c r="AS44" s="136"/>
      <c r="AT44" s="103"/>
      <c r="AU44" s="106" t="str">
        <f>IF(OR(ISBLANK(Term2_Day_7[[#This Row],[Start]]),ISBLANK(Term2_Day_7[[#This Row],[End]])),"",(Term2_Day_7[[#This Row],[End]]-Term2_Day_7[[#This Row],[Start]])*1440)</f>
        <v/>
      </c>
      <c r="AV44" s="106" t="str">
        <f>IF(ISBLANK(Term2_Day_7[[#This Row],[Activity]]),"",IF(_xlfn.XLOOKUP(Term2_Day_7[[#This Row],[Activity]],Types_of_Activity[Type of Activity],Types_of_Activity[Classification])=1,Term2_Day_7[[#This Row],[Elapsed]],0))</f>
        <v/>
      </c>
      <c r="AW44" s="106" t="str">
        <f>IF(ISBLANK(Term2_Day_7[[#This Row],[Activity]]),"",IF(_xlfn.XLOOKUP(Term2_Day_7[[#This Row],[Activity]],Types_of_Activity[Type of Activity],Types_of_Activity[Classification])=2,Term2_Day_7[[#This Row],[Elapsed]],0))</f>
        <v/>
      </c>
      <c r="AX44" s="107"/>
      <c r="AY44" s="136"/>
      <c r="AZ44" s="136"/>
      <c r="BA44" s="103"/>
      <c r="BB44" s="106" t="str">
        <f>IF(OR(ISBLANK(Term2_Day_8[[#This Row],[Start]]),ISBLANK(Term2_Day_8[[#This Row],[End]])),"",(Term2_Day_8[[#This Row],[End]]-Term2_Day_8[[#This Row],[Start]])*1440)</f>
        <v/>
      </c>
      <c r="BC44" s="106" t="str">
        <f>IF(ISBLANK(Term2_Day_8[[#This Row],[Activity]]),"",IF(_xlfn.XLOOKUP(Term2_Day_8[[#This Row],[Activity]],Types_of_Activity[Type of Activity],Types_of_Activity[Classification])=1,Term2_Day_8[[#This Row],[Elapsed]],0))</f>
        <v/>
      </c>
      <c r="BD44" s="106" t="str">
        <f>IF(ISBLANK(Term2_Day_8[[#This Row],[Activity]]),"",IF(_xlfn.XLOOKUP(Term2_Day_8[[#This Row],[Activity]],Types_of_Activity[Type of Activity],Types_of_Activity[Classification])=2,Term2_Day_8[[#This Row],[Elapsed]],0))</f>
        <v/>
      </c>
      <c r="BE44" s="107"/>
      <c r="BF44" s="136"/>
      <c r="BG44" s="136"/>
      <c r="BH44" s="103"/>
      <c r="BI44" s="106" t="str">
        <f>IF(OR(ISBLANK(Term2_Day_9[[#This Row],[Start]]),ISBLANK(Term2_Day_9[[#This Row],[End]])),"",(Term2_Day_9[[#This Row],[End]]-Term2_Day_9[[#This Row],[Start]])*1440)</f>
        <v/>
      </c>
      <c r="BJ44" s="106" t="str">
        <f>IF(ISBLANK(Term2_Day_9[[#This Row],[Activity]]),"",IF(_xlfn.XLOOKUP(Term2_Day_9[[#This Row],[Activity]],Types_of_Activity[Type of Activity],Types_of_Activity[Classification])=1,Term2_Day_9[[#This Row],[Elapsed]],0))</f>
        <v/>
      </c>
      <c r="BK44" s="106" t="str">
        <f>IF(ISBLANK(Term2_Day_9[[#This Row],[Activity]]),"",IF(_xlfn.XLOOKUP(Term2_Day_9[[#This Row],[Activity]],Types_of_Activity[Type of Activity],Types_of_Activity[Classification])=2,Term2_Day_9[[#This Row],[Elapsed]],0))</f>
        <v/>
      </c>
      <c r="BL44" s="107"/>
      <c r="BM44" s="136"/>
      <c r="BN44" s="136"/>
      <c r="BO44" s="103"/>
      <c r="BP44" s="106" t="str">
        <f>IF(OR(ISBLANK(Term2_Day_10[[#This Row],[Start]]),ISBLANK(Term2_Day_10[[#This Row],[End]])),"",(Term2_Day_10[[#This Row],[End]]-Term2_Day_10[[#This Row],[Start]])*1440)</f>
        <v/>
      </c>
      <c r="BQ44" s="106" t="str">
        <f>IF(ISBLANK(Term2_Day_10[[#This Row],[Activity]]),"",IF(_xlfn.XLOOKUP(Term2_Day_10[[#This Row],[Activity]],Types_of_Activity[Type of Activity],Types_of_Activity[Classification])=1,Term2_Day_10[[#This Row],[Elapsed]],0))</f>
        <v/>
      </c>
      <c r="BR44" s="106" t="str">
        <f>IF(ISBLANK(Term2_Day_10[[#This Row],[Activity]]),"",IF(_xlfn.XLOOKUP(Term2_Day_10[[#This Row],[Activity]],Types_of_Activity[Type of Activity],Types_of_Activity[Classification])=2,Term2_Day_10[[#This Row],[Elapsed]],0))</f>
        <v/>
      </c>
      <c r="BS44" s="107"/>
    </row>
    <row r="45" spans="2:71" x14ac:dyDescent="0.3">
      <c r="B45" s="136"/>
      <c r="C45" s="136"/>
      <c r="D45" s="103"/>
      <c r="E45" s="106" t="str">
        <f>IF(OR(ISBLANK(Term2_Day_1[[#This Row],[Start]]),ISBLANK(Term2_Day_1[[#This Row],[End]])),"",(Term2_Day_1[[#This Row],[End]]-Term2_Day_1[[#This Row],[Start]])*1440)</f>
        <v/>
      </c>
      <c r="F45" s="106" t="str">
        <f>IF(ISBLANK(Term2_Day_1[[#This Row],[Activity]]),"",IF(_xlfn.XLOOKUP(Term2_Day_1[[#This Row],[Activity]],Types_of_Activity[Type of Activity],Types_of_Activity[Classification])=1,Term2_Day_1[[#This Row],[Elapsed]],0))</f>
        <v/>
      </c>
      <c r="G45" s="106" t="str">
        <f>IF(ISBLANK(Term2_Day_1[[#This Row],[Activity]]),"",IF(_xlfn.XLOOKUP(Term2_Day_1[[#This Row],[Activity]],Types_of_Activity[Type of Activity],Types_of_Activity[Classification])=2,Term2_Day_1[[#This Row],[Elapsed]],0))</f>
        <v/>
      </c>
      <c r="I45" s="136"/>
      <c r="J45" s="136"/>
      <c r="K45" s="103"/>
      <c r="L45" s="106" t="str">
        <f>IF(OR(ISBLANK(Term2_Day_2[[#This Row],[Start]]),ISBLANK(Term2_Day_2[[#This Row],[End]])),"",(Term2_Day_2[[#This Row],[End]]-Term2_Day_2[[#This Row],[Start]])*1440)</f>
        <v/>
      </c>
      <c r="M45" s="106" t="str">
        <f>IF(ISBLANK(Term2_Day_2[[#This Row],[Activity]]),"",IF(_xlfn.XLOOKUP(Term2_Day_2[[#This Row],[Activity]],Types_of_Activity[Type of Activity],Types_of_Activity[Classification])=1,Term2_Day_2[[#This Row],[Elapsed]],0))</f>
        <v/>
      </c>
      <c r="N45" s="106" t="str">
        <f>IF(ISBLANK(Term2_Day_2[[#This Row],[Activity]]),"",IF(_xlfn.XLOOKUP(Term2_Day_2[[#This Row],[Activity]],Types_of_Activity[Type of Activity],Types_of_Activity[Classification])=2,Term2_Day_2[[#This Row],[Elapsed]],0))</f>
        <v/>
      </c>
      <c r="P45" s="136"/>
      <c r="Q45" s="136"/>
      <c r="R45" s="103"/>
      <c r="S45" s="106" t="str">
        <f>IF(OR(ISBLANK(Term2_Day_3[[#This Row],[Start]]),ISBLANK(Term2_Day_3[[#This Row],[End]])),"",(Term2_Day_3[[#This Row],[End]]-Term2_Day_3[[#This Row],[Start]])*1440)</f>
        <v/>
      </c>
      <c r="T45" s="106" t="str">
        <f>IF(ISBLANK(Term2_Day_3[[#This Row],[Activity]]),"",IF(_xlfn.XLOOKUP(Term2_Day_3[[#This Row],[Activity]],Types_of_Activity[Type of Activity],Types_of_Activity[Classification])=1,Term2_Day_3[[#This Row],[Elapsed]],0))</f>
        <v/>
      </c>
      <c r="U45" s="106" t="str">
        <f>IF(ISBLANK(Term2_Day_3[[#This Row],[Activity]]),"",IF(_xlfn.XLOOKUP(Term2_Day_3[[#This Row],[Activity]],Types_of_Activity[Type of Activity],Types_of_Activity[Classification])=2,Term2_Day_3[[#This Row],[Elapsed]],0))</f>
        <v/>
      </c>
      <c r="W45" s="136"/>
      <c r="X45" s="136"/>
      <c r="Y45" s="103"/>
      <c r="Z45" s="106" t="str">
        <f>IF(OR(ISBLANK(Term2_Day_4[[#This Row],[Start]]),ISBLANK(Term2_Day_4[[#This Row],[End]])),"",(Term2_Day_4[[#This Row],[End]]-Term2_Day_4[[#This Row],[Start]])*1440)</f>
        <v/>
      </c>
      <c r="AA45" s="106" t="str">
        <f>IF(ISBLANK(Term2_Day_4[[#This Row],[Activity]]),"",IF(_xlfn.XLOOKUP(Term2_Day_4[[#This Row],[Activity]],Types_of_Activity[Type of Activity],Types_of_Activity[Classification])=1,Term2_Day_4[[#This Row],[Elapsed]],0))</f>
        <v/>
      </c>
      <c r="AB45" s="106" t="str">
        <f>IF(ISBLANK(Term2_Day_4[[#This Row],[Activity]]),"",IF(_xlfn.XLOOKUP(Term2_Day_4[[#This Row],[Activity]],Types_of_Activity[Type of Activity],Types_of_Activity[Classification])=2,Term2_Day_4[[#This Row],[Elapsed]],0))</f>
        <v/>
      </c>
      <c r="AD45" s="136"/>
      <c r="AE45" s="136"/>
      <c r="AF45" s="103"/>
      <c r="AG45" s="106" t="str">
        <f>IF(OR(ISBLANK(Term2_Day_5[[#This Row],[Start]]),ISBLANK(Term2_Day_5[[#This Row],[End]])),"",(Term2_Day_5[[#This Row],[End]]-Term2_Day_5[[#This Row],[Start]])*1440)</f>
        <v/>
      </c>
      <c r="AH45" s="106" t="str">
        <f>IF(ISBLANK(Term2_Day_5[[#This Row],[Activity]]),"",IF(_xlfn.XLOOKUP(Term2_Day_5[[#This Row],[Activity]],Types_of_Activity[Type of Activity],Types_of_Activity[Classification])=1,Term2_Day_5[[#This Row],[Elapsed]],0))</f>
        <v/>
      </c>
      <c r="AI45" s="106" t="str">
        <f>IF(ISBLANK(Term2_Day_5[[#This Row],[Activity]]),"",IF(_xlfn.XLOOKUP(Term2_Day_5[[#This Row],[Activity]],Types_of_Activity[Type of Activity],Types_of_Activity[Classification])=2,Term2_Day_5[[#This Row],[Elapsed]],0))</f>
        <v/>
      </c>
      <c r="AJ45" s="107"/>
      <c r="AK45" s="136"/>
      <c r="AL45" s="136"/>
      <c r="AM45" s="103"/>
      <c r="AN45" s="106" t="str">
        <f>IF(OR(ISBLANK(Term2_Day_6[[#This Row],[Start]]),ISBLANK(Term2_Day_6[[#This Row],[End]])),"",(Term2_Day_6[[#This Row],[End]]-Term2_Day_6[[#This Row],[Start]])*1440)</f>
        <v/>
      </c>
      <c r="AO45" s="106" t="str">
        <f>IF(ISBLANK(Term2_Day_6[[#This Row],[Activity]]),"",IF(_xlfn.XLOOKUP(Term2_Day_6[[#This Row],[Activity]],Types_of_Activity[Type of Activity],Types_of_Activity[Classification])=1,Term2_Day_6[[#This Row],[Elapsed]],0))</f>
        <v/>
      </c>
      <c r="AP45" s="106" t="str">
        <f>IF(ISBLANK(Term2_Day_6[[#This Row],[Activity]]),"",IF(_xlfn.XLOOKUP(Term2_Day_6[[#This Row],[Activity]],Types_of_Activity[Type of Activity],Types_of_Activity[Classification])=2,Term2_Day_6[[#This Row],[Elapsed]],0))</f>
        <v/>
      </c>
      <c r="AQ45" s="107"/>
      <c r="AR45" s="136"/>
      <c r="AS45" s="136"/>
      <c r="AT45" s="103"/>
      <c r="AU45" s="106" t="str">
        <f>IF(OR(ISBLANK(Term2_Day_7[[#This Row],[Start]]),ISBLANK(Term2_Day_7[[#This Row],[End]])),"",(Term2_Day_7[[#This Row],[End]]-Term2_Day_7[[#This Row],[Start]])*1440)</f>
        <v/>
      </c>
      <c r="AV45" s="106" t="str">
        <f>IF(ISBLANK(Term2_Day_7[[#This Row],[Activity]]),"",IF(_xlfn.XLOOKUP(Term2_Day_7[[#This Row],[Activity]],Types_of_Activity[Type of Activity],Types_of_Activity[Classification])=1,Term2_Day_7[[#This Row],[Elapsed]],0))</f>
        <v/>
      </c>
      <c r="AW45" s="106" t="str">
        <f>IF(ISBLANK(Term2_Day_7[[#This Row],[Activity]]),"",IF(_xlfn.XLOOKUP(Term2_Day_7[[#This Row],[Activity]],Types_of_Activity[Type of Activity],Types_of_Activity[Classification])=2,Term2_Day_7[[#This Row],[Elapsed]],0))</f>
        <v/>
      </c>
      <c r="AX45" s="107"/>
      <c r="AY45" s="136"/>
      <c r="AZ45" s="136"/>
      <c r="BA45" s="103"/>
      <c r="BB45" s="106" t="str">
        <f>IF(OR(ISBLANK(Term2_Day_8[[#This Row],[Start]]),ISBLANK(Term2_Day_8[[#This Row],[End]])),"",(Term2_Day_8[[#This Row],[End]]-Term2_Day_8[[#This Row],[Start]])*1440)</f>
        <v/>
      </c>
      <c r="BC45" s="106" t="str">
        <f>IF(ISBLANK(Term2_Day_8[[#This Row],[Activity]]),"",IF(_xlfn.XLOOKUP(Term2_Day_8[[#This Row],[Activity]],Types_of_Activity[Type of Activity],Types_of_Activity[Classification])=1,Term2_Day_8[[#This Row],[Elapsed]],0))</f>
        <v/>
      </c>
      <c r="BD45" s="106" t="str">
        <f>IF(ISBLANK(Term2_Day_8[[#This Row],[Activity]]),"",IF(_xlfn.XLOOKUP(Term2_Day_8[[#This Row],[Activity]],Types_of_Activity[Type of Activity],Types_of_Activity[Classification])=2,Term2_Day_8[[#This Row],[Elapsed]],0))</f>
        <v/>
      </c>
      <c r="BE45" s="107"/>
      <c r="BF45" s="136"/>
      <c r="BG45" s="136"/>
      <c r="BH45" s="103"/>
      <c r="BI45" s="106" t="str">
        <f>IF(OR(ISBLANK(Term2_Day_9[[#This Row],[Start]]),ISBLANK(Term2_Day_9[[#This Row],[End]])),"",(Term2_Day_9[[#This Row],[End]]-Term2_Day_9[[#This Row],[Start]])*1440)</f>
        <v/>
      </c>
      <c r="BJ45" s="106" t="str">
        <f>IF(ISBLANK(Term2_Day_9[[#This Row],[Activity]]),"",IF(_xlfn.XLOOKUP(Term2_Day_9[[#This Row],[Activity]],Types_of_Activity[Type of Activity],Types_of_Activity[Classification])=1,Term2_Day_9[[#This Row],[Elapsed]],0))</f>
        <v/>
      </c>
      <c r="BK45" s="106" t="str">
        <f>IF(ISBLANK(Term2_Day_9[[#This Row],[Activity]]),"",IF(_xlfn.XLOOKUP(Term2_Day_9[[#This Row],[Activity]],Types_of_Activity[Type of Activity],Types_of_Activity[Classification])=2,Term2_Day_9[[#This Row],[Elapsed]],0))</f>
        <v/>
      </c>
      <c r="BL45" s="107"/>
      <c r="BM45" s="136"/>
      <c r="BN45" s="136"/>
      <c r="BO45" s="103"/>
      <c r="BP45" s="106" t="str">
        <f>IF(OR(ISBLANK(Term2_Day_10[[#This Row],[Start]]),ISBLANK(Term2_Day_10[[#This Row],[End]])),"",(Term2_Day_10[[#This Row],[End]]-Term2_Day_10[[#This Row],[Start]])*1440)</f>
        <v/>
      </c>
      <c r="BQ45" s="106" t="str">
        <f>IF(ISBLANK(Term2_Day_10[[#This Row],[Activity]]),"",IF(_xlfn.XLOOKUP(Term2_Day_10[[#This Row],[Activity]],Types_of_Activity[Type of Activity],Types_of_Activity[Classification])=1,Term2_Day_10[[#This Row],[Elapsed]],0))</f>
        <v/>
      </c>
      <c r="BR45" s="106" t="str">
        <f>IF(ISBLANK(Term2_Day_10[[#This Row],[Activity]]),"",IF(_xlfn.XLOOKUP(Term2_Day_10[[#This Row],[Activity]],Types_of_Activity[Type of Activity],Types_of_Activity[Classification])=2,Term2_Day_10[[#This Row],[Elapsed]],0))</f>
        <v/>
      </c>
      <c r="BS45" s="107"/>
    </row>
    <row r="46" spans="2:71" x14ac:dyDescent="0.3">
      <c r="B46" s="136"/>
      <c r="C46" s="136"/>
      <c r="D46" s="103"/>
      <c r="E46" s="106" t="str">
        <f>IF(OR(ISBLANK(Term2_Day_1[[#This Row],[Start]]),ISBLANK(Term2_Day_1[[#This Row],[End]])),"",(Term2_Day_1[[#This Row],[End]]-Term2_Day_1[[#This Row],[Start]])*1440)</f>
        <v/>
      </c>
      <c r="F46" s="106" t="str">
        <f>IF(ISBLANK(Term2_Day_1[[#This Row],[Activity]]),"",IF(_xlfn.XLOOKUP(Term2_Day_1[[#This Row],[Activity]],Types_of_Activity[Type of Activity],Types_of_Activity[Classification])=1,Term2_Day_1[[#This Row],[Elapsed]],0))</f>
        <v/>
      </c>
      <c r="G46" s="106" t="str">
        <f>IF(ISBLANK(Term2_Day_1[[#This Row],[Activity]]),"",IF(_xlfn.XLOOKUP(Term2_Day_1[[#This Row],[Activity]],Types_of_Activity[Type of Activity],Types_of_Activity[Classification])=2,Term2_Day_1[[#This Row],[Elapsed]],0))</f>
        <v/>
      </c>
      <c r="I46" s="136"/>
      <c r="J46" s="136"/>
      <c r="K46" s="103"/>
      <c r="L46" s="106" t="str">
        <f>IF(OR(ISBLANK(Term2_Day_2[[#This Row],[Start]]),ISBLANK(Term2_Day_2[[#This Row],[End]])),"",(Term2_Day_2[[#This Row],[End]]-Term2_Day_2[[#This Row],[Start]])*1440)</f>
        <v/>
      </c>
      <c r="M46" s="106" t="str">
        <f>IF(ISBLANK(Term2_Day_2[[#This Row],[Activity]]),"",IF(_xlfn.XLOOKUP(Term2_Day_2[[#This Row],[Activity]],Types_of_Activity[Type of Activity],Types_of_Activity[Classification])=1,Term2_Day_2[[#This Row],[Elapsed]],0))</f>
        <v/>
      </c>
      <c r="N46" s="106" t="str">
        <f>IF(ISBLANK(Term2_Day_2[[#This Row],[Activity]]),"",IF(_xlfn.XLOOKUP(Term2_Day_2[[#This Row],[Activity]],Types_of_Activity[Type of Activity],Types_of_Activity[Classification])=2,Term2_Day_2[[#This Row],[Elapsed]],0))</f>
        <v/>
      </c>
      <c r="P46" s="136"/>
      <c r="Q46" s="136"/>
      <c r="R46" s="103"/>
      <c r="S46" s="106" t="str">
        <f>IF(OR(ISBLANK(Term2_Day_3[[#This Row],[Start]]),ISBLANK(Term2_Day_3[[#This Row],[End]])),"",(Term2_Day_3[[#This Row],[End]]-Term2_Day_3[[#This Row],[Start]])*1440)</f>
        <v/>
      </c>
      <c r="T46" s="106" t="str">
        <f>IF(ISBLANK(Term2_Day_3[[#This Row],[Activity]]),"",IF(_xlfn.XLOOKUP(Term2_Day_3[[#This Row],[Activity]],Types_of_Activity[Type of Activity],Types_of_Activity[Classification])=1,Term2_Day_3[[#This Row],[Elapsed]],0))</f>
        <v/>
      </c>
      <c r="U46" s="106" t="str">
        <f>IF(ISBLANK(Term2_Day_3[[#This Row],[Activity]]),"",IF(_xlfn.XLOOKUP(Term2_Day_3[[#This Row],[Activity]],Types_of_Activity[Type of Activity],Types_of_Activity[Classification])=2,Term2_Day_3[[#This Row],[Elapsed]],0))</f>
        <v/>
      </c>
      <c r="W46" s="136"/>
      <c r="X46" s="136"/>
      <c r="Y46" s="103"/>
      <c r="Z46" s="106" t="str">
        <f>IF(OR(ISBLANK(Term2_Day_4[[#This Row],[Start]]),ISBLANK(Term2_Day_4[[#This Row],[End]])),"",(Term2_Day_4[[#This Row],[End]]-Term2_Day_4[[#This Row],[Start]])*1440)</f>
        <v/>
      </c>
      <c r="AA46" s="106" t="str">
        <f>IF(ISBLANK(Term2_Day_4[[#This Row],[Activity]]),"",IF(_xlfn.XLOOKUP(Term2_Day_4[[#This Row],[Activity]],Types_of_Activity[Type of Activity],Types_of_Activity[Classification])=1,Term2_Day_4[[#This Row],[Elapsed]],0))</f>
        <v/>
      </c>
      <c r="AB46" s="106" t="str">
        <f>IF(ISBLANK(Term2_Day_4[[#This Row],[Activity]]),"",IF(_xlfn.XLOOKUP(Term2_Day_4[[#This Row],[Activity]],Types_of_Activity[Type of Activity],Types_of_Activity[Classification])=2,Term2_Day_4[[#This Row],[Elapsed]],0))</f>
        <v/>
      </c>
      <c r="AD46" s="136"/>
      <c r="AE46" s="136"/>
      <c r="AF46" s="103"/>
      <c r="AG46" s="106" t="str">
        <f>IF(OR(ISBLANK(Term2_Day_5[[#This Row],[Start]]),ISBLANK(Term2_Day_5[[#This Row],[End]])),"",(Term2_Day_5[[#This Row],[End]]-Term2_Day_5[[#This Row],[Start]])*1440)</f>
        <v/>
      </c>
      <c r="AH46" s="106" t="str">
        <f>IF(ISBLANK(Term2_Day_5[[#This Row],[Activity]]),"",IF(_xlfn.XLOOKUP(Term2_Day_5[[#This Row],[Activity]],Types_of_Activity[Type of Activity],Types_of_Activity[Classification])=1,Term2_Day_5[[#This Row],[Elapsed]],0))</f>
        <v/>
      </c>
      <c r="AI46" s="106" t="str">
        <f>IF(ISBLANK(Term2_Day_5[[#This Row],[Activity]]),"",IF(_xlfn.XLOOKUP(Term2_Day_5[[#This Row],[Activity]],Types_of_Activity[Type of Activity],Types_of_Activity[Classification])=2,Term2_Day_5[[#This Row],[Elapsed]],0))</f>
        <v/>
      </c>
      <c r="AJ46" s="107"/>
      <c r="AK46" s="136"/>
      <c r="AL46" s="136"/>
      <c r="AM46" s="103"/>
      <c r="AN46" s="106" t="str">
        <f>IF(OR(ISBLANK(Term2_Day_6[[#This Row],[Start]]),ISBLANK(Term2_Day_6[[#This Row],[End]])),"",(Term2_Day_6[[#This Row],[End]]-Term2_Day_6[[#This Row],[Start]])*1440)</f>
        <v/>
      </c>
      <c r="AO46" s="106" t="str">
        <f>IF(ISBLANK(Term2_Day_6[[#This Row],[Activity]]),"",IF(_xlfn.XLOOKUP(Term2_Day_6[[#This Row],[Activity]],Types_of_Activity[Type of Activity],Types_of_Activity[Classification])=1,Term2_Day_6[[#This Row],[Elapsed]],0))</f>
        <v/>
      </c>
      <c r="AP46" s="106" t="str">
        <f>IF(ISBLANK(Term2_Day_6[[#This Row],[Activity]]),"",IF(_xlfn.XLOOKUP(Term2_Day_6[[#This Row],[Activity]],Types_of_Activity[Type of Activity],Types_of_Activity[Classification])=2,Term2_Day_6[[#This Row],[Elapsed]],0))</f>
        <v/>
      </c>
      <c r="AQ46" s="107"/>
      <c r="AR46" s="136"/>
      <c r="AS46" s="136"/>
      <c r="AT46" s="103"/>
      <c r="AU46" s="106" t="str">
        <f>IF(OR(ISBLANK(Term2_Day_7[[#This Row],[Start]]),ISBLANK(Term2_Day_7[[#This Row],[End]])),"",(Term2_Day_7[[#This Row],[End]]-Term2_Day_7[[#This Row],[Start]])*1440)</f>
        <v/>
      </c>
      <c r="AV46" s="106" t="str">
        <f>IF(ISBLANK(Term2_Day_7[[#This Row],[Activity]]),"",IF(_xlfn.XLOOKUP(Term2_Day_7[[#This Row],[Activity]],Types_of_Activity[Type of Activity],Types_of_Activity[Classification])=1,Term2_Day_7[[#This Row],[Elapsed]],0))</f>
        <v/>
      </c>
      <c r="AW46" s="106" t="str">
        <f>IF(ISBLANK(Term2_Day_7[[#This Row],[Activity]]),"",IF(_xlfn.XLOOKUP(Term2_Day_7[[#This Row],[Activity]],Types_of_Activity[Type of Activity],Types_of_Activity[Classification])=2,Term2_Day_7[[#This Row],[Elapsed]],0))</f>
        <v/>
      </c>
      <c r="AX46" s="107"/>
      <c r="AY46" s="136"/>
      <c r="AZ46" s="136"/>
      <c r="BA46" s="103"/>
      <c r="BB46" s="106" t="str">
        <f>IF(OR(ISBLANK(Term2_Day_8[[#This Row],[Start]]),ISBLANK(Term2_Day_8[[#This Row],[End]])),"",(Term2_Day_8[[#This Row],[End]]-Term2_Day_8[[#This Row],[Start]])*1440)</f>
        <v/>
      </c>
      <c r="BC46" s="106" t="str">
        <f>IF(ISBLANK(Term2_Day_8[[#This Row],[Activity]]),"",IF(_xlfn.XLOOKUP(Term2_Day_8[[#This Row],[Activity]],Types_of_Activity[Type of Activity],Types_of_Activity[Classification])=1,Term2_Day_8[[#This Row],[Elapsed]],0))</f>
        <v/>
      </c>
      <c r="BD46" s="106" t="str">
        <f>IF(ISBLANK(Term2_Day_8[[#This Row],[Activity]]),"",IF(_xlfn.XLOOKUP(Term2_Day_8[[#This Row],[Activity]],Types_of_Activity[Type of Activity],Types_of_Activity[Classification])=2,Term2_Day_8[[#This Row],[Elapsed]],0))</f>
        <v/>
      </c>
      <c r="BE46" s="107"/>
      <c r="BF46" s="136"/>
      <c r="BG46" s="136"/>
      <c r="BH46" s="103"/>
      <c r="BI46" s="106" t="str">
        <f>IF(OR(ISBLANK(Term2_Day_9[[#This Row],[Start]]),ISBLANK(Term2_Day_9[[#This Row],[End]])),"",(Term2_Day_9[[#This Row],[End]]-Term2_Day_9[[#This Row],[Start]])*1440)</f>
        <v/>
      </c>
      <c r="BJ46" s="106" t="str">
        <f>IF(ISBLANK(Term2_Day_9[[#This Row],[Activity]]),"",IF(_xlfn.XLOOKUP(Term2_Day_9[[#This Row],[Activity]],Types_of_Activity[Type of Activity],Types_of_Activity[Classification])=1,Term2_Day_9[[#This Row],[Elapsed]],0))</f>
        <v/>
      </c>
      <c r="BK46" s="106" t="str">
        <f>IF(ISBLANK(Term2_Day_9[[#This Row],[Activity]]),"",IF(_xlfn.XLOOKUP(Term2_Day_9[[#This Row],[Activity]],Types_of_Activity[Type of Activity],Types_of_Activity[Classification])=2,Term2_Day_9[[#This Row],[Elapsed]],0))</f>
        <v/>
      </c>
      <c r="BL46" s="107"/>
      <c r="BM46" s="136"/>
      <c r="BN46" s="136"/>
      <c r="BO46" s="103"/>
      <c r="BP46" s="106" t="str">
        <f>IF(OR(ISBLANK(Term2_Day_10[[#This Row],[Start]]),ISBLANK(Term2_Day_10[[#This Row],[End]])),"",(Term2_Day_10[[#This Row],[End]]-Term2_Day_10[[#This Row],[Start]])*1440)</f>
        <v/>
      </c>
      <c r="BQ46" s="106" t="str">
        <f>IF(ISBLANK(Term2_Day_10[[#This Row],[Activity]]),"",IF(_xlfn.XLOOKUP(Term2_Day_10[[#This Row],[Activity]],Types_of_Activity[Type of Activity],Types_of_Activity[Classification])=1,Term2_Day_10[[#This Row],[Elapsed]],0))</f>
        <v/>
      </c>
      <c r="BR46" s="106" t="str">
        <f>IF(ISBLANK(Term2_Day_10[[#This Row],[Activity]]),"",IF(_xlfn.XLOOKUP(Term2_Day_10[[#This Row],[Activity]],Types_of_Activity[Type of Activity],Types_of_Activity[Classification])=2,Term2_Day_10[[#This Row],[Elapsed]],0))</f>
        <v/>
      </c>
      <c r="BS46" s="107"/>
    </row>
    <row r="47" spans="2:71" x14ac:dyDescent="0.3">
      <c r="B47" s="136"/>
      <c r="C47" s="136"/>
      <c r="D47" s="103"/>
      <c r="E47" s="106" t="str">
        <f>IF(OR(ISBLANK(Term2_Day_1[[#This Row],[Start]]),ISBLANK(Term2_Day_1[[#This Row],[End]])),"",(Term2_Day_1[[#This Row],[End]]-Term2_Day_1[[#This Row],[Start]])*1440)</f>
        <v/>
      </c>
      <c r="F47" s="106" t="str">
        <f>IF(ISBLANK(Term2_Day_1[[#This Row],[Activity]]),"",IF(_xlfn.XLOOKUP(Term2_Day_1[[#This Row],[Activity]],Types_of_Activity[Type of Activity],Types_of_Activity[Classification])=1,Term2_Day_1[[#This Row],[Elapsed]],0))</f>
        <v/>
      </c>
      <c r="G47" s="106" t="str">
        <f>IF(ISBLANK(Term2_Day_1[[#This Row],[Activity]]),"",IF(_xlfn.XLOOKUP(Term2_Day_1[[#This Row],[Activity]],Types_of_Activity[Type of Activity],Types_of_Activity[Classification])=2,Term2_Day_1[[#This Row],[Elapsed]],0))</f>
        <v/>
      </c>
      <c r="I47" s="136"/>
      <c r="J47" s="136"/>
      <c r="K47" s="103"/>
      <c r="L47" s="106" t="str">
        <f>IF(OR(ISBLANK(Term2_Day_2[[#This Row],[Start]]),ISBLANK(Term2_Day_2[[#This Row],[End]])),"",(Term2_Day_2[[#This Row],[End]]-Term2_Day_2[[#This Row],[Start]])*1440)</f>
        <v/>
      </c>
      <c r="M47" s="106" t="str">
        <f>IF(ISBLANK(Term2_Day_2[[#This Row],[Activity]]),"",IF(_xlfn.XLOOKUP(Term2_Day_2[[#This Row],[Activity]],Types_of_Activity[Type of Activity],Types_of_Activity[Classification])=1,Term2_Day_2[[#This Row],[Elapsed]],0))</f>
        <v/>
      </c>
      <c r="N47" s="106" t="str">
        <f>IF(ISBLANK(Term2_Day_2[[#This Row],[Activity]]),"",IF(_xlfn.XLOOKUP(Term2_Day_2[[#This Row],[Activity]],Types_of_Activity[Type of Activity],Types_of_Activity[Classification])=2,Term2_Day_2[[#This Row],[Elapsed]],0))</f>
        <v/>
      </c>
      <c r="P47" s="136"/>
      <c r="Q47" s="136"/>
      <c r="R47" s="103"/>
      <c r="S47" s="106" t="str">
        <f>IF(OR(ISBLANK(Term2_Day_3[[#This Row],[Start]]),ISBLANK(Term2_Day_3[[#This Row],[End]])),"",(Term2_Day_3[[#This Row],[End]]-Term2_Day_3[[#This Row],[Start]])*1440)</f>
        <v/>
      </c>
      <c r="T47" s="106" t="str">
        <f>IF(ISBLANK(Term2_Day_3[[#This Row],[Activity]]),"",IF(_xlfn.XLOOKUP(Term2_Day_3[[#This Row],[Activity]],Types_of_Activity[Type of Activity],Types_of_Activity[Classification])=1,Term2_Day_3[[#This Row],[Elapsed]],0))</f>
        <v/>
      </c>
      <c r="U47" s="106" t="str">
        <f>IF(ISBLANK(Term2_Day_3[[#This Row],[Activity]]),"",IF(_xlfn.XLOOKUP(Term2_Day_3[[#This Row],[Activity]],Types_of_Activity[Type of Activity],Types_of_Activity[Classification])=2,Term2_Day_3[[#This Row],[Elapsed]],0))</f>
        <v/>
      </c>
      <c r="W47" s="136"/>
      <c r="X47" s="136"/>
      <c r="Y47" s="103"/>
      <c r="Z47" s="106" t="str">
        <f>IF(OR(ISBLANK(Term2_Day_4[[#This Row],[Start]]),ISBLANK(Term2_Day_4[[#This Row],[End]])),"",(Term2_Day_4[[#This Row],[End]]-Term2_Day_4[[#This Row],[Start]])*1440)</f>
        <v/>
      </c>
      <c r="AA47" s="106" t="str">
        <f>IF(ISBLANK(Term2_Day_4[[#This Row],[Activity]]),"",IF(_xlfn.XLOOKUP(Term2_Day_4[[#This Row],[Activity]],Types_of_Activity[Type of Activity],Types_of_Activity[Classification])=1,Term2_Day_4[[#This Row],[Elapsed]],0))</f>
        <v/>
      </c>
      <c r="AB47" s="106" t="str">
        <f>IF(ISBLANK(Term2_Day_4[[#This Row],[Activity]]),"",IF(_xlfn.XLOOKUP(Term2_Day_4[[#This Row],[Activity]],Types_of_Activity[Type of Activity],Types_of_Activity[Classification])=2,Term2_Day_4[[#This Row],[Elapsed]],0))</f>
        <v/>
      </c>
      <c r="AD47" s="136"/>
      <c r="AE47" s="136"/>
      <c r="AF47" s="103"/>
      <c r="AG47" s="106" t="str">
        <f>IF(OR(ISBLANK(Term2_Day_5[[#This Row],[Start]]),ISBLANK(Term2_Day_5[[#This Row],[End]])),"",(Term2_Day_5[[#This Row],[End]]-Term2_Day_5[[#This Row],[Start]])*1440)</f>
        <v/>
      </c>
      <c r="AH47" s="106" t="str">
        <f>IF(ISBLANK(Term2_Day_5[[#This Row],[Activity]]),"",IF(_xlfn.XLOOKUP(Term2_Day_5[[#This Row],[Activity]],Types_of_Activity[Type of Activity],Types_of_Activity[Classification])=1,Term2_Day_5[[#This Row],[Elapsed]],0))</f>
        <v/>
      </c>
      <c r="AI47" s="106" t="str">
        <f>IF(ISBLANK(Term2_Day_5[[#This Row],[Activity]]),"",IF(_xlfn.XLOOKUP(Term2_Day_5[[#This Row],[Activity]],Types_of_Activity[Type of Activity],Types_of_Activity[Classification])=2,Term2_Day_5[[#This Row],[Elapsed]],0))</f>
        <v/>
      </c>
      <c r="AJ47" s="107"/>
      <c r="AK47" s="136"/>
      <c r="AL47" s="136"/>
      <c r="AM47" s="103"/>
      <c r="AN47" s="106" t="str">
        <f>IF(OR(ISBLANK(Term2_Day_6[[#This Row],[Start]]),ISBLANK(Term2_Day_6[[#This Row],[End]])),"",(Term2_Day_6[[#This Row],[End]]-Term2_Day_6[[#This Row],[Start]])*1440)</f>
        <v/>
      </c>
      <c r="AO47" s="106" t="str">
        <f>IF(ISBLANK(Term2_Day_6[[#This Row],[Activity]]),"",IF(_xlfn.XLOOKUP(Term2_Day_6[[#This Row],[Activity]],Types_of_Activity[Type of Activity],Types_of_Activity[Classification])=1,Term2_Day_6[[#This Row],[Elapsed]],0))</f>
        <v/>
      </c>
      <c r="AP47" s="106" t="str">
        <f>IF(ISBLANK(Term2_Day_6[[#This Row],[Activity]]),"",IF(_xlfn.XLOOKUP(Term2_Day_6[[#This Row],[Activity]],Types_of_Activity[Type of Activity],Types_of_Activity[Classification])=2,Term2_Day_6[[#This Row],[Elapsed]],0))</f>
        <v/>
      </c>
      <c r="AQ47" s="107"/>
      <c r="AR47" s="136"/>
      <c r="AS47" s="136"/>
      <c r="AT47" s="103"/>
      <c r="AU47" s="106" t="str">
        <f>IF(OR(ISBLANK(Term2_Day_7[[#This Row],[Start]]),ISBLANK(Term2_Day_7[[#This Row],[End]])),"",(Term2_Day_7[[#This Row],[End]]-Term2_Day_7[[#This Row],[Start]])*1440)</f>
        <v/>
      </c>
      <c r="AV47" s="106" t="str">
        <f>IF(ISBLANK(Term2_Day_7[[#This Row],[Activity]]),"",IF(_xlfn.XLOOKUP(Term2_Day_7[[#This Row],[Activity]],Types_of_Activity[Type of Activity],Types_of_Activity[Classification])=1,Term2_Day_7[[#This Row],[Elapsed]],0))</f>
        <v/>
      </c>
      <c r="AW47" s="106" t="str">
        <f>IF(ISBLANK(Term2_Day_7[[#This Row],[Activity]]),"",IF(_xlfn.XLOOKUP(Term2_Day_7[[#This Row],[Activity]],Types_of_Activity[Type of Activity],Types_of_Activity[Classification])=2,Term2_Day_7[[#This Row],[Elapsed]],0))</f>
        <v/>
      </c>
      <c r="AX47" s="107"/>
      <c r="AY47" s="136"/>
      <c r="AZ47" s="136"/>
      <c r="BA47" s="103"/>
      <c r="BB47" s="106" t="str">
        <f>IF(OR(ISBLANK(Term2_Day_8[[#This Row],[Start]]),ISBLANK(Term2_Day_8[[#This Row],[End]])),"",(Term2_Day_8[[#This Row],[End]]-Term2_Day_8[[#This Row],[Start]])*1440)</f>
        <v/>
      </c>
      <c r="BC47" s="106" t="str">
        <f>IF(ISBLANK(Term2_Day_8[[#This Row],[Activity]]),"",IF(_xlfn.XLOOKUP(Term2_Day_8[[#This Row],[Activity]],Types_of_Activity[Type of Activity],Types_of_Activity[Classification])=1,Term2_Day_8[[#This Row],[Elapsed]],0))</f>
        <v/>
      </c>
      <c r="BD47" s="106" t="str">
        <f>IF(ISBLANK(Term2_Day_8[[#This Row],[Activity]]),"",IF(_xlfn.XLOOKUP(Term2_Day_8[[#This Row],[Activity]],Types_of_Activity[Type of Activity],Types_of_Activity[Classification])=2,Term2_Day_8[[#This Row],[Elapsed]],0))</f>
        <v/>
      </c>
      <c r="BE47" s="107"/>
      <c r="BF47" s="136"/>
      <c r="BG47" s="136"/>
      <c r="BH47" s="103"/>
      <c r="BI47" s="106" t="str">
        <f>IF(OR(ISBLANK(Term2_Day_9[[#This Row],[Start]]),ISBLANK(Term2_Day_9[[#This Row],[End]])),"",(Term2_Day_9[[#This Row],[End]]-Term2_Day_9[[#This Row],[Start]])*1440)</f>
        <v/>
      </c>
      <c r="BJ47" s="106" t="str">
        <f>IF(ISBLANK(Term2_Day_9[[#This Row],[Activity]]),"",IF(_xlfn.XLOOKUP(Term2_Day_9[[#This Row],[Activity]],Types_of_Activity[Type of Activity],Types_of_Activity[Classification])=1,Term2_Day_9[[#This Row],[Elapsed]],0))</f>
        <v/>
      </c>
      <c r="BK47" s="106" t="str">
        <f>IF(ISBLANK(Term2_Day_9[[#This Row],[Activity]]),"",IF(_xlfn.XLOOKUP(Term2_Day_9[[#This Row],[Activity]],Types_of_Activity[Type of Activity],Types_of_Activity[Classification])=2,Term2_Day_9[[#This Row],[Elapsed]],0))</f>
        <v/>
      </c>
      <c r="BL47" s="107"/>
      <c r="BM47" s="136"/>
      <c r="BN47" s="136"/>
      <c r="BO47" s="103"/>
      <c r="BP47" s="106" t="str">
        <f>IF(OR(ISBLANK(Term2_Day_10[[#This Row],[Start]]),ISBLANK(Term2_Day_10[[#This Row],[End]])),"",(Term2_Day_10[[#This Row],[End]]-Term2_Day_10[[#This Row],[Start]])*1440)</f>
        <v/>
      </c>
      <c r="BQ47" s="106" t="str">
        <f>IF(ISBLANK(Term2_Day_10[[#This Row],[Activity]]),"",IF(_xlfn.XLOOKUP(Term2_Day_10[[#This Row],[Activity]],Types_of_Activity[Type of Activity],Types_of_Activity[Classification])=1,Term2_Day_10[[#This Row],[Elapsed]],0))</f>
        <v/>
      </c>
      <c r="BR47" s="106" t="str">
        <f>IF(ISBLANK(Term2_Day_10[[#This Row],[Activity]]),"",IF(_xlfn.XLOOKUP(Term2_Day_10[[#This Row],[Activity]],Types_of_Activity[Type of Activity],Types_of_Activity[Classification])=2,Term2_Day_10[[#This Row],[Elapsed]],0))</f>
        <v/>
      </c>
      <c r="BS47" s="107"/>
    </row>
    <row r="48" spans="2:71" x14ac:dyDescent="0.3">
      <c r="B48" s="136"/>
      <c r="C48" s="136"/>
      <c r="D48" s="103"/>
      <c r="E48" s="106" t="str">
        <f>IF(OR(ISBLANK(Term2_Day_1[[#This Row],[Start]]),ISBLANK(Term2_Day_1[[#This Row],[End]])),"",(Term2_Day_1[[#This Row],[End]]-Term2_Day_1[[#This Row],[Start]])*1440)</f>
        <v/>
      </c>
      <c r="F48" s="106" t="str">
        <f>IF(ISBLANK(Term2_Day_1[[#This Row],[Activity]]),"",IF(_xlfn.XLOOKUP(Term2_Day_1[[#This Row],[Activity]],Types_of_Activity[Type of Activity],Types_of_Activity[Classification])=1,Term2_Day_1[[#This Row],[Elapsed]],0))</f>
        <v/>
      </c>
      <c r="G48" s="106" t="str">
        <f>IF(ISBLANK(Term2_Day_1[[#This Row],[Activity]]),"",IF(_xlfn.XLOOKUP(Term2_Day_1[[#This Row],[Activity]],Types_of_Activity[Type of Activity],Types_of_Activity[Classification])=2,Term2_Day_1[[#This Row],[Elapsed]],0))</f>
        <v/>
      </c>
      <c r="I48" s="136"/>
      <c r="J48" s="136"/>
      <c r="K48" s="103"/>
      <c r="L48" s="106" t="str">
        <f>IF(OR(ISBLANK(Term2_Day_2[[#This Row],[Start]]),ISBLANK(Term2_Day_2[[#This Row],[End]])),"",(Term2_Day_2[[#This Row],[End]]-Term2_Day_2[[#This Row],[Start]])*1440)</f>
        <v/>
      </c>
      <c r="M48" s="106" t="str">
        <f>IF(ISBLANK(Term2_Day_2[[#This Row],[Activity]]),"",IF(_xlfn.XLOOKUP(Term2_Day_2[[#This Row],[Activity]],Types_of_Activity[Type of Activity],Types_of_Activity[Classification])=1,Term2_Day_2[[#This Row],[Elapsed]],0))</f>
        <v/>
      </c>
      <c r="N48" s="106" t="str">
        <f>IF(ISBLANK(Term2_Day_2[[#This Row],[Activity]]),"",IF(_xlfn.XLOOKUP(Term2_Day_2[[#This Row],[Activity]],Types_of_Activity[Type of Activity],Types_of_Activity[Classification])=2,Term2_Day_2[[#This Row],[Elapsed]],0))</f>
        <v/>
      </c>
      <c r="P48" s="136"/>
      <c r="Q48" s="136"/>
      <c r="R48" s="103"/>
      <c r="S48" s="106" t="str">
        <f>IF(OR(ISBLANK(Term2_Day_3[[#This Row],[Start]]),ISBLANK(Term2_Day_3[[#This Row],[End]])),"",(Term2_Day_3[[#This Row],[End]]-Term2_Day_3[[#This Row],[Start]])*1440)</f>
        <v/>
      </c>
      <c r="T48" s="106" t="str">
        <f>IF(ISBLANK(Term2_Day_3[[#This Row],[Activity]]),"",IF(_xlfn.XLOOKUP(Term2_Day_3[[#This Row],[Activity]],Types_of_Activity[Type of Activity],Types_of_Activity[Classification])=1,Term2_Day_3[[#This Row],[Elapsed]],0))</f>
        <v/>
      </c>
      <c r="U48" s="106" t="str">
        <f>IF(ISBLANK(Term2_Day_3[[#This Row],[Activity]]),"",IF(_xlfn.XLOOKUP(Term2_Day_3[[#This Row],[Activity]],Types_of_Activity[Type of Activity],Types_of_Activity[Classification])=2,Term2_Day_3[[#This Row],[Elapsed]],0))</f>
        <v/>
      </c>
      <c r="W48" s="136"/>
      <c r="X48" s="136"/>
      <c r="Y48" s="103"/>
      <c r="Z48" s="106" t="str">
        <f>IF(OR(ISBLANK(Term2_Day_4[[#This Row],[Start]]),ISBLANK(Term2_Day_4[[#This Row],[End]])),"",(Term2_Day_4[[#This Row],[End]]-Term2_Day_4[[#This Row],[Start]])*1440)</f>
        <v/>
      </c>
      <c r="AA48" s="106" t="str">
        <f>IF(ISBLANK(Term2_Day_4[[#This Row],[Activity]]),"",IF(_xlfn.XLOOKUP(Term2_Day_4[[#This Row],[Activity]],Types_of_Activity[Type of Activity],Types_of_Activity[Classification])=1,Term2_Day_4[[#This Row],[Elapsed]],0))</f>
        <v/>
      </c>
      <c r="AB48" s="106" t="str">
        <f>IF(ISBLANK(Term2_Day_4[[#This Row],[Activity]]),"",IF(_xlfn.XLOOKUP(Term2_Day_4[[#This Row],[Activity]],Types_of_Activity[Type of Activity],Types_of_Activity[Classification])=2,Term2_Day_4[[#This Row],[Elapsed]],0))</f>
        <v/>
      </c>
      <c r="AD48" s="136"/>
      <c r="AE48" s="136"/>
      <c r="AF48" s="103"/>
      <c r="AG48" s="106" t="str">
        <f>IF(OR(ISBLANK(Term2_Day_5[[#This Row],[Start]]),ISBLANK(Term2_Day_5[[#This Row],[End]])),"",(Term2_Day_5[[#This Row],[End]]-Term2_Day_5[[#This Row],[Start]])*1440)</f>
        <v/>
      </c>
      <c r="AH48" s="106" t="str">
        <f>IF(ISBLANK(Term2_Day_5[[#This Row],[Activity]]),"",IF(_xlfn.XLOOKUP(Term2_Day_5[[#This Row],[Activity]],Types_of_Activity[Type of Activity],Types_of_Activity[Classification])=1,Term2_Day_5[[#This Row],[Elapsed]],0))</f>
        <v/>
      </c>
      <c r="AI48" s="106" t="str">
        <f>IF(ISBLANK(Term2_Day_5[[#This Row],[Activity]]),"",IF(_xlfn.XLOOKUP(Term2_Day_5[[#This Row],[Activity]],Types_of_Activity[Type of Activity],Types_of_Activity[Classification])=2,Term2_Day_5[[#This Row],[Elapsed]],0))</f>
        <v/>
      </c>
      <c r="AJ48" s="107"/>
      <c r="AK48" s="136"/>
      <c r="AL48" s="136"/>
      <c r="AM48" s="103"/>
      <c r="AN48" s="106" t="str">
        <f>IF(OR(ISBLANK(Term2_Day_6[[#This Row],[Start]]),ISBLANK(Term2_Day_6[[#This Row],[End]])),"",(Term2_Day_6[[#This Row],[End]]-Term2_Day_6[[#This Row],[Start]])*1440)</f>
        <v/>
      </c>
      <c r="AO48" s="106" t="str">
        <f>IF(ISBLANK(Term2_Day_6[[#This Row],[Activity]]),"",IF(_xlfn.XLOOKUP(Term2_Day_6[[#This Row],[Activity]],Types_of_Activity[Type of Activity],Types_of_Activity[Classification])=1,Term2_Day_6[[#This Row],[Elapsed]],0))</f>
        <v/>
      </c>
      <c r="AP48" s="106" t="str">
        <f>IF(ISBLANK(Term2_Day_6[[#This Row],[Activity]]),"",IF(_xlfn.XLOOKUP(Term2_Day_6[[#This Row],[Activity]],Types_of_Activity[Type of Activity],Types_of_Activity[Classification])=2,Term2_Day_6[[#This Row],[Elapsed]],0))</f>
        <v/>
      </c>
      <c r="AQ48" s="107"/>
      <c r="AR48" s="136"/>
      <c r="AS48" s="136"/>
      <c r="AT48" s="103"/>
      <c r="AU48" s="106" t="str">
        <f>IF(OR(ISBLANK(Term2_Day_7[[#This Row],[Start]]),ISBLANK(Term2_Day_7[[#This Row],[End]])),"",(Term2_Day_7[[#This Row],[End]]-Term2_Day_7[[#This Row],[Start]])*1440)</f>
        <v/>
      </c>
      <c r="AV48" s="106" t="str">
        <f>IF(ISBLANK(Term2_Day_7[[#This Row],[Activity]]),"",IF(_xlfn.XLOOKUP(Term2_Day_7[[#This Row],[Activity]],Types_of_Activity[Type of Activity],Types_of_Activity[Classification])=1,Term2_Day_7[[#This Row],[Elapsed]],0))</f>
        <v/>
      </c>
      <c r="AW48" s="106" t="str">
        <f>IF(ISBLANK(Term2_Day_7[[#This Row],[Activity]]),"",IF(_xlfn.XLOOKUP(Term2_Day_7[[#This Row],[Activity]],Types_of_Activity[Type of Activity],Types_of_Activity[Classification])=2,Term2_Day_7[[#This Row],[Elapsed]],0))</f>
        <v/>
      </c>
      <c r="AX48" s="107"/>
      <c r="AY48" s="136"/>
      <c r="AZ48" s="136"/>
      <c r="BA48" s="103"/>
      <c r="BB48" s="106" t="str">
        <f>IF(OR(ISBLANK(Term2_Day_8[[#This Row],[Start]]),ISBLANK(Term2_Day_8[[#This Row],[End]])),"",(Term2_Day_8[[#This Row],[End]]-Term2_Day_8[[#This Row],[Start]])*1440)</f>
        <v/>
      </c>
      <c r="BC48" s="106" t="str">
        <f>IF(ISBLANK(Term2_Day_8[[#This Row],[Activity]]),"",IF(_xlfn.XLOOKUP(Term2_Day_8[[#This Row],[Activity]],Types_of_Activity[Type of Activity],Types_of_Activity[Classification])=1,Term2_Day_8[[#This Row],[Elapsed]],0))</f>
        <v/>
      </c>
      <c r="BD48" s="106" t="str">
        <f>IF(ISBLANK(Term2_Day_8[[#This Row],[Activity]]),"",IF(_xlfn.XLOOKUP(Term2_Day_8[[#This Row],[Activity]],Types_of_Activity[Type of Activity],Types_of_Activity[Classification])=2,Term2_Day_8[[#This Row],[Elapsed]],0))</f>
        <v/>
      </c>
      <c r="BE48" s="107"/>
      <c r="BF48" s="136"/>
      <c r="BG48" s="136"/>
      <c r="BH48" s="103"/>
      <c r="BI48" s="106" t="str">
        <f>IF(OR(ISBLANK(Term2_Day_9[[#This Row],[Start]]),ISBLANK(Term2_Day_9[[#This Row],[End]])),"",(Term2_Day_9[[#This Row],[End]]-Term2_Day_9[[#This Row],[Start]])*1440)</f>
        <v/>
      </c>
      <c r="BJ48" s="106" t="str">
        <f>IF(ISBLANK(Term2_Day_9[[#This Row],[Activity]]),"",IF(_xlfn.XLOOKUP(Term2_Day_9[[#This Row],[Activity]],Types_of_Activity[Type of Activity],Types_of_Activity[Classification])=1,Term2_Day_9[[#This Row],[Elapsed]],0))</f>
        <v/>
      </c>
      <c r="BK48" s="106" t="str">
        <f>IF(ISBLANK(Term2_Day_9[[#This Row],[Activity]]),"",IF(_xlfn.XLOOKUP(Term2_Day_9[[#This Row],[Activity]],Types_of_Activity[Type of Activity],Types_of_Activity[Classification])=2,Term2_Day_9[[#This Row],[Elapsed]],0))</f>
        <v/>
      </c>
      <c r="BL48" s="107"/>
      <c r="BM48" s="136"/>
      <c r="BN48" s="136"/>
      <c r="BO48" s="103"/>
      <c r="BP48" s="106" t="str">
        <f>IF(OR(ISBLANK(Term2_Day_10[[#This Row],[Start]]),ISBLANK(Term2_Day_10[[#This Row],[End]])),"",(Term2_Day_10[[#This Row],[End]]-Term2_Day_10[[#This Row],[Start]])*1440)</f>
        <v/>
      </c>
      <c r="BQ48" s="106" t="str">
        <f>IF(ISBLANK(Term2_Day_10[[#This Row],[Activity]]),"",IF(_xlfn.XLOOKUP(Term2_Day_10[[#This Row],[Activity]],Types_of_Activity[Type of Activity],Types_of_Activity[Classification])=1,Term2_Day_10[[#This Row],[Elapsed]],0))</f>
        <v/>
      </c>
      <c r="BR48" s="106" t="str">
        <f>IF(ISBLANK(Term2_Day_10[[#This Row],[Activity]]),"",IF(_xlfn.XLOOKUP(Term2_Day_10[[#This Row],[Activity]],Types_of_Activity[Type of Activity],Types_of_Activity[Classification])=2,Term2_Day_10[[#This Row],[Elapsed]],0))</f>
        <v/>
      </c>
      <c r="BS48" s="107"/>
    </row>
    <row r="49" spans="2:71" x14ac:dyDescent="0.3">
      <c r="B49" s="136"/>
      <c r="C49" s="136"/>
      <c r="D49" s="103"/>
      <c r="E49" s="106" t="str">
        <f>IF(OR(ISBLANK(Term2_Day_1[[#This Row],[Start]]),ISBLANK(Term2_Day_1[[#This Row],[End]])),"",(Term2_Day_1[[#This Row],[End]]-Term2_Day_1[[#This Row],[Start]])*1440)</f>
        <v/>
      </c>
      <c r="F49" s="106" t="str">
        <f>IF(ISBLANK(Term2_Day_1[[#This Row],[Activity]]),"",IF(_xlfn.XLOOKUP(Term2_Day_1[[#This Row],[Activity]],Types_of_Activity[Type of Activity],Types_of_Activity[Classification])=1,Term2_Day_1[[#This Row],[Elapsed]],0))</f>
        <v/>
      </c>
      <c r="G49" s="106" t="str">
        <f>IF(ISBLANK(Term2_Day_1[[#This Row],[Activity]]),"",IF(_xlfn.XLOOKUP(Term2_Day_1[[#This Row],[Activity]],Types_of_Activity[Type of Activity],Types_of_Activity[Classification])=2,Term2_Day_1[[#This Row],[Elapsed]],0))</f>
        <v/>
      </c>
      <c r="I49" s="136"/>
      <c r="J49" s="136"/>
      <c r="K49" s="103"/>
      <c r="L49" s="106" t="str">
        <f>IF(OR(ISBLANK(Term2_Day_2[[#This Row],[Start]]),ISBLANK(Term2_Day_2[[#This Row],[End]])),"",(Term2_Day_2[[#This Row],[End]]-Term2_Day_2[[#This Row],[Start]])*1440)</f>
        <v/>
      </c>
      <c r="M49" s="106" t="str">
        <f>IF(ISBLANK(Term2_Day_2[[#This Row],[Activity]]),"",IF(_xlfn.XLOOKUP(Term2_Day_2[[#This Row],[Activity]],Types_of_Activity[Type of Activity],Types_of_Activity[Classification])=1,Term2_Day_2[[#This Row],[Elapsed]],0))</f>
        <v/>
      </c>
      <c r="N49" s="106" t="str">
        <f>IF(ISBLANK(Term2_Day_2[[#This Row],[Activity]]),"",IF(_xlfn.XLOOKUP(Term2_Day_2[[#This Row],[Activity]],Types_of_Activity[Type of Activity],Types_of_Activity[Classification])=2,Term2_Day_2[[#This Row],[Elapsed]],0))</f>
        <v/>
      </c>
      <c r="P49" s="136"/>
      <c r="Q49" s="136"/>
      <c r="R49" s="103"/>
      <c r="S49" s="106" t="str">
        <f>IF(OR(ISBLANK(Term2_Day_3[[#This Row],[Start]]),ISBLANK(Term2_Day_3[[#This Row],[End]])),"",(Term2_Day_3[[#This Row],[End]]-Term2_Day_3[[#This Row],[Start]])*1440)</f>
        <v/>
      </c>
      <c r="T49" s="106" t="str">
        <f>IF(ISBLANK(Term2_Day_3[[#This Row],[Activity]]),"",IF(_xlfn.XLOOKUP(Term2_Day_3[[#This Row],[Activity]],Types_of_Activity[Type of Activity],Types_of_Activity[Classification])=1,Term2_Day_3[[#This Row],[Elapsed]],0))</f>
        <v/>
      </c>
      <c r="U49" s="106" t="str">
        <f>IF(ISBLANK(Term2_Day_3[[#This Row],[Activity]]),"",IF(_xlfn.XLOOKUP(Term2_Day_3[[#This Row],[Activity]],Types_of_Activity[Type of Activity],Types_of_Activity[Classification])=2,Term2_Day_3[[#This Row],[Elapsed]],0))</f>
        <v/>
      </c>
      <c r="W49" s="136"/>
      <c r="X49" s="136"/>
      <c r="Y49" s="103"/>
      <c r="Z49" s="106" t="str">
        <f>IF(OR(ISBLANK(Term2_Day_4[[#This Row],[Start]]),ISBLANK(Term2_Day_4[[#This Row],[End]])),"",(Term2_Day_4[[#This Row],[End]]-Term2_Day_4[[#This Row],[Start]])*1440)</f>
        <v/>
      </c>
      <c r="AA49" s="106" t="str">
        <f>IF(ISBLANK(Term2_Day_4[[#This Row],[Activity]]),"",IF(_xlfn.XLOOKUP(Term2_Day_4[[#This Row],[Activity]],Types_of_Activity[Type of Activity],Types_of_Activity[Classification])=1,Term2_Day_4[[#This Row],[Elapsed]],0))</f>
        <v/>
      </c>
      <c r="AB49" s="106" t="str">
        <f>IF(ISBLANK(Term2_Day_4[[#This Row],[Activity]]),"",IF(_xlfn.XLOOKUP(Term2_Day_4[[#This Row],[Activity]],Types_of_Activity[Type of Activity],Types_of_Activity[Classification])=2,Term2_Day_4[[#This Row],[Elapsed]],0))</f>
        <v/>
      </c>
      <c r="AD49" s="136"/>
      <c r="AE49" s="136"/>
      <c r="AF49" s="103"/>
      <c r="AG49" s="106" t="str">
        <f>IF(OR(ISBLANK(Term2_Day_5[[#This Row],[Start]]),ISBLANK(Term2_Day_5[[#This Row],[End]])),"",(Term2_Day_5[[#This Row],[End]]-Term2_Day_5[[#This Row],[Start]])*1440)</f>
        <v/>
      </c>
      <c r="AH49" s="106" t="str">
        <f>IF(ISBLANK(Term2_Day_5[[#This Row],[Activity]]),"",IF(_xlfn.XLOOKUP(Term2_Day_5[[#This Row],[Activity]],Types_of_Activity[Type of Activity],Types_of_Activity[Classification])=1,Term2_Day_5[[#This Row],[Elapsed]],0))</f>
        <v/>
      </c>
      <c r="AI49" s="106" t="str">
        <f>IF(ISBLANK(Term2_Day_5[[#This Row],[Activity]]),"",IF(_xlfn.XLOOKUP(Term2_Day_5[[#This Row],[Activity]],Types_of_Activity[Type of Activity],Types_of_Activity[Classification])=2,Term2_Day_5[[#This Row],[Elapsed]],0))</f>
        <v/>
      </c>
      <c r="AJ49" s="107"/>
      <c r="AK49" s="136"/>
      <c r="AL49" s="136"/>
      <c r="AM49" s="103"/>
      <c r="AN49" s="106" t="str">
        <f>IF(OR(ISBLANK(Term2_Day_6[[#This Row],[Start]]),ISBLANK(Term2_Day_6[[#This Row],[End]])),"",(Term2_Day_6[[#This Row],[End]]-Term2_Day_6[[#This Row],[Start]])*1440)</f>
        <v/>
      </c>
      <c r="AO49" s="106" t="str">
        <f>IF(ISBLANK(Term2_Day_6[[#This Row],[Activity]]),"",IF(_xlfn.XLOOKUP(Term2_Day_6[[#This Row],[Activity]],Types_of_Activity[Type of Activity],Types_of_Activity[Classification])=1,Term2_Day_6[[#This Row],[Elapsed]],0))</f>
        <v/>
      </c>
      <c r="AP49" s="106" t="str">
        <f>IF(ISBLANK(Term2_Day_6[[#This Row],[Activity]]),"",IF(_xlfn.XLOOKUP(Term2_Day_6[[#This Row],[Activity]],Types_of_Activity[Type of Activity],Types_of_Activity[Classification])=2,Term2_Day_6[[#This Row],[Elapsed]],0))</f>
        <v/>
      </c>
      <c r="AQ49" s="107"/>
      <c r="AR49" s="136"/>
      <c r="AS49" s="136"/>
      <c r="AT49" s="103"/>
      <c r="AU49" s="106" t="str">
        <f>IF(OR(ISBLANK(Term2_Day_7[[#This Row],[Start]]),ISBLANK(Term2_Day_7[[#This Row],[End]])),"",(Term2_Day_7[[#This Row],[End]]-Term2_Day_7[[#This Row],[Start]])*1440)</f>
        <v/>
      </c>
      <c r="AV49" s="106" t="str">
        <f>IF(ISBLANK(Term2_Day_7[[#This Row],[Activity]]),"",IF(_xlfn.XLOOKUP(Term2_Day_7[[#This Row],[Activity]],Types_of_Activity[Type of Activity],Types_of_Activity[Classification])=1,Term2_Day_7[[#This Row],[Elapsed]],0))</f>
        <v/>
      </c>
      <c r="AW49" s="106" t="str">
        <f>IF(ISBLANK(Term2_Day_7[[#This Row],[Activity]]),"",IF(_xlfn.XLOOKUP(Term2_Day_7[[#This Row],[Activity]],Types_of_Activity[Type of Activity],Types_of_Activity[Classification])=2,Term2_Day_7[[#This Row],[Elapsed]],0))</f>
        <v/>
      </c>
      <c r="AX49" s="107"/>
      <c r="AY49" s="136"/>
      <c r="AZ49" s="136"/>
      <c r="BA49" s="103"/>
      <c r="BB49" s="106" t="str">
        <f>IF(OR(ISBLANK(Term2_Day_8[[#This Row],[Start]]),ISBLANK(Term2_Day_8[[#This Row],[End]])),"",(Term2_Day_8[[#This Row],[End]]-Term2_Day_8[[#This Row],[Start]])*1440)</f>
        <v/>
      </c>
      <c r="BC49" s="106" t="str">
        <f>IF(ISBLANK(Term2_Day_8[[#This Row],[Activity]]),"",IF(_xlfn.XLOOKUP(Term2_Day_8[[#This Row],[Activity]],Types_of_Activity[Type of Activity],Types_of_Activity[Classification])=1,Term2_Day_8[[#This Row],[Elapsed]],0))</f>
        <v/>
      </c>
      <c r="BD49" s="106" t="str">
        <f>IF(ISBLANK(Term2_Day_8[[#This Row],[Activity]]),"",IF(_xlfn.XLOOKUP(Term2_Day_8[[#This Row],[Activity]],Types_of_Activity[Type of Activity],Types_of_Activity[Classification])=2,Term2_Day_8[[#This Row],[Elapsed]],0))</f>
        <v/>
      </c>
      <c r="BE49" s="107"/>
      <c r="BF49" s="136"/>
      <c r="BG49" s="136"/>
      <c r="BH49" s="103"/>
      <c r="BI49" s="106" t="str">
        <f>IF(OR(ISBLANK(Term2_Day_9[[#This Row],[Start]]),ISBLANK(Term2_Day_9[[#This Row],[End]])),"",(Term2_Day_9[[#This Row],[End]]-Term2_Day_9[[#This Row],[Start]])*1440)</f>
        <v/>
      </c>
      <c r="BJ49" s="106" t="str">
        <f>IF(ISBLANK(Term2_Day_9[[#This Row],[Activity]]),"",IF(_xlfn.XLOOKUP(Term2_Day_9[[#This Row],[Activity]],Types_of_Activity[Type of Activity],Types_of_Activity[Classification])=1,Term2_Day_9[[#This Row],[Elapsed]],0))</f>
        <v/>
      </c>
      <c r="BK49" s="106" t="str">
        <f>IF(ISBLANK(Term2_Day_9[[#This Row],[Activity]]),"",IF(_xlfn.XLOOKUP(Term2_Day_9[[#This Row],[Activity]],Types_of_Activity[Type of Activity],Types_of_Activity[Classification])=2,Term2_Day_9[[#This Row],[Elapsed]],0))</f>
        <v/>
      </c>
      <c r="BL49" s="107"/>
      <c r="BM49" s="136"/>
      <c r="BN49" s="136"/>
      <c r="BO49" s="103"/>
      <c r="BP49" s="106" t="str">
        <f>IF(OR(ISBLANK(Term2_Day_10[[#This Row],[Start]]),ISBLANK(Term2_Day_10[[#This Row],[End]])),"",(Term2_Day_10[[#This Row],[End]]-Term2_Day_10[[#This Row],[Start]])*1440)</f>
        <v/>
      </c>
      <c r="BQ49" s="106" t="str">
        <f>IF(ISBLANK(Term2_Day_10[[#This Row],[Activity]]),"",IF(_xlfn.XLOOKUP(Term2_Day_10[[#This Row],[Activity]],Types_of_Activity[Type of Activity],Types_of_Activity[Classification])=1,Term2_Day_10[[#This Row],[Elapsed]],0))</f>
        <v/>
      </c>
      <c r="BR49" s="106" t="str">
        <f>IF(ISBLANK(Term2_Day_10[[#This Row],[Activity]]),"",IF(_xlfn.XLOOKUP(Term2_Day_10[[#This Row],[Activity]],Types_of_Activity[Type of Activity],Types_of_Activity[Classification])=2,Term2_Day_10[[#This Row],[Elapsed]],0))</f>
        <v/>
      </c>
      <c r="BS49" s="107"/>
    </row>
    <row r="50" spans="2:71" x14ac:dyDescent="0.3">
      <c r="B50" s="136"/>
      <c r="C50" s="136"/>
      <c r="D50" s="103"/>
      <c r="E50" s="106" t="str">
        <f>IF(OR(ISBLANK(Term2_Day_1[[#This Row],[Start]]),ISBLANK(Term2_Day_1[[#This Row],[End]])),"",(Term2_Day_1[[#This Row],[End]]-Term2_Day_1[[#This Row],[Start]])*1440)</f>
        <v/>
      </c>
      <c r="F50" s="106" t="str">
        <f>IF(ISBLANK(Term2_Day_1[[#This Row],[Activity]]),"",IF(_xlfn.XLOOKUP(Term2_Day_1[[#This Row],[Activity]],Types_of_Activity[Type of Activity],Types_of_Activity[Classification])=1,Term2_Day_1[[#This Row],[Elapsed]],0))</f>
        <v/>
      </c>
      <c r="G50" s="106" t="str">
        <f>IF(ISBLANK(Term2_Day_1[[#This Row],[Activity]]),"",IF(_xlfn.XLOOKUP(Term2_Day_1[[#This Row],[Activity]],Types_of_Activity[Type of Activity],Types_of_Activity[Classification])=2,Term2_Day_1[[#This Row],[Elapsed]],0))</f>
        <v/>
      </c>
      <c r="I50" s="136"/>
      <c r="J50" s="136"/>
      <c r="K50" s="103"/>
      <c r="L50" s="106" t="str">
        <f>IF(OR(ISBLANK(Term2_Day_2[[#This Row],[Start]]),ISBLANK(Term2_Day_2[[#This Row],[End]])),"",(Term2_Day_2[[#This Row],[End]]-Term2_Day_2[[#This Row],[Start]])*1440)</f>
        <v/>
      </c>
      <c r="M50" s="106" t="str">
        <f>IF(ISBLANK(Term2_Day_2[[#This Row],[Activity]]),"",IF(_xlfn.XLOOKUP(Term2_Day_2[[#This Row],[Activity]],Types_of_Activity[Type of Activity],Types_of_Activity[Classification])=1,Term2_Day_2[[#This Row],[Elapsed]],0))</f>
        <v/>
      </c>
      <c r="N50" s="106" t="str">
        <f>IF(ISBLANK(Term2_Day_2[[#This Row],[Activity]]),"",IF(_xlfn.XLOOKUP(Term2_Day_2[[#This Row],[Activity]],Types_of_Activity[Type of Activity],Types_of_Activity[Classification])=2,Term2_Day_2[[#This Row],[Elapsed]],0))</f>
        <v/>
      </c>
      <c r="P50" s="136"/>
      <c r="Q50" s="136"/>
      <c r="R50" s="103"/>
      <c r="S50" s="106" t="str">
        <f>IF(OR(ISBLANK(Term2_Day_3[[#This Row],[Start]]),ISBLANK(Term2_Day_3[[#This Row],[End]])),"",(Term2_Day_3[[#This Row],[End]]-Term2_Day_3[[#This Row],[Start]])*1440)</f>
        <v/>
      </c>
      <c r="T50" s="106" t="str">
        <f>IF(ISBLANK(Term2_Day_3[[#This Row],[Activity]]),"",IF(_xlfn.XLOOKUP(Term2_Day_3[[#This Row],[Activity]],Types_of_Activity[Type of Activity],Types_of_Activity[Classification])=1,Term2_Day_3[[#This Row],[Elapsed]],0))</f>
        <v/>
      </c>
      <c r="U50" s="106" t="str">
        <f>IF(ISBLANK(Term2_Day_3[[#This Row],[Activity]]),"",IF(_xlfn.XLOOKUP(Term2_Day_3[[#This Row],[Activity]],Types_of_Activity[Type of Activity],Types_of_Activity[Classification])=2,Term2_Day_3[[#This Row],[Elapsed]],0))</f>
        <v/>
      </c>
      <c r="W50" s="136"/>
      <c r="X50" s="136"/>
      <c r="Y50" s="103"/>
      <c r="Z50" s="106" t="str">
        <f>IF(OR(ISBLANK(Term2_Day_4[[#This Row],[Start]]),ISBLANK(Term2_Day_4[[#This Row],[End]])),"",(Term2_Day_4[[#This Row],[End]]-Term2_Day_4[[#This Row],[Start]])*1440)</f>
        <v/>
      </c>
      <c r="AA50" s="106" t="str">
        <f>IF(ISBLANK(Term2_Day_4[[#This Row],[Activity]]),"",IF(_xlfn.XLOOKUP(Term2_Day_4[[#This Row],[Activity]],Types_of_Activity[Type of Activity],Types_of_Activity[Classification])=1,Term2_Day_4[[#This Row],[Elapsed]],0))</f>
        <v/>
      </c>
      <c r="AB50" s="106" t="str">
        <f>IF(ISBLANK(Term2_Day_4[[#This Row],[Activity]]),"",IF(_xlfn.XLOOKUP(Term2_Day_4[[#This Row],[Activity]],Types_of_Activity[Type of Activity],Types_of_Activity[Classification])=2,Term2_Day_4[[#This Row],[Elapsed]],0))</f>
        <v/>
      </c>
      <c r="AD50" s="136"/>
      <c r="AE50" s="136"/>
      <c r="AF50" s="103"/>
      <c r="AG50" s="106" t="str">
        <f>IF(OR(ISBLANK(Term2_Day_5[[#This Row],[Start]]),ISBLANK(Term2_Day_5[[#This Row],[End]])),"",(Term2_Day_5[[#This Row],[End]]-Term2_Day_5[[#This Row],[Start]])*1440)</f>
        <v/>
      </c>
      <c r="AH50" s="106" t="str">
        <f>IF(ISBLANK(Term2_Day_5[[#This Row],[Activity]]),"",IF(_xlfn.XLOOKUP(Term2_Day_5[[#This Row],[Activity]],Types_of_Activity[Type of Activity],Types_of_Activity[Classification])=1,Term2_Day_5[[#This Row],[Elapsed]],0))</f>
        <v/>
      </c>
      <c r="AI50" s="106" t="str">
        <f>IF(ISBLANK(Term2_Day_5[[#This Row],[Activity]]),"",IF(_xlfn.XLOOKUP(Term2_Day_5[[#This Row],[Activity]],Types_of_Activity[Type of Activity],Types_of_Activity[Classification])=2,Term2_Day_5[[#This Row],[Elapsed]],0))</f>
        <v/>
      </c>
      <c r="AJ50" s="107"/>
      <c r="AK50" s="136"/>
      <c r="AL50" s="136"/>
      <c r="AM50" s="103"/>
      <c r="AN50" s="106" t="str">
        <f>IF(OR(ISBLANK(Term2_Day_6[[#This Row],[Start]]),ISBLANK(Term2_Day_6[[#This Row],[End]])),"",(Term2_Day_6[[#This Row],[End]]-Term2_Day_6[[#This Row],[Start]])*1440)</f>
        <v/>
      </c>
      <c r="AO50" s="106" t="str">
        <f>IF(ISBLANK(Term2_Day_6[[#This Row],[Activity]]),"",IF(_xlfn.XLOOKUP(Term2_Day_6[[#This Row],[Activity]],Types_of_Activity[Type of Activity],Types_of_Activity[Classification])=1,Term2_Day_6[[#This Row],[Elapsed]],0))</f>
        <v/>
      </c>
      <c r="AP50" s="106" t="str">
        <f>IF(ISBLANK(Term2_Day_6[[#This Row],[Activity]]),"",IF(_xlfn.XLOOKUP(Term2_Day_6[[#This Row],[Activity]],Types_of_Activity[Type of Activity],Types_of_Activity[Classification])=2,Term2_Day_6[[#This Row],[Elapsed]],0))</f>
        <v/>
      </c>
      <c r="AQ50" s="107"/>
      <c r="AR50" s="136"/>
      <c r="AS50" s="136"/>
      <c r="AT50" s="103"/>
      <c r="AU50" s="106" t="str">
        <f>IF(OR(ISBLANK(Term2_Day_7[[#This Row],[Start]]),ISBLANK(Term2_Day_7[[#This Row],[End]])),"",(Term2_Day_7[[#This Row],[End]]-Term2_Day_7[[#This Row],[Start]])*1440)</f>
        <v/>
      </c>
      <c r="AV50" s="106" t="str">
        <f>IF(ISBLANK(Term2_Day_7[[#This Row],[Activity]]),"",IF(_xlfn.XLOOKUP(Term2_Day_7[[#This Row],[Activity]],Types_of_Activity[Type of Activity],Types_of_Activity[Classification])=1,Term2_Day_7[[#This Row],[Elapsed]],0))</f>
        <v/>
      </c>
      <c r="AW50" s="106" t="str">
        <f>IF(ISBLANK(Term2_Day_7[[#This Row],[Activity]]),"",IF(_xlfn.XLOOKUP(Term2_Day_7[[#This Row],[Activity]],Types_of_Activity[Type of Activity],Types_of_Activity[Classification])=2,Term2_Day_7[[#This Row],[Elapsed]],0))</f>
        <v/>
      </c>
      <c r="AX50" s="107"/>
      <c r="AY50" s="136"/>
      <c r="AZ50" s="136"/>
      <c r="BA50" s="103"/>
      <c r="BB50" s="106" t="str">
        <f>IF(OR(ISBLANK(Term2_Day_8[[#This Row],[Start]]),ISBLANK(Term2_Day_8[[#This Row],[End]])),"",(Term2_Day_8[[#This Row],[End]]-Term2_Day_8[[#This Row],[Start]])*1440)</f>
        <v/>
      </c>
      <c r="BC50" s="106" t="str">
        <f>IF(ISBLANK(Term2_Day_8[[#This Row],[Activity]]),"",IF(_xlfn.XLOOKUP(Term2_Day_8[[#This Row],[Activity]],Types_of_Activity[Type of Activity],Types_of_Activity[Classification])=1,Term2_Day_8[[#This Row],[Elapsed]],0))</f>
        <v/>
      </c>
      <c r="BD50" s="106" t="str">
        <f>IF(ISBLANK(Term2_Day_8[[#This Row],[Activity]]),"",IF(_xlfn.XLOOKUP(Term2_Day_8[[#This Row],[Activity]],Types_of_Activity[Type of Activity],Types_of_Activity[Classification])=2,Term2_Day_8[[#This Row],[Elapsed]],0))</f>
        <v/>
      </c>
      <c r="BE50" s="107"/>
      <c r="BF50" s="136"/>
      <c r="BG50" s="136"/>
      <c r="BH50" s="103"/>
      <c r="BI50" s="106" t="str">
        <f>IF(OR(ISBLANK(Term2_Day_9[[#This Row],[Start]]),ISBLANK(Term2_Day_9[[#This Row],[End]])),"",(Term2_Day_9[[#This Row],[End]]-Term2_Day_9[[#This Row],[Start]])*1440)</f>
        <v/>
      </c>
      <c r="BJ50" s="106" t="str">
        <f>IF(ISBLANK(Term2_Day_9[[#This Row],[Activity]]),"",IF(_xlfn.XLOOKUP(Term2_Day_9[[#This Row],[Activity]],Types_of_Activity[Type of Activity],Types_of_Activity[Classification])=1,Term2_Day_9[[#This Row],[Elapsed]],0))</f>
        <v/>
      </c>
      <c r="BK50" s="106" t="str">
        <f>IF(ISBLANK(Term2_Day_9[[#This Row],[Activity]]),"",IF(_xlfn.XLOOKUP(Term2_Day_9[[#This Row],[Activity]],Types_of_Activity[Type of Activity],Types_of_Activity[Classification])=2,Term2_Day_9[[#This Row],[Elapsed]],0))</f>
        <v/>
      </c>
      <c r="BL50" s="107"/>
      <c r="BM50" s="136"/>
      <c r="BN50" s="136"/>
      <c r="BO50" s="103"/>
      <c r="BP50" s="106" t="str">
        <f>IF(OR(ISBLANK(Term2_Day_10[[#This Row],[Start]]),ISBLANK(Term2_Day_10[[#This Row],[End]])),"",(Term2_Day_10[[#This Row],[End]]-Term2_Day_10[[#This Row],[Start]])*1440)</f>
        <v/>
      </c>
      <c r="BQ50" s="106" t="str">
        <f>IF(ISBLANK(Term2_Day_10[[#This Row],[Activity]]),"",IF(_xlfn.XLOOKUP(Term2_Day_10[[#This Row],[Activity]],Types_of_Activity[Type of Activity],Types_of_Activity[Classification])=1,Term2_Day_10[[#This Row],[Elapsed]],0))</f>
        <v/>
      </c>
      <c r="BR50" s="106" t="str">
        <f>IF(ISBLANK(Term2_Day_10[[#This Row],[Activity]]),"",IF(_xlfn.XLOOKUP(Term2_Day_10[[#This Row],[Activity]],Types_of_Activity[Type of Activity],Types_of_Activity[Classification])=2,Term2_Day_10[[#This Row],[Elapsed]],0))</f>
        <v/>
      </c>
      <c r="BS50" s="107"/>
    </row>
    <row r="55" spans="2:71" ht="30.75" x14ac:dyDescent="0.45">
      <c r="B55" s="105" t="s">
        <v>22</v>
      </c>
      <c r="F55" s="106"/>
      <c r="G55" s="106"/>
      <c r="H55"/>
      <c r="I55" s="105" t="s">
        <v>23</v>
      </c>
      <c r="M55" s="106"/>
      <c r="N55" s="106"/>
      <c r="O55"/>
      <c r="P55" s="105" t="s">
        <v>24</v>
      </c>
      <c r="T55" s="106"/>
      <c r="U55" s="106"/>
      <c r="W55" s="105" t="s">
        <v>4133</v>
      </c>
      <c r="AA55" s="106"/>
      <c r="AB55" s="106"/>
      <c r="AD55" s="105" t="s">
        <v>4134</v>
      </c>
      <c r="AH55" s="106"/>
      <c r="AI55" s="106"/>
      <c r="AK55" s="105" t="s">
        <v>4135</v>
      </c>
      <c r="AO55" s="106"/>
      <c r="AP55" s="106"/>
    </row>
    <row r="56" spans="2:71" ht="33" x14ac:dyDescent="0.3">
      <c r="B56" s="120" t="s">
        <v>16</v>
      </c>
      <c r="C56" s="120" t="s">
        <v>17</v>
      </c>
      <c r="D56" s="120" t="s">
        <v>19</v>
      </c>
      <c r="E56" s="120" t="s">
        <v>18</v>
      </c>
      <c r="F56" s="120" t="s">
        <v>20</v>
      </c>
      <c r="G56" s="121" t="s">
        <v>4100</v>
      </c>
      <c r="H56"/>
      <c r="I56" s="120" t="s">
        <v>16</v>
      </c>
      <c r="J56" s="120" t="s">
        <v>17</v>
      </c>
      <c r="K56" s="120" t="s">
        <v>19</v>
      </c>
      <c r="L56" s="120" t="s">
        <v>18</v>
      </c>
      <c r="M56" s="120" t="s">
        <v>20</v>
      </c>
      <c r="N56" s="121" t="s">
        <v>4100</v>
      </c>
      <c r="O56"/>
      <c r="P56" s="120" t="s">
        <v>16</v>
      </c>
      <c r="Q56" s="120" t="s">
        <v>17</v>
      </c>
      <c r="R56" s="120" t="s">
        <v>19</v>
      </c>
      <c r="S56" s="120" t="s">
        <v>18</v>
      </c>
      <c r="T56" s="120" t="s">
        <v>20</v>
      </c>
      <c r="U56" s="121" t="s">
        <v>4100</v>
      </c>
      <c r="W56" s="120" t="s">
        <v>16</v>
      </c>
      <c r="X56" s="120" t="s">
        <v>17</v>
      </c>
      <c r="Y56" s="120" t="s">
        <v>19</v>
      </c>
      <c r="Z56" s="120" t="s">
        <v>18</v>
      </c>
      <c r="AA56" s="120" t="s">
        <v>20</v>
      </c>
      <c r="AB56" s="121" t="s">
        <v>4100</v>
      </c>
      <c r="AD56" s="120" t="s">
        <v>16</v>
      </c>
      <c r="AE56" s="120" t="s">
        <v>17</v>
      </c>
      <c r="AF56" s="120" t="s">
        <v>19</v>
      </c>
      <c r="AG56" s="120" t="s">
        <v>18</v>
      </c>
      <c r="AH56" s="120" t="s">
        <v>20</v>
      </c>
      <c r="AI56" s="121" t="s">
        <v>4100</v>
      </c>
      <c r="AK56" s="120" t="s">
        <v>16</v>
      </c>
      <c r="AL56" s="120" t="s">
        <v>17</v>
      </c>
      <c r="AM56" s="120" t="s">
        <v>19</v>
      </c>
      <c r="AN56" s="120" t="s">
        <v>18</v>
      </c>
      <c r="AO56" s="120" t="s">
        <v>20</v>
      </c>
      <c r="AP56" s="121" t="s">
        <v>4100</v>
      </c>
    </row>
    <row r="57" spans="2:71" x14ac:dyDescent="0.3">
      <c r="B57" s="136"/>
      <c r="C57" s="136"/>
      <c r="D57" s="103"/>
      <c r="E57" s="106" t="str">
        <f>IF(OR(ISBLANK(Term2_Early_Dismissal_1[[#This Row],[Start]]),ISBLANK(Term2_Early_Dismissal_1[[#This Row],[End]])),"",(Term2_Early_Dismissal_1[[#This Row],[End]]-Term2_Early_Dismissal_1[[#This Row],[Start]])*1440)</f>
        <v/>
      </c>
      <c r="F57" s="106" t="str">
        <f>IF(ISBLANK(Term2_Early_Dismissal_1[[#This Row],[Activity]]),"",IF(_xlfn.XLOOKUP(Term2_Early_Dismissal_1[[#This Row],[Activity]],Types_of_Activity[Type of Activity],Types_of_Activity[Classification])=1,Term2_Early_Dismissal_1[[#This Row],[Elapsed]],0))</f>
        <v/>
      </c>
      <c r="G57" s="106" t="str">
        <f>IF(ISBLANK(Term2_Early_Dismissal_1[[#This Row],[Activity]]),"",IF(_xlfn.XLOOKUP(Term2_Early_Dismissal_1[[#This Row],[Activity]],Types_of_Activity[Type of Activity],Types_of_Activity[Classification])=2,Term2_Early_Dismissal_1[[#This Row],[Elapsed]],0))</f>
        <v/>
      </c>
      <c r="H57"/>
      <c r="I57" s="136"/>
      <c r="J57" s="136"/>
      <c r="K57" s="103"/>
      <c r="L57" s="106" t="str">
        <f>IF(OR(ISBLANK(Term2_Early_Dismissal_2[[#This Row],[Start]]),ISBLANK(Term2_Early_Dismissal_2[[#This Row],[End]])),"",(Term2_Early_Dismissal_2[[#This Row],[End]]-Term2_Early_Dismissal_2[[#This Row],[Start]])*1440)</f>
        <v/>
      </c>
      <c r="M57" s="106" t="str">
        <f>IF(ISBLANK(Term2_Early_Dismissal_2[[#This Row],[Activity]]),"",IF(_xlfn.XLOOKUP(Term2_Early_Dismissal_2[[#This Row],[Activity]],Types_of_Activity[Type of Activity],Types_of_Activity[Classification])=1,Term2_Early_Dismissal_2[[#This Row],[Elapsed]],0))</f>
        <v/>
      </c>
      <c r="N57" s="106" t="str">
        <f>IF(ISBLANK(Term2_Early_Dismissal_2[[#This Row],[Activity]]),"",IF(_xlfn.XLOOKUP(Term2_Early_Dismissal_2[[#This Row],[Activity]],Types_of_Activity[Type of Activity],Types_of_Activity[Classification])=2,Term2_Early_Dismissal_2[[#This Row],[Elapsed]],0))</f>
        <v/>
      </c>
      <c r="O57"/>
      <c r="P57" s="136"/>
      <c r="Q57" s="136"/>
      <c r="R57" s="103"/>
      <c r="S57" s="106" t="str">
        <f>IF(OR(ISBLANK(Term2_Early_Dismissal_3[[#This Row],[Start]]),ISBLANK(Term2_Early_Dismissal_3[[#This Row],[End]])),"",(Term2_Early_Dismissal_3[[#This Row],[End]]-Term2_Early_Dismissal_3[[#This Row],[Start]])*1440)</f>
        <v/>
      </c>
      <c r="T57" s="106" t="str">
        <f>IF(ISBLANK(Term2_Early_Dismissal_3[[#This Row],[Activity]]),"",IF(_xlfn.XLOOKUP(Term2_Early_Dismissal_3[[#This Row],[Activity]],Types_of_Activity[Type of Activity],Types_of_Activity[Classification])=1,Term2_Early_Dismissal_3[[#This Row],[Elapsed]],0))</f>
        <v/>
      </c>
      <c r="U57" s="106" t="str">
        <f>IF(ISBLANK(Term2_Early_Dismissal_3[[#This Row],[Activity]]),"",IF(_xlfn.XLOOKUP(Term2_Early_Dismissal_3[[#This Row],[Activity]],Types_of_Activity[Type of Activity],Types_of_Activity[Classification])=2,Term2_Early_Dismissal_3[[#This Row],[Elapsed]],0))</f>
        <v/>
      </c>
      <c r="W57" s="136"/>
      <c r="X57" s="136"/>
      <c r="Y57" s="103"/>
      <c r="Z57" s="106" t="str">
        <f>IF(OR(ISBLANK(Term2_Early_Dismissal_4[[#This Row],[Start]]),ISBLANK(Term2_Early_Dismissal_4[[#This Row],[End]])),"",(Term2_Early_Dismissal_4[[#This Row],[End]]-Term2_Early_Dismissal_4[[#This Row],[Start]])*1440)</f>
        <v/>
      </c>
      <c r="AA57" s="106" t="str">
        <f>IF(ISBLANK(Term2_Early_Dismissal_4[[#This Row],[Activity]]),"",IF(_xlfn.XLOOKUP(Term2_Early_Dismissal_4[[#This Row],[Activity]],Types_of_Activity[Type of Activity],Types_of_Activity[Classification])=1,Term2_Early_Dismissal_4[[#This Row],[Elapsed]],0))</f>
        <v/>
      </c>
      <c r="AB57" s="106" t="str">
        <f>IF(ISBLANK(Term2_Early_Dismissal_4[[#This Row],[Activity]]),"",IF(_xlfn.XLOOKUP(Term2_Early_Dismissal_4[[#This Row],[Activity]],Types_of_Activity[Type of Activity],Types_of_Activity[Classification])=2,Term2_Early_Dismissal_4[[#This Row],[Elapsed]],0))</f>
        <v/>
      </c>
      <c r="AD57" s="136"/>
      <c r="AE57" s="136"/>
      <c r="AF57" s="103"/>
      <c r="AG57" s="106" t="str">
        <f>IF(OR(ISBLANK(Term2_Early_Dismissal_5[[#This Row],[Start]]),ISBLANK(Term2_Early_Dismissal_5[[#This Row],[End]])),"",(Term2_Early_Dismissal_5[[#This Row],[End]]-Term2_Early_Dismissal_5[[#This Row],[Start]])*1440)</f>
        <v/>
      </c>
      <c r="AH57" s="106" t="str">
        <f>IF(ISBLANK(Term2_Early_Dismissal_5[[#This Row],[Activity]]),"",IF(_xlfn.XLOOKUP(Term2_Early_Dismissal_5[[#This Row],[Activity]],Types_of_Activity[Type of Activity],Types_of_Activity[Classification])=1,Term2_Early_Dismissal_5[[#This Row],[Elapsed]],0))</f>
        <v/>
      </c>
      <c r="AI57" s="106" t="str">
        <f>IF(ISBLANK(Term2_Early_Dismissal_5[[#This Row],[Activity]]),"",IF(_xlfn.XLOOKUP(Term2_Early_Dismissal_5[[#This Row],[Activity]],Types_of_Activity[Type of Activity],Types_of_Activity[Classification])=2,Term2_Early_Dismissal_5[[#This Row],[Elapsed]],0))</f>
        <v/>
      </c>
      <c r="AK57" s="136"/>
      <c r="AL57" s="136"/>
      <c r="AM57" s="103"/>
      <c r="AN57" s="106" t="str">
        <f>IF(OR(ISBLANK(Term2_Early_Dismissal_6[[#This Row],[Start]]),ISBLANK(Term2_Early_Dismissal_6[[#This Row],[End]])),"",(Term2_Early_Dismissal_6[[#This Row],[End]]-Term2_Early_Dismissal_6[[#This Row],[Start]])*1440)</f>
        <v/>
      </c>
      <c r="AO57" s="106" t="str">
        <f>IF(ISBLANK(Term2_Early_Dismissal_6[[#This Row],[Activity]]),"",IF(_xlfn.XLOOKUP(Term2_Early_Dismissal_6[[#This Row],[Activity]],Types_of_Activity[Type of Activity],Types_of_Activity[Classification])=1,Term2_Early_Dismissal_6[[#This Row],[Elapsed]],0))</f>
        <v/>
      </c>
      <c r="AP57" s="106" t="str">
        <f>IF(ISBLANK(Term2_Early_Dismissal_6[[#This Row],[Activity]]),"",IF(_xlfn.XLOOKUP(Term2_Early_Dismissal_6[[#This Row],[Activity]],Types_of_Activity[Type of Activity],Types_of_Activity[Classification])=2,Term2_Early_Dismissal_6[[#This Row],[Elapsed]],0))</f>
        <v/>
      </c>
    </row>
    <row r="58" spans="2:71" x14ac:dyDescent="0.3">
      <c r="B58" s="136"/>
      <c r="C58" s="136"/>
      <c r="D58" s="103"/>
      <c r="E58" s="106" t="str">
        <f>IF(OR(ISBLANK(Term2_Early_Dismissal_1[[#This Row],[Start]]),ISBLANK(Term2_Early_Dismissal_1[[#This Row],[End]])),"",(Term2_Early_Dismissal_1[[#This Row],[End]]-Term2_Early_Dismissal_1[[#This Row],[Start]])*1440)</f>
        <v/>
      </c>
      <c r="F58" s="106" t="str">
        <f>IF(ISBLANK(Term2_Early_Dismissal_1[[#This Row],[Activity]]),"",IF(_xlfn.XLOOKUP(Term2_Early_Dismissal_1[[#This Row],[Activity]],Types_of_Activity[Type of Activity],Types_of_Activity[Classification])=1,Term2_Early_Dismissal_1[[#This Row],[Elapsed]],0))</f>
        <v/>
      </c>
      <c r="G58" s="106" t="str">
        <f>IF(ISBLANK(Term2_Early_Dismissal_1[[#This Row],[Activity]]),"",IF(_xlfn.XLOOKUP(Term2_Early_Dismissal_1[[#This Row],[Activity]],Types_of_Activity[Type of Activity],Types_of_Activity[Classification])=2,Term2_Early_Dismissal_1[[#This Row],[Elapsed]],0))</f>
        <v/>
      </c>
      <c r="H58"/>
      <c r="I58" s="136"/>
      <c r="J58" s="136"/>
      <c r="K58" s="103"/>
      <c r="L58" s="106" t="str">
        <f>IF(OR(ISBLANK(Term2_Early_Dismissal_2[[#This Row],[Start]]),ISBLANK(Term2_Early_Dismissal_2[[#This Row],[End]])),"",(Term2_Early_Dismissal_2[[#This Row],[End]]-Term2_Early_Dismissal_2[[#This Row],[Start]])*1440)</f>
        <v/>
      </c>
      <c r="M58" s="106" t="str">
        <f>IF(ISBLANK(Term2_Early_Dismissal_2[[#This Row],[Activity]]),"",IF(_xlfn.XLOOKUP(Term2_Early_Dismissal_2[[#This Row],[Activity]],Types_of_Activity[Type of Activity],Types_of_Activity[Classification])=1,Term2_Early_Dismissal_2[[#This Row],[Elapsed]],0))</f>
        <v/>
      </c>
      <c r="N58" s="106" t="str">
        <f>IF(ISBLANK(Term2_Early_Dismissal_2[[#This Row],[Activity]]),"",IF(_xlfn.XLOOKUP(Term2_Early_Dismissal_2[[#This Row],[Activity]],Types_of_Activity[Type of Activity],Types_of_Activity[Classification])=2,Term2_Early_Dismissal_2[[#This Row],[Elapsed]],0))</f>
        <v/>
      </c>
      <c r="O58"/>
      <c r="P58" s="136"/>
      <c r="Q58" s="136"/>
      <c r="R58" s="103"/>
      <c r="S58" s="106" t="str">
        <f>IF(OR(ISBLANK(Term2_Early_Dismissal_3[[#This Row],[Start]]),ISBLANK(Term2_Early_Dismissal_3[[#This Row],[End]])),"",(Term2_Early_Dismissal_3[[#This Row],[End]]-Term2_Early_Dismissal_3[[#This Row],[Start]])*1440)</f>
        <v/>
      </c>
      <c r="T58" s="106" t="str">
        <f>IF(ISBLANK(Term2_Early_Dismissal_3[[#This Row],[Activity]]),"",IF(_xlfn.XLOOKUP(Term2_Early_Dismissal_3[[#This Row],[Activity]],Types_of_Activity[Type of Activity],Types_of_Activity[Classification])=1,Term2_Early_Dismissal_3[[#This Row],[Elapsed]],0))</f>
        <v/>
      </c>
      <c r="U58" s="106" t="str">
        <f>IF(ISBLANK(Term2_Early_Dismissal_3[[#This Row],[Activity]]),"",IF(_xlfn.XLOOKUP(Term2_Early_Dismissal_3[[#This Row],[Activity]],Types_of_Activity[Type of Activity],Types_of_Activity[Classification])=2,Term2_Early_Dismissal_3[[#This Row],[Elapsed]],0))</f>
        <v/>
      </c>
      <c r="W58" s="136"/>
      <c r="X58" s="136"/>
      <c r="Y58" s="103"/>
      <c r="Z58" s="106" t="str">
        <f>IF(OR(ISBLANK(Term2_Early_Dismissal_4[[#This Row],[Start]]),ISBLANK(Term2_Early_Dismissal_4[[#This Row],[End]])),"",(Term2_Early_Dismissal_4[[#This Row],[End]]-Term2_Early_Dismissal_4[[#This Row],[Start]])*1440)</f>
        <v/>
      </c>
      <c r="AA58" s="106" t="str">
        <f>IF(ISBLANK(Term2_Early_Dismissal_4[[#This Row],[Activity]]),"",IF(_xlfn.XLOOKUP(Term2_Early_Dismissal_4[[#This Row],[Activity]],Types_of_Activity[Type of Activity],Types_of_Activity[Classification])=1,Term2_Early_Dismissal_4[[#This Row],[Elapsed]],0))</f>
        <v/>
      </c>
      <c r="AB58" s="106" t="str">
        <f>IF(ISBLANK(Term2_Early_Dismissal_4[[#This Row],[Activity]]),"",IF(_xlfn.XLOOKUP(Term2_Early_Dismissal_4[[#This Row],[Activity]],Types_of_Activity[Type of Activity],Types_of_Activity[Classification])=2,Term2_Early_Dismissal_4[[#This Row],[Elapsed]],0))</f>
        <v/>
      </c>
      <c r="AD58" s="136"/>
      <c r="AE58" s="136"/>
      <c r="AF58" s="103"/>
      <c r="AG58" s="106" t="str">
        <f>IF(OR(ISBLANK(Term2_Early_Dismissal_5[[#This Row],[Start]]),ISBLANK(Term2_Early_Dismissal_5[[#This Row],[End]])),"",(Term2_Early_Dismissal_5[[#This Row],[End]]-Term2_Early_Dismissal_5[[#This Row],[Start]])*1440)</f>
        <v/>
      </c>
      <c r="AH58" s="106" t="str">
        <f>IF(ISBLANK(Term2_Early_Dismissal_5[[#This Row],[Activity]]),"",IF(_xlfn.XLOOKUP(Term2_Early_Dismissal_5[[#This Row],[Activity]],Types_of_Activity[Type of Activity],Types_of_Activity[Classification])=1,Term2_Early_Dismissal_5[[#This Row],[Elapsed]],0))</f>
        <v/>
      </c>
      <c r="AI58" s="106" t="str">
        <f>IF(ISBLANK(Term2_Early_Dismissal_5[[#This Row],[Activity]]),"",IF(_xlfn.XLOOKUP(Term2_Early_Dismissal_5[[#This Row],[Activity]],Types_of_Activity[Type of Activity],Types_of_Activity[Classification])=2,Term2_Early_Dismissal_5[[#This Row],[Elapsed]],0))</f>
        <v/>
      </c>
      <c r="AK58" s="136"/>
      <c r="AL58" s="136"/>
      <c r="AM58" s="103"/>
      <c r="AN58" s="106" t="str">
        <f>IF(OR(ISBLANK(Term2_Early_Dismissal_6[[#This Row],[Start]]),ISBLANK(Term2_Early_Dismissal_6[[#This Row],[End]])),"",(Term2_Early_Dismissal_6[[#This Row],[End]]-Term2_Early_Dismissal_6[[#This Row],[Start]])*1440)</f>
        <v/>
      </c>
      <c r="AO58" s="106" t="str">
        <f>IF(ISBLANK(Term2_Early_Dismissal_6[[#This Row],[Activity]]),"",IF(_xlfn.XLOOKUP(Term2_Early_Dismissal_6[[#This Row],[Activity]],Types_of_Activity[Type of Activity],Types_of_Activity[Classification])=1,Term2_Early_Dismissal_6[[#This Row],[Elapsed]],0))</f>
        <v/>
      </c>
      <c r="AP58" s="106" t="str">
        <f>IF(ISBLANK(Term2_Early_Dismissal_6[[#This Row],[Activity]]),"",IF(_xlfn.XLOOKUP(Term2_Early_Dismissal_6[[#This Row],[Activity]],Types_of_Activity[Type of Activity],Types_of_Activity[Classification])=2,Term2_Early_Dismissal_6[[#This Row],[Elapsed]],0))</f>
        <v/>
      </c>
    </row>
    <row r="59" spans="2:71" x14ac:dyDescent="0.3">
      <c r="B59" s="136"/>
      <c r="C59" s="136"/>
      <c r="D59" s="103"/>
      <c r="E59" s="106" t="str">
        <f>IF(OR(ISBLANK(Term2_Early_Dismissal_1[[#This Row],[Start]]),ISBLANK(Term2_Early_Dismissal_1[[#This Row],[End]])),"",(Term2_Early_Dismissal_1[[#This Row],[End]]-Term2_Early_Dismissal_1[[#This Row],[Start]])*1440)</f>
        <v/>
      </c>
      <c r="F59" s="106" t="str">
        <f>IF(ISBLANK(Term2_Early_Dismissal_1[[#This Row],[Activity]]),"",IF(_xlfn.XLOOKUP(Term2_Early_Dismissal_1[[#This Row],[Activity]],Types_of_Activity[Type of Activity],Types_of_Activity[Classification])=1,Term2_Early_Dismissal_1[[#This Row],[Elapsed]],0))</f>
        <v/>
      </c>
      <c r="G59" s="106" t="str">
        <f>IF(ISBLANK(Term2_Early_Dismissal_1[[#This Row],[Activity]]),"",IF(_xlfn.XLOOKUP(Term2_Early_Dismissal_1[[#This Row],[Activity]],Types_of_Activity[Type of Activity],Types_of_Activity[Classification])=2,Term2_Early_Dismissal_1[[#This Row],[Elapsed]],0))</f>
        <v/>
      </c>
      <c r="H59"/>
      <c r="I59" s="136"/>
      <c r="J59" s="136"/>
      <c r="K59" s="103"/>
      <c r="L59" s="106" t="str">
        <f>IF(OR(ISBLANK(Term2_Early_Dismissal_2[[#This Row],[Start]]),ISBLANK(Term2_Early_Dismissal_2[[#This Row],[End]])),"",(Term2_Early_Dismissal_2[[#This Row],[End]]-Term2_Early_Dismissal_2[[#This Row],[Start]])*1440)</f>
        <v/>
      </c>
      <c r="M59" s="106" t="str">
        <f>IF(ISBLANK(Term2_Early_Dismissal_2[[#This Row],[Activity]]),"",IF(_xlfn.XLOOKUP(Term2_Early_Dismissal_2[[#This Row],[Activity]],Types_of_Activity[Type of Activity],Types_of_Activity[Classification])=1,Term2_Early_Dismissal_2[[#This Row],[Elapsed]],0))</f>
        <v/>
      </c>
      <c r="N59" s="106" t="str">
        <f>IF(ISBLANK(Term2_Early_Dismissal_2[[#This Row],[Activity]]),"",IF(_xlfn.XLOOKUP(Term2_Early_Dismissal_2[[#This Row],[Activity]],Types_of_Activity[Type of Activity],Types_of_Activity[Classification])=2,Term2_Early_Dismissal_2[[#This Row],[Elapsed]],0))</f>
        <v/>
      </c>
      <c r="O59"/>
      <c r="P59" s="136"/>
      <c r="Q59" s="136"/>
      <c r="R59" s="103"/>
      <c r="S59" s="106" t="str">
        <f>IF(OR(ISBLANK(Term2_Early_Dismissal_3[[#This Row],[Start]]),ISBLANK(Term2_Early_Dismissal_3[[#This Row],[End]])),"",(Term2_Early_Dismissal_3[[#This Row],[End]]-Term2_Early_Dismissal_3[[#This Row],[Start]])*1440)</f>
        <v/>
      </c>
      <c r="T59" s="106" t="str">
        <f>IF(ISBLANK(Term2_Early_Dismissal_3[[#This Row],[Activity]]),"",IF(_xlfn.XLOOKUP(Term2_Early_Dismissal_3[[#This Row],[Activity]],Types_of_Activity[Type of Activity],Types_of_Activity[Classification])=1,Term2_Early_Dismissal_3[[#This Row],[Elapsed]],0))</f>
        <v/>
      </c>
      <c r="U59" s="106" t="str">
        <f>IF(ISBLANK(Term2_Early_Dismissal_3[[#This Row],[Activity]]),"",IF(_xlfn.XLOOKUP(Term2_Early_Dismissal_3[[#This Row],[Activity]],Types_of_Activity[Type of Activity],Types_of_Activity[Classification])=2,Term2_Early_Dismissal_3[[#This Row],[Elapsed]],0))</f>
        <v/>
      </c>
      <c r="W59" s="136"/>
      <c r="X59" s="136"/>
      <c r="Y59" s="103"/>
      <c r="Z59" s="106" t="str">
        <f>IF(OR(ISBLANK(Term2_Early_Dismissal_4[[#This Row],[Start]]),ISBLANK(Term2_Early_Dismissal_4[[#This Row],[End]])),"",(Term2_Early_Dismissal_4[[#This Row],[End]]-Term2_Early_Dismissal_4[[#This Row],[Start]])*1440)</f>
        <v/>
      </c>
      <c r="AA59" s="106" t="str">
        <f>IF(ISBLANK(Term2_Early_Dismissal_4[[#This Row],[Activity]]),"",IF(_xlfn.XLOOKUP(Term2_Early_Dismissal_4[[#This Row],[Activity]],Types_of_Activity[Type of Activity],Types_of_Activity[Classification])=1,Term2_Early_Dismissal_4[[#This Row],[Elapsed]],0))</f>
        <v/>
      </c>
      <c r="AB59" s="106" t="str">
        <f>IF(ISBLANK(Term2_Early_Dismissal_4[[#This Row],[Activity]]),"",IF(_xlfn.XLOOKUP(Term2_Early_Dismissal_4[[#This Row],[Activity]],Types_of_Activity[Type of Activity],Types_of_Activity[Classification])=2,Term2_Early_Dismissal_4[[#This Row],[Elapsed]],0))</f>
        <v/>
      </c>
      <c r="AD59" s="136"/>
      <c r="AE59" s="136"/>
      <c r="AF59" s="103"/>
      <c r="AG59" s="106" t="str">
        <f>IF(OR(ISBLANK(Term2_Early_Dismissal_5[[#This Row],[Start]]),ISBLANK(Term2_Early_Dismissal_5[[#This Row],[End]])),"",(Term2_Early_Dismissal_5[[#This Row],[End]]-Term2_Early_Dismissal_5[[#This Row],[Start]])*1440)</f>
        <v/>
      </c>
      <c r="AH59" s="106" t="str">
        <f>IF(ISBLANK(Term2_Early_Dismissal_5[[#This Row],[Activity]]),"",IF(_xlfn.XLOOKUP(Term2_Early_Dismissal_5[[#This Row],[Activity]],Types_of_Activity[Type of Activity],Types_of_Activity[Classification])=1,Term2_Early_Dismissal_5[[#This Row],[Elapsed]],0))</f>
        <v/>
      </c>
      <c r="AI59" s="106" t="str">
        <f>IF(ISBLANK(Term2_Early_Dismissal_5[[#This Row],[Activity]]),"",IF(_xlfn.XLOOKUP(Term2_Early_Dismissal_5[[#This Row],[Activity]],Types_of_Activity[Type of Activity],Types_of_Activity[Classification])=2,Term2_Early_Dismissal_5[[#This Row],[Elapsed]],0))</f>
        <v/>
      </c>
      <c r="AK59" s="136"/>
      <c r="AL59" s="136"/>
      <c r="AM59" s="103"/>
      <c r="AN59" s="106" t="str">
        <f>IF(OR(ISBLANK(Term2_Early_Dismissal_6[[#This Row],[Start]]),ISBLANK(Term2_Early_Dismissal_6[[#This Row],[End]])),"",(Term2_Early_Dismissal_6[[#This Row],[End]]-Term2_Early_Dismissal_6[[#This Row],[Start]])*1440)</f>
        <v/>
      </c>
      <c r="AO59" s="106" t="str">
        <f>IF(ISBLANK(Term2_Early_Dismissal_6[[#This Row],[Activity]]),"",IF(_xlfn.XLOOKUP(Term2_Early_Dismissal_6[[#This Row],[Activity]],Types_of_Activity[Type of Activity],Types_of_Activity[Classification])=1,Term2_Early_Dismissal_6[[#This Row],[Elapsed]],0))</f>
        <v/>
      </c>
      <c r="AP59" s="106" t="str">
        <f>IF(ISBLANK(Term2_Early_Dismissal_6[[#This Row],[Activity]]),"",IF(_xlfn.XLOOKUP(Term2_Early_Dismissal_6[[#This Row],[Activity]],Types_of_Activity[Type of Activity],Types_of_Activity[Classification])=2,Term2_Early_Dismissal_6[[#This Row],[Elapsed]],0))</f>
        <v/>
      </c>
    </row>
    <row r="60" spans="2:71" x14ac:dyDescent="0.3">
      <c r="B60" s="136"/>
      <c r="C60" s="136"/>
      <c r="D60" s="103"/>
      <c r="E60" s="106" t="str">
        <f>IF(OR(ISBLANK(Term2_Early_Dismissal_1[[#This Row],[Start]]),ISBLANK(Term2_Early_Dismissal_1[[#This Row],[End]])),"",(Term2_Early_Dismissal_1[[#This Row],[End]]-Term2_Early_Dismissal_1[[#This Row],[Start]])*1440)</f>
        <v/>
      </c>
      <c r="F60" s="106" t="str">
        <f>IF(ISBLANK(Term2_Early_Dismissal_1[[#This Row],[Activity]]),"",IF(_xlfn.XLOOKUP(Term2_Early_Dismissal_1[[#This Row],[Activity]],Types_of_Activity[Type of Activity],Types_of_Activity[Classification])=1,Term2_Early_Dismissal_1[[#This Row],[Elapsed]],0))</f>
        <v/>
      </c>
      <c r="G60" s="106" t="str">
        <f>IF(ISBLANK(Term2_Early_Dismissal_1[[#This Row],[Activity]]),"",IF(_xlfn.XLOOKUP(Term2_Early_Dismissal_1[[#This Row],[Activity]],Types_of_Activity[Type of Activity],Types_of_Activity[Classification])=2,Term2_Early_Dismissal_1[[#This Row],[Elapsed]],0))</f>
        <v/>
      </c>
      <c r="H60"/>
      <c r="I60" s="136"/>
      <c r="J60" s="136"/>
      <c r="K60" s="103"/>
      <c r="L60" s="106" t="str">
        <f>IF(OR(ISBLANK(Term2_Early_Dismissal_2[[#This Row],[Start]]),ISBLANK(Term2_Early_Dismissal_2[[#This Row],[End]])),"",(Term2_Early_Dismissal_2[[#This Row],[End]]-Term2_Early_Dismissal_2[[#This Row],[Start]])*1440)</f>
        <v/>
      </c>
      <c r="M60" s="106" t="str">
        <f>IF(ISBLANK(Term2_Early_Dismissal_2[[#This Row],[Activity]]),"",IF(_xlfn.XLOOKUP(Term2_Early_Dismissal_2[[#This Row],[Activity]],Types_of_Activity[Type of Activity],Types_of_Activity[Classification])=1,Term2_Early_Dismissal_2[[#This Row],[Elapsed]],0))</f>
        <v/>
      </c>
      <c r="N60" s="106" t="str">
        <f>IF(ISBLANK(Term2_Early_Dismissal_2[[#This Row],[Activity]]),"",IF(_xlfn.XLOOKUP(Term2_Early_Dismissal_2[[#This Row],[Activity]],Types_of_Activity[Type of Activity],Types_of_Activity[Classification])=2,Term2_Early_Dismissal_2[[#This Row],[Elapsed]],0))</f>
        <v/>
      </c>
      <c r="O60"/>
      <c r="P60" s="136"/>
      <c r="Q60" s="136"/>
      <c r="R60" s="103"/>
      <c r="S60" s="106" t="str">
        <f>IF(OR(ISBLANK(Term2_Early_Dismissal_3[[#This Row],[Start]]),ISBLANK(Term2_Early_Dismissal_3[[#This Row],[End]])),"",(Term2_Early_Dismissal_3[[#This Row],[End]]-Term2_Early_Dismissal_3[[#This Row],[Start]])*1440)</f>
        <v/>
      </c>
      <c r="T60" s="106" t="str">
        <f>IF(ISBLANK(Term2_Early_Dismissal_3[[#This Row],[Activity]]),"",IF(_xlfn.XLOOKUP(Term2_Early_Dismissal_3[[#This Row],[Activity]],Types_of_Activity[Type of Activity],Types_of_Activity[Classification])=1,Term2_Early_Dismissal_3[[#This Row],[Elapsed]],0))</f>
        <v/>
      </c>
      <c r="U60" s="106" t="str">
        <f>IF(ISBLANK(Term2_Early_Dismissal_3[[#This Row],[Activity]]),"",IF(_xlfn.XLOOKUP(Term2_Early_Dismissal_3[[#This Row],[Activity]],Types_of_Activity[Type of Activity],Types_of_Activity[Classification])=2,Term2_Early_Dismissal_3[[#This Row],[Elapsed]],0))</f>
        <v/>
      </c>
      <c r="W60" s="136"/>
      <c r="X60" s="136"/>
      <c r="Y60" s="103"/>
      <c r="Z60" s="106" t="str">
        <f>IF(OR(ISBLANK(Term2_Early_Dismissal_4[[#This Row],[Start]]),ISBLANK(Term2_Early_Dismissal_4[[#This Row],[End]])),"",(Term2_Early_Dismissal_4[[#This Row],[End]]-Term2_Early_Dismissal_4[[#This Row],[Start]])*1440)</f>
        <v/>
      </c>
      <c r="AA60" s="106" t="str">
        <f>IF(ISBLANK(Term2_Early_Dismissal_4[[#This Row],[Activity]]),"",IF(_xlfn.XLOOKUP(Term2_Early_Dismissal_4[[#This Row],[Activity]],Types_of_Activity[Type of Activity],Types_of_Activity[Classification])=1,Term2_Early_Dismissal_4[[#This Row],[Elapsed]],0))</f>
        <v/>
      </c>
      <c r="AB60" s="106" t="str">
        <f>IF(ISBLANK(Term2_Early_Dismissal_4[[#This Row],[Activity]]),"",IF(_xlfn.XLOOKUP(Term2_Early_Dismissal_4[[#This Row],[Activity]],Types_of_Activity[Type of Activity],Types_of_Activity[Classification])=2,Term2_Early_Dismissal_4[[#This Row],[Elapsed]],0))</f>
        <v/>
      </c>
      <c r="AD60" s="136"/>
      <c r="AE60" s="136"/>
      <c r="AF60" s="103"/>
      <c r="AG60" s="106" t="str">
        <f>IF(OR(ISBLANK(Term2_Early_Dismissal_5[[#This Row],[Start]]),ISBLANK(Term2_Early_Dismissal_5[[#This Row],[End]])),"",(Term2_Early_Dismissal_5[[#This Row],[End]]-Term2_Early_Dismissal_5[[#This Row],[Start]])*1440)</f>
        <v/>
      </c>
      <c r="AH60" s="106" t="str">
        <f>IF(ISBLANK(Term2_Early_Dismissal_5[[#This Row],[Activity]]),"",IF(_xlfn.XLOOKUP(Term2_Early_Dismissal_5[[#This Row],[Activity]],Types_of_Activity[Type of Activity],Types_of_Activity[Classification])=1,Term2_Early_Dismissal_5[[#This Row],[Elapsed]],0))</f>
        <v/>
      </c>
      <c r="AI60" s="106" t="str">
        <f>IF(ISBLANK(Term2_Early_Dismissal_5[[#This Row],[Activity]]),"",IF(_xlfn.XLOOKUP(Term2_Early_Dismissal_5[[#This Row],[Activity]],Types_of_Activity[Type of Activity],Types_of_Activity[Classification])=2,Term2_Early_Dismissal_5[[#This Row],[Elapsed]],0))</f>
        <v/>
      </c>
      <c r="AK60" s="136"/>
      <c r="AL60" s="136"/>
      <c r="AM60" s="103"/>
      <c r="AN60" s="106" t="str">
        <f>IF(OR(ISBLANK(Term2_Early_Dismissal_6[[#This Row],[Start]]),ISBLANK(Term2_Early_Dismissal_6[[#This Row],[End]])),"",(Term2_Early_Dismissal_6[[#This Row],[End]]-Term2_Early_Dismissal_6[[#This Row],[Start]])*1440)</f>
        <v/>
      </c>
      <c r="AO60" s="106" t="str">
        <f>IF(ISBLANK(Term2_Early_Dismissal_6[[#This Row],[Activity]]),"",IF(_xlfn.XLOOKUP(Term2_Early_Dismissal_6[[#This Row],[Activity]],Types_of_Activity[Type of Activity],Types_of_Activity[Classification])=1,Term2_Early_Dismissal_6[[#This Row],[Elapsed]],0))</f>
        <v/>
      </c>
      <c r="AP60" s="106" t="str">
        <f>IF(ISBLANK(Term2_Early_Dismissal_6[[#This Row],[Activity]]),"",IF(_xlfn.XLOOKUP(Term2_Early_Dismissal_6[[#This Row],[Activity]],Types_of_Activity[Type of Activity],Types_of_Activity[Classification])=2,Term2_Early_Dismissal_6[[#This Row],[Elapsed]],0))</f>
        <v/>
      </c>
    </row>
    <row r="61" spans="2:71" x14ac:dyDescent="0.3">
      <c r="B61" s="136"/>
      <c r="C61" s="136"/>
      <c r="D61" s="103"/>
      <c r="E61" s="106" t="str">
        <f>IF(OR(ISBLANK(Term2_Early_Dismissal_1[[#This Row],[Start]]),ISBLANK(Term2_Early_Dismissal_1[[#This Row],[End]])),"",(Term2_Early_Dismissal_1[[#This Row],[End]]-Term2_Early_Dismissal_1[[#This Row],[Start]])*1440)</f>
        <v/>
      </c>
      <c r="F61" s="106" t="str">
        <f>IF(ISBLANK(Term2_Early_Dismissal_1[[#This Row],[Activity]]),"",IF(_xlfn.XLOOKUP(Term2_Early_Dismissal_1[[#This Row],[Activity]],Types_of_Activity[Type of Activity],Types_of_Activity[Classification])=1,Term2_Early_Dismissal_1[[#This Row],[Elapsed]],0))</f>
        <v/>
      </c>
      <c r="G61" s="106" t="str">
        <f>IF(ISBLANK(Term2_Early_Dismissal_1[[#This Row],[Activity]]),"",IF(_xlfn.XLOOKUP(Term2_Early_Dismissal_1[[#This Row],[Activity]],Types_of_Activity[Type of Activity],Types_of_Activity[Classification])=2,Term2_Early_Dismissal_1[[#This Row],[Elapsed]],0))</f>
        <v/>
      </c>
      <c r="H61"/>
      <c r="I61" s="136"/>
      <c r="J61" s="136"/>
      <c r="K61" s="103"/>
      <c r="L61" s="106" t="str">
        <f>IF(OR(ISBLANK(Term2_Early_Dismissal_2[[#This Row],[Start]]),ISBLANK(Term2_Early_Dismissal_2[[#This Row],[End]])),"",(Term2_Early_Dismissal_2[[#This Row],[End]]-Term2_Early_Dismissal_2[[#This Row],[Start]])*1440)</f>
        <v/>
      </c>
      <c r="M61" s="106" t="str">
        <f>IF(ISBLANK(Term2_Early_Dismissal_2[[#This Row],[Activity]]),"",IF(_xlfn.XLOOKUP(Term2_Early_Dismissal_2[[#This Row],[Activity]],Types_of_Activity[Type of Activity],Types_of_Activity[Classification])=1,Term2_Early_Dismissal_2[[#This Row],[Elapsed]],0))</f>
        <v/>
      </c>
      <c r="N61" s="106" t="str">
        <f>IF(ISBLANK(Term2_Early_Dismissal_2[[#This Row],[Activity]]),"",IF(_xlfn.XLOOKUP(Term2_Early_Dismissal_2[[#This Row],[Activity]],Types_of_Activity[Type of Activity],Types_of_Activity[Classification])=2,Term2_Early_Dismissal_2[[#This Row],[Elapsed]],0))</f>
        <v/>
      </c>
      <c r="O61"/>
      <c r="P61" s="136"/>
      <c r="Q61" s="136"/>
      <c r="R61" s="103"/>
      <c r="S61" s="106" t="str">
        <f>IF(OR(ISBLANK(Term2_Early_Dismissal_3[[#This Row],[Start]]),ISBLANK(Term2_Early_Dismissal_3[[#This Row],[End]])),"",(Term2_Early_Dismissal_3[[#This Row],[End]]-Term2_Early_Dismissal_3[[#This Row],[Start]])*1440)</f>
        <v/>
      </c>
      <c r="T61" s="106" t="str">
        <f>IF(ISBLANK(Term2_Early_Dismissal_3[[#This Row],[Activity]]),"",IF(_xlfn.XLOOKUP(Term2_Early_Dismissal_3[[#This Row],[Activity]],Types_of_Activity[Type of Activity],Types_of_Activity[Classification])=1,Term2_Early_Dismissal_3[[#This Row],[Elapsed]],0))</f>
        <v/>
      </c>
      <c r="U61" s="106" t="str">
        <f>IF(ISBLANK(Term2_Early_Dismissal_3[[#This Row],[Activity]]),"",IF(_xlfn.XLOOKUP(Term2_Early_Dismissal_3[[#This Row],[Activity]],Types_of_Activity[Type of Activity],Types_of_Activity[Classification])=2,Term2_Early_Dismissal_3[[#This Row],[Elapsed]],0))</f>
        <v/>
      </c>
      <c r="W61" s="136"/>
      <c r="X61" s="136"/>
      <c r="Y61" s="103"/>
      <c r="Z61" s="106" t="str">
        <f>IF(OR(ISBLANK(Term2_Early_Dismissal_4[[#This Row],[Start]]),ISBLANK(Term2_Early_Dismissal_4[[#This Row],[End]])),"",(Term2_Early_Dismissal_4[[#This Row],[End]]-Term2_Early_Dismissal_4[[#This Row],[Start]])*1440)</f>
        <v/>
      </c>
      <c r="AA61" s="106" t="str">
        <f>IF(ISBLANK(Term2_Early_Dismissal_4[[#This Row],[Activity]]),"",IF(_xlfn.XLOOKUP(Term2_Early_Dismissal_4[[#This Row],[Activity]],Types_of_Activity[Type of Activity],Types_of_Activity[Classification])=1,Term2_Early_Dismissal_4[[#This Row],[Elapsed]],0))</f>
        <v/>
      </c>
      <c r="AB61" s="106" t="str">
        <f>IF(ISBLANK(Term2_Early_Dismissal_4[[#This Row],[Activity]]),"",IF(_xlfn.XLOOKUP(Term2_Early_Dismissal_4[[#This Row],[Activity]],Types_of_Activity[Type of Activity],Types_of_Activity[Classification])=2,Term2_Early_Dismissal_4[[#This Row],[Elapsed]],0))</f>
        <v/>
      </c>
      <c r="AD61" s="136"/>
      <c r="AE61" s="136"/>
      <c r="AF61" s="103"/>
      <c r="AG61" s="106" t="str">
        <f>IF(OR(ISBLANK(Term2_Early_Dismissal_5[[#This Row],[Start]]),ISBLANK(Term2_Early_Dismissal_5[[#This Row],[End]])),"",(Term2_Early_Dismissal_5[[#This Row],[End]]-Term2_Early_Dismissal_5[[#This Row],[Start]])*1440)</f>
        <v/>
      </c>
      <c r="AH61" s="106" t="str">
        <f>IF(ISBLANK(Term2_Early_Dismissal_5[[#This Row],[Activity]]),"",IF(_xlfn.XLOOKUP(Term2_Early_Dismissal_5[[#This Row],[Activity]],Types_of_Activity[Type of Activity],Types_of_Activity[Classification])=1,Term2_Early_Dismissal_5[[#This Row],[Elapsed]],0))</f>
        <v/>
      </c>
      <c r="AI61" s="106" t="str">
        <f>IF(ISBLANK(Term2_Early_Dismissal_5[[#This Row],[Activity]]),"",IF(_xlfn.XLOOKUP(Term2_Early_Dismissal_5[[#This Row],[Activity]],Types_of_Activity[Type of Activity],Types_of_Activity[Classification])=2,Term2_Early_Dismissal_5[[#This Row],[Elapsed]],0))</f>
        <v/>
      </c>
      <c r="AK61" s="136"/>
      <c r="AL61" s="136"/>
      <c r="AM61" s="103"/>
      <c r="AN61" s="106" t="str">
        <f>IF(OR(ISBLANK(Term2_Early_Dismissal_6[[#This Row],[Start]]),ISBLANK(Term2_Early_Dismissal_6[[#This Row],[End]])),"",(Term2_Early_Dismissal_6[[#This Row],[End]]-Term2_Early_Dismissal_6[[#This Row],[Start]])*1440)</f>
        <v/>
      </c>
      <c r="AO61" s="106" t="str">
        <f>IF(ISBLANK(Term2_Early_Dismissal_6[[#This Row],[Activity]]),"",IF(_xlfn.XLOOKUP(Term2_Early_Dismissal_6[[#This Row],[Activity]],Types_of_Activity[Type of Activity],Types_of_Activity[Classification])=1,Term2_Early_Dismissal_6[[#This Row],[Elapsed]],0))</f>
        <v/>
      </c>
      <c r="AP61" s="106" t="str">
        <f>IF(ISBLANK(Term2_Early_Dismissal_6[[#This Row],[Activity]]),"",IF(_xlfn.XLOOKUP(Term2_Early_Dismissal_6[[#This Row],[Activity]],Types_of_Activity[Type of Activity],Types_of_Activity[Classification])=2,Term2_Early_Dismissal_6[[#This Row],[Elapsed]],0))</f>
        <v/>
      </c>
    </row>
    <row r="62" spans="2:71" x14ac:dyDescent="0.3">
      <c r="B62" s="136"/>
      <c r="C62" s="136"/>
      <c r="D62" s="103"/>
      <c r="E62" s="106" t="str">
        <f>IF(OR(ISBLANK(Term2_Early_Dismissal_1[[#This Row],[Start]]),ISBLANK(Term2_Early_Dismissal_1[[#This Row],[End]])),"",(Term2_Early_Dismissal_1[[#This Row],[End]]-Term2_Early_Dismissal_1[[#This Row],[Start]])*1440)</f>
        <v/>
      </c>
      <c r="F62" s="106" t="str">
        <f>IF(ISBLANK(Term2_Early_Dismissal_1[[#This Row],[Activity]]),"",IF(_xlfn.XLOOKUP(Term2_Early_Dismissal_1[[#This Row],[Activity]],Types_of_Activity[Type of Activity],Types_of_Activity[Classification])=1,Term2_Early_Dismissal_1[[#This Row],[Elapsed]],0))</f>
        <v/>
      </c>
      <c r="G62" s="106" t="str">
        <f>IF(ISBLANK(Term2_Early_Dismissal_1[[#This Row],[Activity]]),"",IF(_xlfn.XLOOKUP(Term2_Early_Dismissal_1[[#This Row],[Activity]],Types_of_Activity[Type of Activity],Types_of_Activity[Classification])=2,Term2_Early_Dismissal_1[[#This Row],[Elapsed]],0))</f>
        <v/>
      </c>
      <c r="H62"/>
      <c r="I62" s="136"/>
      <c r="J62" s="136"/>
      <c r="K62" s="103"/>
      <c r="L62" s="106" t="str">
        <f>IF(OR(ISBLANK(Term2_Early_Dismissal_2[[#This Row],[Start]]),ISBLANK(Term2_Early_Dismissal_2[[#This Row],[End]])),"",(Term2_Early_Dismissal_2[[#This Row],[End]]-Term2_Early_Dismissal_2[[#This Row],[Start]])*1440)</f>
        <v/>
      </c>
      <c r="M62" s="106" t="str">
        <f>IF(ISBLANK(Term2_Early_Dismissal_2[[#This Row],[Activity]]),"",IF(_xlfn.XLOOKUP(Term2_Early_Dismissal_2[[#This Row],[Activity]],Types_of_Activity[Type of Activity],Types_of_Activity[Classification])=1,Term2_Early_Dismissal_2[[#This Row],[Elapsed]],0))</f>
        <v/>
      </c>
      <c r="N62" s="106" t="str">
        <f>IF(ISBLANK(Term2_Early_Dismissal_2[[#This Row],[Activity]]),"",IF(_xlfn.XLOOKUP(Term2_Early_Dismissal_2[[#This Row],[Activity]],Types_of_Activity[Type of Activity],Types_of_Activity[Classification])=2,Term2_Early_Dismissal_2[[#This Row],[Elapsed]],0))</f>
        <v/>
      </c>
      <c r="O62"/>
      <c r="P62" s="136"/>
      <c r="Q62" s="136"/>
      <c r="R62" s="103"/>
      <c r="S62" s="106" t="str">
        <f>IF(OR(ISBLANK(Term2_Early_Dismissal_3[[#This Row],[Start]]),ISBLANK(Term2_Early_Dismissal_3[[#This Row],[End]])),"",(Term2_Early_Dismissal_3[[#This Row],[End]]-Term2_Early_Dismissal_3[[#This Row],[Start]])*1440)</f>
        <v/>
      </c>
      <c r="T62" s="106" t="str">
        <f>IF(ISBLANK(Term2_Early_Dismissal_3[[#This Row],[Activity]]),"",IF(_xlfn.XLOOKUP(Term2_Early_Dismissal_3[[#This Row],[Activity]],Types_of_Activity[Type of Activity],Types_of_Activity[Classification])=1,Term2_Early_Dismissal_3[[#This Row],[Elapsed]],0))</f>
        <v/>
      </c>
      <c r="U62" s="106" t="str">
        <f>IF(ISBLANK(Term2_Early_Dismissal_3[[#This Row],[Activity]]),"",IF(_xlfn.XLOOKUP(Term2_Early_Dismissal_3[[#This Row],[Activity]],Types_of_Activity[Type of Activity],Types_of_Activity[Classification])=2,Term2_Early_Dismissal_3[[#This Row],[Elapsed]],0))</f>
        <v/>
      </c>
      <c r="W62" s="136"/>
      <c r="X62" s="136"/>
      <c r="Y62" s="103"/>
      <c r="Z62" s="106" t="str">
        <f>IF(OR(ISBLANK(Term2_Early_Dismissal_4[[#This Row],[Start]]),ISBLANK(Term2_Early_Dismissal_4[[#This Row],[End]])),"",(Term2_Early_Dismissal_4[[#This Row],[End]]-Term2_Early_Dismissal_4[[#This Row],[Start]])*1440)</f>
        <v/>
      </c>
      <c r="AA62" s="106" t="str">
        <f>IF(ISBLANK(Term2_Early_Dismissal_4[[#This Row],[Activity]]),"",IF(_xlfn.XLOOKUP(Term2_Early_Dismissal_4[[#This Row],[Activity]],Types_of_Activity[Type of Activity],Types_of_Activity[Classification])=1,Term2_Early_Dismissal_4[[#This Row],[Elapsed]],0))</f>
        <v/>
      </c>
      <c r="AB62" s="106" t="str">
        <f>IF(ISBLANK(Term2_Early_Dismissal_4[[#This Row],[Activity]]),"",IF(_xlfn.XLOOKUP(Term2_Early_Dismissal_4[[#This Row],[Activity]],Types_of_Activity[Type of Activity],Types_of_Activity[Classification])=2,Term2_Early_Dismissal_4[[#This Row],[Elapsed]],0))</f>
        <v/>
      </c>
      <c r="AD62" s="136"/>
      <c r="AE62" s="136"/>
      <c r="AF62" s="103"/>
      <c r="AG62" s="106" t="str">
        <f>IF(OR(ISBLANK(Term2_Early_Dismissal_5[[#This Row],[Start]]),ISBLANK(Term2_Early_Dismissal_5[[#This Row],[End]])),"",(Term2_Early_Dismissal_5[[#This Row],[End]]-Term2_Early_Dismissal_5[[#This Row],[Start]])*1440)</f>
        <v/>
      </c>
      <c r="AH62" s="106" t="str">
        <f>IF(ISBLANK(Term2_Early_Dismissal_5[[#This Row],[Activity]]),"",IF(_xlfn.XLOOKUP(Term2_Early_Dismissal_5[[#This Row],[Activity]],Types_of_Activity[Type of Activity],Types_of_Activity[Classification])=1,Term2_Early_Dismissal_5[[#This Row],[Elapsed]],0))</f>
        <v/>
      </c>
      <c r="AI62" s="106" t="str">
        <f>IF(ISBLANK(Term2_Early_Dismissal_5[[#This Row],[Activity]]),"",IF(_xlfn.XLOOKUP(Term2_Early_Dismissal_5[[#This Row],[Activity]],Types_of_Activity[Type of Activity],Types_of_Activity[Classification])=2,Term2_Early_Dismissal_5[[#This Row],[Elapsed]],0))</f>
        <v/>
      </c>
      <c r="AK62" s="136"/>
      <c r="AL62" s="136"/>
      <c r="AM62" s="103"/>
      <c r="AN62" s="106" t="str">
        <f>IF(OR(ISBLANK(Term2_Early_Dismissal_6[[#This Row],[Start]]),ISBLANK(Term2_Early_Dismissal_6[[#This Row],[End]])),"",(Term2_Early_Dismissal_6[[#This Row],[End]]-Term2_Early_Dismissal_6[[#This Row],[Start]])*1440)</f>
        <v/>
      </c>
      <c r="AO62" s="106" t="str">
        <f>IF(ISBLANK(Term2_Early_Dismissal_6[[#This Row],[Activity]]),"",IF(_xlfn.XLOOKUP(Term2_Early_Dismissal_6[[#This Row],[Activity]],Types_of_Activity[Type of Activity],Types_of_Activity[Classification])=1,Term2_Early_Dismissal_6[[#This Row],[Elapsed]],0))</f>
        <v/>
      </c>
      <c r="AP62" s="106" t="str">
        <f>IF(ISBLANK(Term2_Early_Dismissal_6[[#This Row],[Activity]]),"",IF(_xlfn.XLOOKUP(Term2_Early_Dismissal_6[[#This Row],[Activity]],Types_of_Activity[Type of Activity],Types_of_Activity[Classification])=2,Term2_Early_Dismissal_6[[#This Row],[Elapsed]],0))</f>
        <v/>
      </c>
    </row>
    <row r="63" spans="2:71" x14ac:dyDescent="0.3">
      <c r="B63" s="136"/>
      <c r="C63" s="136"/>
      <c r="D63" s="103"/>
      <c r="E63" s="106" t="str">
        <f>IF(OR(ISBLANK(Term2_Early_Dismissal_1[[#This Row],[Start]]),ISBLANK(Term2_Early_Dismissal_1[[#This Row],[End]])),"",(Term2_Early_Dismissal_1[[#This Row],[End]]-Term2_Early_Dismissal_1[[#This Row],[Start]])*1440)</f>
        <v/>
      </c>
      <c r="F63" s="106" t="str">
        <f>IF(ISBLANK(Term2_Early_Dismissal_1[[#This Row],[Activity]]),"",IF(_xlfn.XLOOKUP(Term2_Early_Dismissal_1[[#This Row],[Activity]],Types_of_Activity[Type of Activity],Types_of_Activity[Classification])=1,Term2_Early_Dismissal_1[[#This Row],[Elapsed]],0))</f>
        <v/>
      </c>
      <c r="G63" s="106" t="str">
        <f>IF(ISBLANK(Term2_Early_Dismissal_1[[#This Row],[Activity]]),"",IF(_xlfn.XLOOKUP(Term2_Early_Dismissal_1[[#This Row],[Activity]],Types_of_Activity[Type of Activity],Types_of_Activity[Classification])=2,Term2_Early_Dismissal_1[[#This Row],[Elapsed]],0))</f>
        <v/>
      </c>
      <c r="H63"/>
      <c r="I63" s="136"/>
      <c r="J63" s="136"/>
      <c r="K63" s="103"/>
      <c r="L63" s="106" t="str">
        <f>IF(OR(ISBLANK(Term2_Early_Dismissal_2[[#This Row],[Start]]),ISBLANK(Term2_Early_Dismissal_2[[#This Row],[End]])),"",(Term2_Early_Dismissal_2[[#This Row],[End]]-Term2_Early_Dismissal_2[[#This Row],[Start]])*1440)</f>
        <v/>
      </c>
      <c r="M63" s="106" t="str">
        <f>IF(ISBLANK(Term2_Early_Dismissal_2[[#This Row],[Activity]]),"",IF(_xlfn.XLOOKUP(Term2_Early_Dismissal_2[[#This Row],[Activity]],Types_of_Activity[Type of Activity],Types_of_Activity[Classification])=1,Term2_Early_Dismissal_2[[#This Row],[Elapsed]],0))</f>
        <v/>
      </c>
      <c r="N63" s="106" t="str">
        <f>IF(ISBLANK(Term2_Early_Dismissal_2[[#This Row],[Activity]]),"",IF(_xlfn.XLOOKUP(Term2_Early_Dismissal_2[[#This Row],[Activity]],Types_of_Activity[Type of Activity],Types_of_Activity[Classification])=2,Term2_Early_Dismissal_2[[#This Row],[Elapsed]],0))</f>
        <v/>
      </c>
      <c r="O63"/>
      <c r="P63" s="136"/>
      <c r="Q63" s="136"/>
      <c r="R63" s="103"/>
      <c r="S63" s="106" t="str">
        <f>IF(OR(ISBLANK(Term2_Early_Dismissal_3[[#This Row],[Start]]),ISBLANK(Term2_Early_Dismissal_3[[#This Row],[End]])),"",(Term2_Early_Dismissal_3[[#This Row],[End]]-Term2_Early_Dismissal_3[[#This Row],[Start]])*1440)</f>
        <v/>
      </c>
      <c r="T63" s="106" t="str">
        <f>IF(ISBLANK(Term2_Early_Dismissal_3[[#This Row],[Activity]]),"",IF(_xlfn.XLOOKUP(Term2_Early_Dismissal_3[[#This Row],[Activity]],Types_of_Activity[Type of Activity],Types_of_Activity[Classification])=1,Term2_Early_Dismissal_3[[#This Row],[Elapsed]],0))</f>
        <v/>
      </c>
      <c r="U63" s="106" t="str">
        <f>IF(ISBLANK(Term2_Early_Dismissal_3[[#This Row],[Activity]]),"",IF(_xlfn.XLOOKUP(Term2_Early_Dismissal_3[[#This Row],[Activity]],Types_of_Activity[Type of Activity],Types_of_Activity[Classification])=2,Term2_Early_Dismissal_3[[#This Row],[Elapsed]],0))</f>
        <v/>
      </c>
      <c r="W63" s="136"/>
      <c r="X63" s="136"/>
      <c r="Y63" s="103"/>
      <c r="Z63" s="106" t="str">
        <f>IF(OR(ISBLANK(Term2_Early_Dismissal_4[[#This Row],[Start]]),ISBLANK(Term2_Early_Dismissal_4[[#This Row],[End]])),"",(Term2_Early_Dismissal_4[[#This Row],[End]]-Term2_Early_Dismissal_4[[#This Row],[Start]])*1440)</f>
        <v/>
      </c>
      <c r="AA63" s="106" t="str">
        <f>IF(ISBLANK(Term2_Early_Dismissal_4[[#This Row],[Activity]]),"",IF(_xlfn.XLOOKUP(Term2_Early_Dismissal_4[[#This Row],[Activity]],Types_of_Activity[Type of Activity],Types_of_Activity[Classification])=1,Term2_Early_Dismissal_4[[#This Row],[Elapsed]],0))</f>
        <v/>
      </c>
      <c r="AB63" s="106" t="str">
        <f>IF(ISBLANK(Term2_Early_Dismissal_4[[#This Row],[Activity]]),"",IF(_xlfn.XLOOKUP(Term2_Early_Dismissal_4[[#This Row],[Activity]],Types_of_Activity[Type of Activity],Types_of_Activity[Classification])=2,Term2_Early_Dismissal_4[[#This Row],[Elapsed]],0))</f>
        <v/>
      </c>
      <c r="AD63" s="136"/>
      <c r="AE63" s="136"/>
      <c r="AF63" s="103"/>
      <c r="AG63" s="106" t="str">
        <f>IF(OR(ISBLANK(Term2_Early_Dismissal_5[[#This Row],[Start]]),ISBLANK(Term2_Early_Dismissal_5[[#This Row],[End]])),"",(Term2_Early_Dismissal_5[[#This Row],[End]]-Term2_Early_Dismissal_5[[#This Row],[Start]])*1440)</f>
        <v/>
      </c>
      <c r="AH63" s="106" t="str">
        <f>IF(ISBLANK(Term2_Early_Dismissal_5[[#This Row],[Activity]]),"",IF(_xlfn.XLOOKUP(Term2_Early_Dismissal_5[[#This Row],[Activity]],Types_of_Activity[Type of Activity],Types_of_Activity[Classification])=1,Term2_Early_Dismissal_5[[#This Row],[Elapsed]],0))</f>
        <v/>
      </c>
      <c r="AI63" s="106" t="str">
        <f>IF(ISBLANK(Term2_Early_Dismissal_5[[#This Row],[Activity]]),"",IF(_xlfn.XLOOKUP(Term2_Early_Dismissal_5[[#This Row],[Activity]],Types_of_Activity[Type of Activity],Types_of_Activity[Classification])=2,Term2_Early_Dismissal_5[[#This Row],[Elapsed]],0))</f>
        <v/>
      </c>
      <c r="AK63" s="136"/>
      <c r="AL63" s="136"/>
      <c r="AM63" s="103"/>
      <c r="AN63" s="106" t="str">
        <f>IF(OR(ISBLANK(Term2_Early_Dismissal_6[[#This Row],[Start]]),ISBLANK(Term2_Early_Dismissal_6[[#This Row],[End]])),"",(Term2_Early_Dismissal_6[[#This Row],[End]]-Term2_Early_Dismissal_6[[#This Row],[Start]])*1440)</f>
        <v/>
      </c>
      <c r="AO63" s="106" t="str">
        <f>IF(ISBLANK(Term2_Early_Dismissal_6[[#This Row],[Activity]]),"",IF(_xlfn.XLOOKUP(Term2_Early_Dismissal_6[[#This Row],[Activity]],Types_of_Activity[Type of Activity],Types_of_Activity[Classification])=1,Term2_Early_Dismissal_6[[#This Row],[Elapsed]],0))</f>
        <v/>
      </c>
      <c r="AP63" s="106" t="str">
        <f>IF(ISBLANK(Term2_Early_Dismissal_6[[#This Row],[Activity]]),"",IF(_xlfn.XLOOKUP(Term2_Early_Dismissal_6[[#This Row],[Activity]],Types_of_Activity[Type of Activity],Types_of_Activity[Classification])=2,Term2_Early_Dismissal_6[[#This Row],[Elapsed]],0))</f>
        <v/>
      </c>
    </row>
    <row r="64" spans="2:71" x14ac:dyDescent="0.3">
      <c r="B64" s="136"/>
      <c r="C64" s="136"/>
      <c r="D64" s="103"/>
      <c r="E64" s="106" t="str">
        <f>IF(OR(ISBLANK(Term2_Early_Dismissal_1[[#This Row],[Start]]),ISBLANK(Term2_Early_Dismissal_1[[#This Row],[End]])),"",(Term2_Early_Dismissal_1[[#This Row],[End]]-Term2_Early_Dismissal_1[[#This Row],[Start]])*1440)</f>
        <v/>
      </c>
      <c r="F64" s="106" t="str">
        <f>IF(ISBLANK(Term2_Early_Dismissal_1[[#This Row],[Activity]]),"",IF(_xlfn.XLOOKUP(Term2_Early_Dismissal_1[[#This Row],[Activity]],Types_of_Activity[Type of Activity],Types_of_Activity[Classification])=1,Term2_Early_Dismissal_1[[#This Row],[Elapsed]],0))</f>
        <v/>
      </c>
      <c r="G64" s="106" t="str">
        <f>IF(ISBLANK(Term2_Early_Dismissal_1[[#This Row],[Activity]]),"",IF(_xlfn.XLOOKUP(Term2_Early_Dismissal_1[[#This Row],[Activity]],Types_of_Activity[Type of Activity],Types_of_Activity[Classification])=2,Term2_Early_Dismissal_1[[#This Row],[Elapsed]],0))</f>
        <v/>
      </c>
      <c r="H64"/>
      <c r="I64" s="136"/>
      <c r="J64" s="136"/>
      <c r="K64" s="103"/>
      <c r="L64" s="106" t="str">
        <f>IF(OR(ISBLANK(Term2_Early_Dismissal_2[[#This Row],[Start]]),ISBLANK(Term2_Early_Dismissal_2[[#This Row],[End]])),"",(Term2_Early_Dismissal_2[[#This Row],[End]]-Term2_Early_Dismissal_2[[#This Row],[Start]])*1440)</f>
        <v/>
      </c>
      <c r="M64" s="106" t="str">
        <f>IF(ISBLANK(Term2_Early_Dismissal_2[[#This Row],[Activity]]),"",IF(_xlfn.XLOOKUP(Term2_Early_Dismissal_2[[#This Row],[Activity]],Types_of_Activity[Type of Activity],Types_of_Activity[Classification])=1,Term2_Early_Dismissal_2[[#This Row],[Elapsed]],0))</f>
        <v/>
      </c>
      <c r="N64" s="106" t="str">
        <f>IF(ISBLANK(Term2_Early_Dismissal_2[[#This Row],[Activity]]),"",IF(_xlfn.XLOOKUP(Term2_Early_Dismissal_2[[#This Row],[Activity]],Types_of_Activity[Type of Activity],Types_of_Activity[Classification])=2,Term2_Early_Dismissal_2[[#This Row],[Elapsed]],0))</f>
        <v/>
      </c>
      <c r="O64"/>
      <c r="P64" s="136"/>
      <c r="Q64" s="136"/>
      <c r="R64" s="103"/>
      <c r="S64" s="106" t="str">
        <f>IF(OR(ISBLANK(Term2_Early_Dismissal_3[[#This Row],[Start]]),ISBLANK(Term2_Early_Dismissal_3[[#This Row],[End]])),"",(Term2_Early_Dismissal_3[[#This Row],[End]]-Term2_Early_Dismissal_3[[#This Row],[Start]])*1440)</f>
        <v/>
      </c>
      <c r="T64" s="106" t="str">
        <f>IF(ISBLANK(Term2_Early_Dismissal_3[[#This Row],[Activity]]),"",IF(_xlfn.XLOOKUP(Term2_Early_Dismissal_3[[#This Row],[Activity]],Types_of_Activity[Type of Activity],Types_of_Activity[Classification])=1,Term2_Early_Dismissal_3[[#This Row],[Elapsed]],0))</f>
        <v/>
      </c>
      <c r="U64" s="106" t="str">
        <f>IF(ISBLANK(Term2_Early_Dismissal_3[[#This Row],[Activity]]),"",IF(_xlfn.XLOOKUP(Term2_Early_Dismissal_3[[#This Row],[Activity]],Types_of_Activity[Type of Activity],Types_of_Activity[Classification])=2,Term2_Early_Dismissal_3[[#This Row],[Elapsed]],0))</f>
        <v/>
      </c>
      <c r="W64" s="136"/>
      <c r="X64" s="136"/>
      <c r="Y64" s="103"/>
      <c r="Z64" s="106" t="str">
        <f>IF(OR(ISBLANK(Term2_Early_Dismissal_4[[#This Row],[Start]]),ISBLANK(Term2_Early_Dismissal_4[[#This Row],[End]])),"",(Term2_Early_Dismissal_4[[#This Row],[End]]-Term2_Early_Dismissal_4[[#This Row],[Start]])*1440)</f>
        <v/>
      </c>
      <c r="AA64" s="106" t="str">
        <f>IF(ISBLANK(Term2_Early_Dismissal_4[[#This Row],[Activity]]),"",IF(_xlfn.XLOOKUP(Term2_Early_Dismissal_4[[#This Row],[Activity]],Types_of_Activity[Type of Activity],Types_of_Activity[Classification])=1,Term2_Early_Dismissal_4[[#This Row],[Elapsed]],0))</f>
        <v/>
      </c>
      <c r="AB64" s="106" t="str">
        <f>IF(ISBLANK(Term2_Early_Dismissal_4[[#This Row],[Activity]]),"",IF(_xlfn.XLOOKUP(Term2_Early_Dismissal_4[[#This Row],[Activity]],Types_of_Activity[Type of Activity],Types_of_Activity[Classification])=2,Term2_Early_Dismissal_4[[#This Row],[Elapsed]],0))</f>
        <v/>
      </c>
      <c r="AD64" s="136"/>
      <c r="AE64" s="136"/>
      <c r="AF64" s="103"/>
      <c r="AG64" s="106" t="str">
        <f>IF(OR(ISBLANK(Term2_Early_Dismissal_5[[#This Row],[Start]]),ISBLANK(Term2_Early_Dismissal_5[[#This Row],[End]])),"",(Term2_Early_Dismissal_5[[#This Row],[End]]-Term2_Early_Dismissal_5[[#This Row],[Start]])*1440)</f>
        <v/>
      </c>
      <c r="AH64" s="106" t="str">
        <f>IF(ISBLANK(Term2_Early_Dismissal_5[[#This Row],[Activity]]),"",IF(_xlfn.XLOOKUP(Term2_Early_Dismissal_5[[#This Row],[Activity]],Types_of_Activity[Type of Activity],Types_of_Activity[Classification])=1,Term2_Early_Dismissal_5[[#This Row],[Elapsed]],0))</f>
        <v/>
      </c>
      <c r="AI64" s="106" t="str">
        <f>IF(ISBLANK(Term2_Early_Dismissal_5[[#This Row],[Activity]]),"",IF(_xlfn.XLOOKUP(Term2_Early_Dismissal_5[[#This Row],[Activity]],Types_of_Activity[Type of Activity],Types_of_Activity[Classification])=2,Term2_Early_Dismissal_5[[#This Row],[Elapsed]],0))</f>
        <v/>
      </c>
      <c r="AK64" s="136"/>
      <c r="AL64" s="136"/>
      <c r="AM64" s="103"/>
      <c r="AN64" s="106" t="str">
        <f>IF(OR(ISBLANK(Term2_Early_Dismissal_6[[#This Row],[Start]]),ISBLANK(Term2_Early_Dismissal_6[[#This Row],[End]])),"",(Term2_Early_Dismissal_6[[#This Row],[End]]-Term2_Early_Dismissal_6[[#This Row],[Start]])*1440)</f>
        <v/>
      </c>
      <c r="AO64" s="106" t="str">
        <f>IF(ISBLANK(Term2_Early_Dismissal_6[[#This Row],[Activity]]),"",IF(_xlfn.XLOOKUP(Term2_Early_Dismissal_6[[#This Row],[Activity]],Types_of_Activity[Type of Activity],Types_of_Activity[Classification])=1,Term2_Early_Dismissal_6[[#This Row],[Elapsed]],0))</f>
        <v/>
      </c>
      <c r="AP64" s="106" t="str">
        <f>IF(ISBLANK(Term2_Early_Dismissal_6[[#This Row],[Activity]]),"",IF(_xlfn.XLOOKUP(Term2_Early_Dismissal_6[[#This Row],[Activity]],Types_of_Activity[Type of Activity],Types_of_Activity[Classification])=2,Term2_Early_Dismissal_6[[#This Row],[Elapsed]],0))</f>
        <v/>
      </c>
    </row>
    <row r="65" spans="2:42" x14ac:dyDescent="0.3">
      <c r="B65" s="136"/>
      <c r="C65" s="136"/>
      <c r="D65" s="103"/>
      <c r="E65" s="106" t="str">
        <f>IF(OR(ISBLANK(Term2_Early_Dismissal_1[[#This Row],[Start]]),ISBLANK(Term2_Early_Dismissal_1[[#This Row],[End]])),"",(Term2_Early_Dismissal_1[[#This Row],[End]]-Term2_Early_Dismissal_1[[#This Row],[Start]])*1440)</f>
        <v/>
      </c>
      <c r="F65" s="106" t="str">
        <f>IF(ISBLANK(Term2_Early_Dismissal_1[[#This Row],[Activity]]),"",IF(_xlfn.XLOOKUP(Term2_Early_Dismissal_1[[#This Row],[Activity]],Types_of_Activity[Type of Activity],Types_of_Activity[Classification])=1,Term2_Early_Dismissal_1[[#This Row],[Elapsed]],0))</f>
        <v/>
      </c>
      <c r="G65" s="106" t="str">
        <f>IF(ISBLANK(Term2_Early_Dismissal_1[[#This Row],[Activity]]),"",IF(_xlfn.XLOOKUP(Term2_Early_Dismissal_1[[#This Row],[Activity]],Types_of_Activity[Type of Activity],Types_of_Activity[Classification])=2,Term2_Early_Dismissal_1[[#This Row],[Elapsed]],0))</f>
        <v/>
      </c>
      <c r="H65"/>
      <c r="I65" s="136"/>
      <c r="J65" s="136"/>
      <c r="K65" s="103"/>
      <c r="L65" s="106" t="str">
        <f>IF(OR(ISBLANK(Term2_Early_Dismissal_2[[#This Row],[Start]]),ISBLANK(Term2_Early_Dismissal_2[[#This Row],[End]])),"",(Term2_Early_Dismissal_2[[#This Row],[End]]-Term2_Early_Dismissal_2[[#This Row],[Start]])*1440)</f>
        <v/>
      </c>
      <c r="M65" s="106" t="str">
        <f>IF(ISBLANK(Term2_Early_Dismissal_2[[#This Row],[Activity]]),"",IF(_xlfn.XLOOKUP(Term2_Early_Dismissal_2[[#This Row],[Activity]],Types_of_Activity[Type of Activity],Types_of_Activity[Classification])=1,Term2_Early_Dismissal_2[[#This Row],[Elapsed]],0))</f>
        <v/>
      </c>
      <c r="N65" s="106" t="str">
        <f>IF(ISBLANK(Term2_Early_Dismissal_2[[#This Row],[Activity]]),"",IF(_xlfn.XLOOKUP(Term2_Early_Dismissal_2[[#This Row],[Activity]],Types_of_Activity[Type of Activity],Types_of_Activity[Classification])=2,Term2_Early_Dismissal_2[[#This Row],[Elapsed]],0))</f>
        <v/>
      </c>
      <c r="O65"/>
      <c r="P65" s="136"/>
      <c r="Q65" s="136"/>
      <c r="R65" s="103"/>
      <c r="S65" s="106" t="str">
        <f>IF(OR(ISBLANK(Term2_Early_Dismissal_3[[#This Row],[Start]]),ISBLANK(Term2_Early_Dismissal_3[[#This Row],[End]])),"",(Term2_Early_Dismissal_3[[#This Row],[End]]-Term2_Early_Dismissal_3[[#This Row],[Start]])*1440)</f>
        <v/>
      </c>
      <c r="T65" s="106" t="str">
        <f>IF(ISBLANK(Term2_Early_Dismissal_3[[#This Row],[Activity]]),"",IF(_xlfn.XLOOKUP(Term2_Early_Dismissal_3[[#This Row],[Activity]],Types_of_Activity[Type of Activity],Types_of_Activity[Classification])=1,Term2_Early_Dismissal_3[[#This Row],[Elapsed]],0))</f>
        <v/>
      </c>
      <c r="U65" s="106" t="str">
        <f>IF(ISBLANK(Term2_Early_Dismissal_3[[#This Row],[Activity]]),"",IF(_xlfn.XLOOKUP(Term2_Early_Dismissal_3[[#This Row],[Activity]],Types_of_Activity[Type of Activity],Types_of_Activity[Classification])=2,Term2_Early_Dismissal_3[[#This Row],[Elapsed]],0))</f>
        <v/>
      </c>
      <c r="W65" s="136"/>
      <c r="X65" s="136"/>
      <c r="Y65" s="103"/>
      <c r="Z65" s="106" t="str">
        <f>IF(OR(ISBLANK(Term2_Early_Dismissal_4[[#This Row],[Start]]),ISBLANK(Term2_Early_Dismissal_4[[#This Row],[End]])),"",(Term2_Early_Dismissal_4[[#This Row],[End]]-Term2_Early_Dismissal_4[[#This Row],[Start]])*1440)</f>
        <v/>
      </c>
      <c r="AA65" s="106" t="str">
        <f>IF(ISBLANK(Term2_Early_Dismissal_4[[#This Row],[Activity]]),"",IF(_xlfn.XLOOKUP(Term2_Early_Dismissal_4[[#This Row],[Activity]],Types_of_Activity[Type of Activity],Types_of_Activity[Classification])=1,Term2_Early_Dismissal_4[[#This Row],[Elapsed]],0))</f>
        <v/>
      </c>
      <c r="AB65" s="106" t="str">
        <f>IF(ISBLANK(Term2_Early_Dismissal_4[[#This Row],[Activity]]),"",IF(_xlfn.XLOOKUP(Term2_Early_Dismissal_4[[#This Row],[Activity]],Types_of_Activity[Type of Activity],Types_of_Activity[Classification])=2,Term2_Early_Dismissal_4[[#This Row],[Elapsed]],0))</f>
        <v/>
      </c>
      <c r="AD65" s="136"/>
      <c r="AE65" s="136"/>
      <c r="AF65" s="103"/>
      <c r="AG65" s="106" t="str">
        <f>IF(OR(ISBLANK(Term2_Early_Dismissal_5[[#This Row],[Start]]),ISBLANK(Term2_Early_Dismissal_5[[#This Row],[End]])),"",(Term2_Early_Dismissal_5[[#This Row],[End]]-Term2_Early_Dismissal_5[[#This Row],[Start]])*1440)</f>
        <v/>
      </c>
      <c r="AH65" s="106" t="str">
        <f>IF(ISBLANK(Term2_Early_Dismissal_5[[#This Row],[Activity]]),"",IF(_xlfn.XLOOKUP(Term2_Early_Dismissal_5[[#This Row],[Activity]],Types_of_Activity[Type of Activity],Types_of_Activity[Classification])=1,Term2_Early_Dismissal_5[[#This Row],[Elapsed]],0))</f>
        <v/>
      </c>
      <c r="AI65" s="106" t="str">
        <f>IF(ISBLANK(Term2_Early_Dismissal_5[[#This Row],[Activity]]),"",IF(_xlfn.XLOOKUP(Term2_Early_Dismissal_5[[#This Row],[Activity]],Types_of_Activity[Type of Activity],Types_of_Activity[Classification])=2,Term2_Early_Dismissal_5[[#This Row],[Elapsed]],0))</f>
        <v/>
      </c>
      <c r="AK65" s="136"/>
      <c r="AL65" s="136"/>
      <c r="AM65" s="103"/>
      <c r="AN65" s="106" t="str">
        <f>IF(OR(ISBLANK(Term2_Early_Dismissal_6[[#This Row],[Start]]),ISBLANK(Term2_Early_Dismissal_6[[#This Row],[End]])),"",(Term2_Early_Dismissal_6[[#This Row],[End]]-Term2_Early_Dismissal_6[[#This Row],[Start]])*1440)</f>
        <v/>
      </c>
      <c r="AO65" s="106" t="str">
        <f>IF(ISBLANK(Term2_Early_Dismissal_6[[#This Row],[Activity]]),"",IF(_xlfn.XLOOKUP(Term2_Early_Dismissal_6[[#This Row],[Activity]],Types_of_Activity[Type of Activity],Types_of_Activity[Classification])=1,Term2_Early_Dismissal_6[[#This Row],[Elapsed]],0))</f>
        <v/>
      </c>
      <c r="AP65" s="106" t="str">
        <f>IF(ISBLANK(Term2_Early_Dismissal_6[[#This Row],[Activity]]),"",IF(_xlfn.XLOOKUP(Term2_Early_Dismissal_6[[#This Row],[Activity]],Types_of_Activity[Type of Activity],Types_of_Activity[Classification])=2,Term2_Early_Dismissal_6[[#This Row],[Elapsed]],0))</f>
        <v/>
      </c>
    </row>
    <row r="66" spans="2:42" x14ac:dyDescent="0.3">
      <c r="B66" s="136"/>
      <c r="C66" s="136"/>
      <c r="D66" s="103"/>
      <c r="E66" s="106" t="str">
        <f>IF(OR(ISBLANK(Term2_Early_Dismissal_1[[#This Row],[Start]]),ISBLANK(Term2_Early_Dismissal_1[[#This Row],[End]])),"",(Term2_Early_Dismissal_1[[#This Row],[End]]-Term2_Early_Dismissal_1[[#This Row],[Start]])*1440)</f>
        <v/>
      </c>
      <c r="F66" s="106" t="str">
        <f>IF(ISBLANK(Term2_Early_Dismissal_1[[#This Row],[Activity]]),"",IF(_xlfn.XLOOKUP(Term2_Early_Dismissal_1[[#This Row],[Activity]],Types_of_Activity[Type of Activity],Types_of_Activity[Classification])=1,Term2_Early_Dismissal_1[[#This Row],[Elapsed]],0))</f>
        <v/>
      </c>
      <c r="G66" s="106" t="str">
        <f>IF(ISBLANK(Term2_Early_Dismissal_1[[#This Row],[Activity]]),"",IF(_xlfn.XLOOKUP(Term2_Early_Dismissal_1[[#This Row],[Activity]],Types_of_Activity[Type of Activity],Types_of_Activity[Classification])=2,Term2_Early_Dismissal_1[[#This Row],[Elapsed]],0))</f>
        <v/>
      </c>
      <c r="H66"/>
      <c r="I66" s="136"/>
      <c r="J66" s="136"/>
      <c r="K66" s="103"/>
      <c r="L66" s="106" t="str">
        <f>IF(OR(ISBLANK(Term2_Early_Dismissal_2[[#This Row],[Start]]),ISBLANK(Term2_Early_Dismissal_2[[#This Row],[End]])),"",(Term2_Early_Dismissal_2[[#This Row],[End]]-Term2_Early_Dismissal_2[[#This Row],[Start]])*1440)</f>
        <v/>
      </c>
      <c r="M66" s="106" t="str">
        <f>IF(ISBLANK(Term2_Early_Dismissal_2[[#This Row],[Activity]]),"",IF(_xlfn.XLOOKUP(Term2_Early_Dismissal_2[[#This Row],[Activity]],Types_of_Activity[Type of Activity],Types_of_Activity[Classification])=1,Term2_Early_Dismissal_2[[#This Row],[Elapsed]],0))</f>
        <v/>
      </c>
      <c r="N66" s="106" t="str">
        <f>IF(ISBLANK(Term2_Early_Dismissal_2[[#This Row],[Activity]]),"",IF(_xlfn.XLOOKUP(Term2_Early_Dismissal_2[[#This Row],[Activity]],Types_of_Activity[Type of Activity],Types_of_Activity[Classification])=2,Term2_Early_Dismissal_2[[#This Row],[Elapsed]],0))</f>
        <v/>
      </c>
      <c r="O66"/>
      <c r="P66" s="136"/>
      <c r="Q66" s="136"/>
      <c r="R66" s="103"/>
      <c r="S66" s="106" t="str">
        <f>IF(OR(ISBLANK(Term2_Early_Dismissal_3[[#This Row],[Start]]),ISBLANK(Term2_Early_Dismissal_3[[#This Row],[End]])),"",(Term2_Early_Dismissal_3[[#This Row],[End]]-Term2_Early_Dismissal_3[[#This Row],[Start]])*1440)</f>
        <v/>
      </c>
      <c r="T66" s="106" t="str">
        <f>IF(ISBLANK(Term2_Early_Dismissal_3[[#This Row],[Activity]]),"",IF(_xlfn.XLOOKUP(Term2_Early_Dismissal_3[[#This Row],[Activity]],Types_of_Activity[Type of Activity],Types_of_Activity[Classification])=1,Term2_Early_Dismissal_3[[#This Row],[Elapsed]],0))</f>
        <v/>
      </c>
      <c r="U66" s="106" t="str">
        <f>IF(ISBLANK(Term2_Early_Dismissal_3[[#This Row],[Activity]]),"",IF(_xlfn.XLOOKUP(Term2_Early_Dismissal_3[[#This Row],[Activity]],Types_of_Activity[Type of Activity],Types_of_Activity[Classification])=2,Term2_Early_Dismissal_3[[#This Row],[Elapsed]],0))</f>
        <v/>
      </c>
      <c r="W66" s="136"/>
      <c r="X66" s="136"/>
      <c r="Y66" s="103"/>
      <c r="Z66" s="106" t="str">
        <f>IF(OR(ISBLANK(Term2_Early_Dismissal_4[[#This Row],[Start]]),ISBLANK(Term2_Early_Dismissal_4[[#This Row],[End]])),"",(Term2_Early_Dismissal_4[[#This Row],[End]]-Term2_Early_Dismissal_4[[#This Row],[Start]])*1440)</f>
        <v/>
      </c>
      <c r="AA66" s="106" t="str">
        <f>IF(ISBLANK(Term2_Early_Dismissal_4[[#This Row],[Activity]]),"",IF(_xlfn.XLOOKUP(Term2_Early_Dismissal_4[[#This Row],[Activity]],Types_of_Activity[Type of Activity],Types_of_Activity[Classification])=1,Term2_Early_Dismissal_4[[#This Row],[Elapsed]],0))</f>
        <v/>
      </c>
      <c r="AB66" s="106" t="str">
        <f>IF(ISBLANK(Term2_Early_Dismissal_4[[#This Row],[Activity]]),"",IF(_xlfn.XLOOKUP(Term2_Early_Dismissal_4[[#This Row],[Activity]],Types_of_Activity[Type of Activity],Types_of_Activity[Classification])=2,Term2_Early_Dismissal_4[[#This Row],[Elapsed]],0))</f>
        <v/>
      </c>
      <c r="AD66" s="136"/>
      <c r="AE66" s="136"/>
      <c r="AF66" s="103"/>
      <c r="AG66" s="106" t="str">
        <f>IF(OR(ISBLANK(Term2_Early_Dismissal_5[[#This Row],[Start]]),ISBLANK(Term2_Early_Dismissal_5[[#This Row],[End]])),"",(Term2_Early_Dismissal_5[[#This Row],[End]]-Term2_Early_Dismissal_5[[#This Row],[Start]])*1440)</f>
        <v/>
      </c>
      <c r="AH66" s="106" t="str">
        <f>IF(ISBLANK(Term2_Early_Dismissal_5[[#This Row],[Activity]]),"",IF(_xlfn.XLOOKUP(Term2_Early_Dismissal_5[[#This Row],[Activity]],Types_of_Activity[Type of Activity],Types_of_Activity[Classification])=1,Term2_Early_Dismissal_5[[#This Row],[Elapsed]],0))</f>
        <v/>
      </c>
      <c r="AI66" s="106" t="str">
        <f>IF(ISBLANK(Term2_Early_Dismissal_5[[#This Row],[Activity]]),"",IF(_xlfn.XLOOKUP(Term2_Early_Dismissal_5[[#This Row],[Activity]],Types_of_Activity[Type of Activity],Types_of_Activity[Classification])=2,Term2_Early_Dismissal_5[[#This Row],[Elapsed]],0))</f>
        <v/>
      </c>
      <c r="AK66" s="136"/>
      <c r="AL66" s="136"/>
      <c r="AM66" s="103"/>
      <c r="AN66" s="106" t="str">
        <f>IF(OR(ISBLANK(Term2_Early_Dismissal_6[[#This Row],[Start]]),ISBLANK(Term2_Early_Dismissal_6[[#This Row],[End]])),"",(Term2_Early_Dismissal_6[[#This Row],[End]]-Term2_Early_Dismissal_6[[#This Row],[Start]])*1440)</f>
        <v/>
      </c>
      <c r="AO66" s="106" t="str">
        <f>IF(ISBLANK(Term2_Early_Dismissal_6[[#This Row],[Activity]]),"",IF(_xlfn.XLOOKUP(Term2_Early_Dismissal_6[[#This Row],[Activity]],Types_of_Activity[Type of Activity],Types_of_Activity[Classification])=1,Term2_Early_Dismissal_6[[#This Row],[Elapsed]],0))</f>
        <v/>
      </c>
      <c r="AP66" s="106" t="str">
        <f>IF(ISBLANK(Term2_Early_Dismissal_6[[#This Row],[Activity]]),"",IF(_xlfn.XLOOKUP(Term2_Early_Dismissal_6[[#This Row],[Activity]],Types_of_Activity[Type of Activity],Types_of_Activity[Classification])=2,Term2_Early_Dismissal_6[[#This Row],[Elapsed]],0))</f>
        <v/>
      </c>
    </row>
    <row r="67" spans="2:42" x14ac:dyDescent="0.3">
      <c r="B67" s="136"/>
      <c r="C67" s="136"/>
      <c r="D67" s="103"/>
      <c r="E67" s="106" t="str">
        <f>IF(OR(ISBLANK(Term2_Early_Dismissal_1[[#This Row],[Start]]),ISBLANK(Term2_Early_Dismissal_1[[#This Row],[End]])),"",(Term2_Early_Dismissal_1[[#This Row],[End]]-Term2_Early_Dismissal_1[[#This Row],[Start]])*1440)</f>
        <v/>
      </c>
      <c r="F67" s="106" t="str">
        <f>IF(ISBLANK(Term2_Early_Dismissal_1[[#This Row],[Activity]]),"",IF(_xlfn.XLOOKUP(Term2_Early_Dismissal_1[[#This Row],[Activity]],Types_of_Activity[Type of Activity],Types_of_Activity[Classification])=1,Term2_Early_Dismissal_1[[#This Row],[Elapsed]],0))</f>
        <v/>
      </c>
      <c r="G67" s="106" t="str">
        <f>IF(ISBLANK(Term2_Early_Dismissal_1[[#This Row],[Activity]]),"",IF(_xlfn.XLOOKUP(Term2_Early_Dismissal_1[[#This Row],[Activity]],Types_of_Activity[Type of Activity],Types_of_Activity[Classification])=2,Term2_Early_Dismissal_1[[#This Row],[Elapsed]],0))</f>
        <v/>
      </c>
      <c r="H67"/>
      <c r="I67" s="136"/>
      <c r="J67" s="136"/>
      <c r="K67" s="103"/>
      <c r="L67" s="106" t="str">
        <f>IF(OR(ISBLANK(Term2_Early_Dismissal_2[[#This Row],[Start]]),ISBLANK(Term2_Early_Dismissal_2[[#This Row],[End]])),"",(Term2_Early_Dismissal_2[[#This Row],[End]]-Term2_Early_Dismissal_2[[#This Row],[Start]])*1440)</f>
        <v/>
      </c>
      <c r="M67" s="106" t="str">
        <f>IF(ISBLANK(Term2_Early_Dismissal_2[[#This Row],[Activity]]),"",IF(_xlfn.XLOOKUP(Term2_Early_Dismissal_2[[#This Row],[Activity]],Types_of_Activity[Type of Activity],Types_of_Activity[Classification])=1,Term2_Early_Dismissal_2[[#This Row],[Elapsed]],0))</f>
        <v/>
      </c>
      <c r="N67" s="106" t="str">
        <f>IF(ISBLANK(Term2_Early_Dismissal_2[[#This Row],[Activity]]),"",IF(_xlfn.XLOOKUP(Term2_Early_Dismissal_2[[#This Row],[Activity]],Types_of_Activity[Type of Activity],Types_of_Activity[Classification])=2,Term2_Early_Dismissal_2[[#This Row],[Elapsed]],0))</f>
        <v/>
      </c>
      <c r="O67"/>
      <c r="P67" s="136"/>
      <c r="Q67" s="136"/>
      <c r="R67" s="103"/>
      <c r="S67" s="106" t="str">
        <f>IF(OR(ISBLANK(Term2_Early_Dismissal_3[[#This Row],[Start]]),ISBLANK(Term2_Early_Dismissal_3[[#This Row],[End]])),"",(Term2_Early_Dismissal_3[[#This Row],[End]]-Term2_Early_Dismissal_3[[#This Row],[Start]])*1440)</f>
        <v/>
      </c>
      <c r="T67" s="106" t="str">
        <f>IF(ISBLANK(Term2_Early_Dismissal_3[[#This Row],[Activity]]),"",IF(_xlfn.XLOOKUP(Term2_Early_Dismissal_3[[#This Row],[Activity]],Types_of_Activity[Type of Activity],Types_of_Activity[Classification])=1,Term2_Early_Dismissal_3[[#This Row],[Elapsed]],0))</f>
        <v/>
      </c>
      <c r="U67" s="106" t="str">
        <f>IF(ISBLANK(Term2_Early_Dismissal_3[[#This Row],[Activity]]),"",IF(_xlfn.XLOOKUP(Term2_Early_Dismissal_3[[#This Row],[Activity]],Types_of_Activity[Type of Activity],Types_of_Activity[Classification])=2,Term2_Early_Dismissal_3[[#This Row],[Elapsed]],0))</f>
        <v/>
      </c>
      <c r="W67" s="136"/>
      <c r="X67" s="136"/>
      <c r="Y67" s="103"/>
      <c r="Z67" s="106" t="str">
        <f>IF(OR(ISBLANK(Term2_Early_Dismissal_4[[#This Row],[Start]]),ISBLANK(Term2_Early_Dismissal_4[[#This Row],[End]])),"",(Term2_Early_Dismissal_4[[#This Row],[End]]-Term2_Early_Dismissal_4[[#This Row],[Start]])*1440)</f>
        <v/>
      </c>
      <c r="AA67" s="106" t="str">
        <f>IF(ISBLANK(Term2_Early_Dismissal_4[[#This Row],[Activity]]),"",IF(_xlfn.XLOOKUP(Term2_Early_Dismissal_4[[#This Row],[Activity]],Types_of_Activity[Type of Activity],Types_of_Activity[Classification])=1,Term2_Early_Dismissal_4[[#This Row],[Elapsed]],0))</f>
        <v/>
      </c>
      <c r="AB67" s="106" t="str">
        <f>IF(ISBLANK(Term2_Early_Dismissal_4[[#This Row],[Activity]]),"",IF(_xlfn.XLOOKUP(Term2_Early_Dismissal_4[[#This Row],[Activity]],Types_of_Activity[Type of Activity],Types_of_Activity[Classification])=2,Term2_Early_Dismissal_4[[#This Row],[Elapsed]],0))</f>
        <v/>
      </c>
      <c r="AD67" s="136"/>
      <c r="AE67" s="136"/>
      <c r="AF67" s="103"/>
      <c r="AG67" s="106" t="str">
        <f>IF(OR(ISBLANK(Term2_Early_Dismissal_5[[#This Row],[Start]]),ISBLANK(Term2_Early_Dismissal_5[[#This Row],[End]])),"",(Term2_Early_Dismissal_5[[#This Row],[End]]-Term2_Early_Dismissal_5[[#This Row],[Start]])*1440)</f>
        <v/>
      </c>
      <c r="AH67" s="106" t="str">
        <f>IF(ISBLANK(Term2_Early_Dismissal_5[[#This Row],[Activity]]),"",IF(_xlfn.XLOOKUP(Term2_Early_Dismissal_5[[#This Row],[Activity]],Types_of_Activity[Type of Activity],Types_of_Activity[Classification])=1,Term2_Early_Dismissal_5[[#This Row],[Elapsed]],0))</f>
        <v/>
      </c>
      <c r="AI67" s="106" t="str">
        <f>IF(ISBLANK(Term2_Early_Dismissal_5[[#This Row],[Activity]]),"",IF(_xlfn.XLOOKUP(Term2_Early_Dismissal_5[[#This Row],[Activity]],Types_of_Activity[Type of Activity],Types_of_Activity[Classification])=2,Term2_Early_Dismissal_5[[#This Row],[Elapsed]],0))</f>
        <v/>
      </c>
      <c r="AK67" s="136"/>
      <c r="AL67" s="136"/>
      <c r="AM67" s="103"/>
      <c r="AN67" s="106" t="str">
        <f>IF(OR(ISBLANK(Term2_Early_Dismissal_6[[#This Row],[Start]]),ISBLANK(Term2_Early_Dismissal_6[[#This Row],[End]])),"",(Term2_Early_Dismissal_6[[#This Row],[End]]-Term2_Early_Dismissal_6[[#This Row],[Start]])*1440)</f>
        <v/>
      </c>
      <c r="AO67" s="106" t="str">
        <f>IF(ISBLANK(Term2_Early_Dismissal_6[[#This Row],[Activity]]),"",IF(_xlfn.XLOOKUP(Term2_Early_Dismissal_6[[#This Row],[Activity]],Types_of_Activity[Type of Activity],Types_of_Activity[Classification])=1,Term2_Early_Dismissal_6[[#This Row],[Elapsed]],0))</f>
        <v/>
      </c>
      <c r="AP67" s="106" t="str">
        <f>IF(ISBLANK(Term2_Early_Dismissal_6[[#This Row],[Activity]]),"",IF(_xlfn.XLOOKUP(Term2_Early_Dismissal_6[[#This Row],[Activity]],Types_of_Activity[Type of Activity],Types_of_Activity[Classification])=2,Term2_Early_Dismissal_6[[#This Row],[Elapsed]],0))</f>
        <v/>
      </c>
    </row>
    <row r="68" spans="2:42" x14ac:dyDescent="0.3">
      <c r="B68" s="136"/>
      <c r="C68" s="136"/>
      <c r="D68" s="103"/>
      <c r="E68" s="106" t="str">
        <f>IF(OR(ISBLANK(Term2_Early_Dismissal_1[[#This Row],[Start]]),ISBLANK(Term2_Early_Dismissal_1[[#This Row],[End]])),"",(Term2_Early_Dismissal_1[[#This Row],[End]]-Term2_Early_Dismissal_1[[#This Row],[Start]])*1440)</f>
        <v/>
      </c>
      <c r="F68" s="106" t="str">
        <f>IF(ISBLANK(Term2_Early_Dismissal_1[[#This Row],[Activity]]),"",IF(_xlfn.XLOOKUP(Term2_Early_Dismissal_1[[#This Row],[Activity]],Types_of_Activity[Type of Activity],Types_of_Activity[Classification])=1,Term2_Early_Dismissal_1[[#This Row],[Elapsed]],0))</f>
        <v/>
      </c>
      <c r="G68" s="106" t="str">
        <f>IF(ISBLANK(Term2_Early_Dismissal_1[[#This Row],[Activity]]),"",IF(_xlfn.XLOOKUP(Term2_Early_Dismissal_1[[#This Row],[Activity]],Types_of_Activity[Type of Activity],Types_of_Activity[Classification])=2,Term2_Early_Dismissal_1[[#This Row],[Elapsed]],0))</f>
        <v/>
      </c>
      <c r="H68"/>
      <c r="I68" s="136"/>
      <c r="J68" s="136"/>
      <c r="K68" s="103"/>
      <c r="L68" s="106" t="str">
        <f>IF(OR(ISBLANK(Term2_Early_Dismissal_2[[#This Row],[Start]]),ISBLANK(Term2_Early_Dismissal_2[[#This Row],[End]])),"",(Term2_Early_Dismissal_2[[#This Row],[End]]-Term2_Early_Dismissal_2[[#This Row],[Start]])*1440)</f>
        <v/>
      </c>
      <c r="M68" s="106" t="str">
        <f>IF(ISBLANK(Term2_Early_Dismissal_2[[#This Row],[Activity]]),"",IF(_xlfn.XLOOKUP(Term2_Early_Dismissal_2[[#This Row],[Activity]],Types_of_Activity[Type of Activity],Types_of_Activity[Classification])=1,Term2_Early_Dismissal_2[[#This Row],[Elapsed]],0))</f>
        <v/>
      </c>
      <c r="N68" s="106" t="str">
        <f>IF(ISBLANK(Term2_Early_Dismissal_2[[#This Row],[Activity]]),"",IF(_xlfn.XLOOKUP(Term2_Early_Dismissal_2[[#This Row],[Activity]],Types_of_Activity[Type of Activity],Types_of_Activity[Classification])=2,Term2_Early_Dismissal_2[[#This Row],[Elapsed]],0))</f>
        <v/>
      </c>
      <c r="O68"/>
      <c r="P68" s="136"/>
      <c r="Q68" s="136"/>
      <c r="R68" s="103"/>
      <c r="S68" s="106" t="str">
        <f>IF(OR(ISBLANK(Term2_Early_Dismissal_3[[#This Row],[Start]]),ISBLANK(Term2_Early_Dismissal_3[[#This Row],[End]])),"",(Term2_Early_Dismissal_3[[#This Row],[End]]-Term2_Early_Dismissal_3[[#This Row],[Start]])*1440)</f>
        <v/>
      </c>
      <c r="T68" s="106" t="str">
        <f>IF(ISBLANK(Term2_Early_Dismissal_3[[#This Row],[Activity]]),"",IF(_xlfn.XLOOKUP(Term2_Early_Dismissal_3[[#This Row],[Activity]],Types_of_Activity[Type of Activity],Types_of_Activity[Classification])=1,Term2_Early_Dismissal_3[[#This Row],[Elapsed]],0))</f>
        <v/>
      </c>
      <c r="U68" s="106" t="str">
        <f>IF(ISBLANK(Term2_Early_Dismissal_3[[#This Row],[Activity]]),"",IF(_xlfn.XLOOKUP(Term2_Early_Dismissal_3[[#This Row],[Activity]],Types_of_Activity[Type of Activity],Types_of_Activity[Classification])=2,Term2_Early_Dismissal_3[[#This Row],[Elapsed]],0))</f>
        <v/>
      </c>
      <c r="W68" s="136"/>
      <c r="X68" s="136"/>
      <c r="Y68" s="103"/>
      <c r="Z68" s="106" t="str">
        <f>IF(OR(ISBLANK(Term2_Early_Dismissal_4[[#This Row],[Start]]),ISBLANK(Term2_Early_Dismissal_4[[#This Row],[End]])),"",(Term2_Early_Dismissal_4[[#This Row],[End]]-Term2_Early_Dismissal_4[[#This Row],[Start]])*1440)</f>
        <v/>
      </c>
      <c r="AA68" s="106" t="str">
        <f>IF(ISBLANK(Term2_Early_Dismissal_4[[#This Row],[Activity]]),"",IF(_xlfn.XLOOKUP(Term2_Early_Dismissal_4[[#This Row],[Activity]],Types_of_Activity[Type of Activity],Types_of_Activity[Classification])=1,Term2_Early_Dismissal_4[[#This Row],[Elapsed]],0))</f>
        <v/>
      </c>
      <c r="AB68" s="106" t="str">
        <f>IF(ISBLANK(Term2_Early_Dismissal_4[[#This Row],[Activity]]),"",IF(_xlfn.XLOOKUP(Term2_Early_Dismissal_4[[#This Row],[Activity]],Types_of_Activity[Type of Activity],Types_of_Activity[Classification])=2,Term2_Early_Dismissal_4[[#This Row],[Elapsed]],0))</f>
        <v/>
      </c>
      <c r="AD68" s="136"/>
      <c r="AE68" s="136"/>
      <c r="AF68" s="103"/>
      <c r="AG68" s="106" t="str">
        <f>IF(OR(ISBLANK(Term2_Early_Dismissal_5[[#This Row],[Start]]),ISBLANK(Term2_Early_Dismissal_5[[#This Row],[End]])),"",(Term2_Early_Dismissal_5[[#This Row],[End]]-Term2_Early_Dismissal_5[[#This Row],[Start]])*1440)</f>
        <v/>
      </c>
      <c r="AH68" s="106" t="str">
        <f>IF(ISBLANK(Term2_Early_Dismissal_5[[#This Row],[Activity]]),"",IF(_xlfn.XLOOKUP(Term2_Early_Dismissal_5[[#This Row],[Activity]],Types_of_Activity[Type of Activity],Types_of_Activity[Classification])=1,Term2_Early_Dismissal_5[[#This Row],[Elapsed]],0))</f>
        <v/>
      </c>
      <c r="AI68" s="106" t="str">
        <f>IF(ISBLANK(Term2_Early_Dismissal_5[[#This Row],[Activity]]),"",IF(_xlfn.XLOOKUP(Term2_Early_Dismissal_5[[#This Row],[Activity]],Types_of_Activity[Type of Activity],Types_of_Activity[Classification])=2,Term2_Early_Dismissal_5[[#This Row],[Elapsed]],0))</f>
        <v/>
      </c>
      <c r="AK68" s="136"/>
      <c r="AL68" s="136"/>
      <c r="AM68" s="103"/>
      <c r="AN68" s="106" t="str">
        <f>IF(OR(ISBLANK(Term2_Early_Dismissal_6[[#This Row],[Start]]),ISBLANK(Term2_Early_Dismissal_6[[#This Row],[End]])),"",(Term2_Early_Dismissal_6[[#This Row],[End]]-Term2_Early_Dismissal_6[[#This Row],[Start]])*1440)</f>
        <v/>
      </c>
      <c r="AO68" s="106" t="str">
        <f>IF(ISBLANK(Term2_Early_Dismissal_6[[#This Row],[Activity]]),"",IF(_xlfn.XLOOKUP(Term2_Early_Dismissal_6[[#This Row],[Activity]],Types_of_Activity[Type of Activity],Types_of_Activity[Classification])=1,Term2_Early_Dismissal_6[[#This Row],[Elapsed]],0))</f>
        <v/>
      </c>
      <c r="AP68" s="106" t="str">
        <f>IF(ISBLANK(Term2_Early_Dismissal_6[[#This Row],[Activity]]),"",IF(_xlfn.XLOOKUP(Term2_Early_Dismissal_6[[#This Row],[Activity]],Types_of_Activity[Type of Activity],Types_of_Activity[Classification])=2,Term2_Early_Dismissal_6[[#This Row],[Elapsed]],0))</f>
        <v/>
      </c>
    </row>
    <row r="69" spans="2:42" x14ac:dyDescent="0.3">
      <c r="B69" s="136"/>
      <c r="C69" s="136"/>
      <c r="D69" s="103"/>
      <c r="E69" s="106" t="str">
        <f>IF(OR(ISBLANK(Term2_Early_Dismissal_1[[#This Row],[Start]]),ISBLANK(Term2_Early_Dismissal_1[[#This Row],[End]])),"",(Term2_Early_Dismissal_1[[#This Row],[End]]-Term2_Early_Dismissal_1[[#This Row],[Start]])*1440)</f>
        <v/>
      </c>
      <c r="F69" s="106" t="str">
        <f>IF(ISBLANK(Term2_Early_Dismissal_1[[#This Row],[Activity]]),"",IF(_xlfn.XLOOKUP(Term2_Early_Dismissal_1[[#This Row],[Activity]],Types_of_Activity[Type of Activity],Types_of_Activity[Classification])=1,Term2_Early_Dismissal_1[[#This Row],[Elapsed]],0))</f>
        <v/>
      </c>
      <c r="G69" s="106" t="str">
        <f>IF(ISBLANK(Term2_Early_Dismissal_1[[#This Row],[Activity]]),"",IF(_xlfn.XLOOKUP(Term2_Early_Dismissal_1[[#This Row],[Activity]],Types_of_Activity[Type of Activity],Types_of_Activity[Classification])=2,Term2_Early_Dismissal_1[[#This Row],[Elapsed]],0))</f>
        <v/>
      </c>
      <c r="H69"/>
      <c r="I69" s="136"/>
      <c r="J69" s="136"/>
      <c r="K69" s="103"/>
      <c r="L69" s="106" t="str">
        <f>IF(OR(ISBLANK(Term2_Early_Dismissal_2[[#This Row],[Start]]),ISBLANK(Term2_Early_Dismissal_2[[#This Row],[End]])),"",(Term2_Early_Dismissal_2[[#This Row],[End]]-Term2_Early_Dismissal_2[[#This Row],[Start]])*1440)</f>
        <v/>
      </c>
      <c r="M69" s="106" t="str">
        <f>IF(ISBLANK(Term2_Early_Dismissal_2[[#This Row],[Activity]]),"",IF(_xlfn.XLOOKUP(Term2_Early_Dismissal_2[[#This Row],[Activity]],Types_of_Activity[Type of Activity],Types_of_Activity[Classification])=1,Term2_Early_Dismissal_2[[#This Row],[Elapsed]],0))</f>
        <v/>
      </c>
      <c r="N69" s="106" t="str">
        <f>IF(ISBLANK(Term2_Early_Dismissal_2[[#This Row],[Activity]]),"",IF(_xlfn.XLOOKUP(Term2_Early_Dismissal_2[[#This Row],[Activity]],Types_of_Activity[Type of Activity],Types_of_Activity[Classification])=2,Term2_Early_Dismissal_2[[#This Row],[Elapsed]],0))</f>
        <v/>
      </c>
      <c r="O69"/>
      <c r="P69" s="136"/>
      <c r="Q69" s="136"/>
      <c r="R69" s="103"/>
      <c r="S69" s="106" t="str">
        <f>IF(OR(ISBLANK(Term2_Early_Dismissal_3[[#This Row],[Start]]),ISBLANK(Term2_Early_Dismissal_3[[#This Row],[End]])),"",(Term2_Early_Dismissal_3[[#This Row],[End]]-Term2_Early_Dismissal_3[[#This Row],[Start]])*1440)</f>
        <v/>
      </c>
      <c r="T69" s="106" t="str">
        <f>IF(ISBLANK(Term2_Early_Dismissal_3[[#This Row],[Activity]]),"",IF(_xlfn.XLOOKUP(Term2_Early_Dismissal_3[[#This Row],[Activity]],Types_of_Activity[Type of Activity],Types_of_Activity[Classification])=1,Term2_Early_Dismissal_3[[#This Row],[Elapsed]],0))</f>
        <v/>
      </c>
      <c r="U69" s="106" t="str">
        <f>IF(ISBLANK(Term2_Early_Dismissal_3[[#This Row],[Activity]]),"",IF(_xlfn.XLOOKUP(Term2_Early_Dismissal_3[[#This Row],[Activity]],Types_of_Activity[Type of Activity],Types_of_Activity[Classification])=2,Term2_Early_Dismissal_3[[#This Row],[Elapsed]],0))</f>
        <v/>
      </c>
      <c r="W69" s="136"/>
      <c r="X69" s="136"/>
      <c r="Y69" s="103"/>
      <c r="Z69" s="106" t="str">
        <f>IF(OR(ISBLANK(Term2_Early_Dismissal_4[[#This Row],[Start]]),ISBLANK(Term2_Early_Dismissal_4[[#This Row],[End]])),"",(Term2_Early_Dismissal_4[[#This Row],[End]]-Term2_Early_Dismissal_4[[#This Row],[Start]])*1440)</f>
        <v/>
      </c>
      <c r="AA69" s="106" t="str">
        <f>IF(ISBLANK(Term2_Early_Dismissal_4[[#This Row],[Activity]]),"",IF(_xlfn.XLOOKUP(Term2_Early_Dismissal_4[[#This Row],[Activity]],Types_of_Activity[Type of Activity],Types_of_Activity[Classification])=1,Term2_Early_Dismissal_4[[#This Row],[Elapsed]],0))</f>
        <v/>
      </c>
      <c r="AB69" s="106" t="str">
        <f>IF(ISBLANK(Term2_Early_Dismissal_4[[#This Row],[Activity]]),"",IF(_xlfn.XLOOKUP(Term2_Early_Dismissal_4[[#This Row],[Activity]],Types_of_Activity[Type of Activity],Types_of_Activity[Classification])=2,Term2_Early_Dismissal_4[[#This Row],[Elapsed]],0))</f>
        <v/>
      </c>
      <c r="AD69" s="136"/>
      <c r="AE69" s="136"/>
      <c r="AF69" s="103"/>
      <c r="AG69" s="106" t="str">
        <f>IF(OR(ISBLANK(Term2_Early_Dismissal_5[[#This Row],[Start]]),ISBLANK(Term2_Early_Dismissal_5[[#This Row],[End]])),"",(Term2_Early_Dismissal_5[[#This Row],[End]]-Term2_Early_Dismissal_5[[#This Row],[Start]])*1440)</f>
        <v/>
      </c>
      <c r="AH69" s="106" t="str">
        <f>IF(ISBLANK(Term2_Early_Dismissal_5[[#This Row],[Activity]]),"",IF(_xlfn.XLOOKUP(Term2_Early_Dismissal_5[[#This Row],[Activity]],Types_of_Activity[Type of Activity],Types_of_Activity[Classification])=1,Term2_Early_Dismissal_5[[#This Row],[Elapsed]],0))</f>
        <v/>
      </c>
      <c r="AI69" s="106" t="str">
        <f>IF(ISBLANK(Term2_Early_Dismissal_5[[#This Row],[Activity]]),"",IF(_xlfn.XLOOKUP(Term2_Early_Dismissal_5[[#This Row],[Activity]],Types_of_Activity[Type of Activity],Types_of_Activity[Classification])=2,Term2_Early_Dismissal_5[[#This Row],[Elapsed]],0))</f>
        <v/>
      </c>
      <c r="AK69" s="136"/>
      <c r="AL69" s="136"/>
      <c r="AM69" s="103"/>
      <c r="AN69" s="106" t="str">
        <f>IF(OR(ISBLANK(Term2_Early_Dismissal_6[[#This Row],[Start]]),ISBLANK(Term2_Early_Dismissal_6[[#This Row],[End]])),"",(Term2_Early_Dismissal_6[[#This Row],[End]]-Term2_Early_Dismissal_6[[#This Row],[Start]])*1440)</f>
        <v/>
      </c>
      <c r="AO69" s="106" t="str">
        <f>IF(ISBLANK(Term2_Early_Dismissal_6[[#This Row],[Activity]]),"",IF(_xlfn.XLOOKUP(Term2_Early_Dismissal_6[[#This Row],[Activity]],Types_of_Activity[Type of Activity],Types_of_Activity[Classification])=1,Term2_Early_Dismissal_6[[#This Row],[Elapsed]],0))</f>
        <v/>
      </c>
      <c r="AP69" s="106" t="str">
        <f>IF(ISBLANK(Term2_Early_Dismissal_6[[#This Row],[Activity]]),"",IF(_xlfn.XLOOKUP(Term2_Early_Dismissal_6[[#This Row],[Activity]],Types_of_Activity[Type of Activity],Types_of_Activity[Classification])=2,Term2_Early_Dismissal_6[[#This Row],[Elapsed]],0))</f>
        <v/>
      </c>
    </row>
    <row r="70" spans="2:42" x14ac:dyDescent="0.3">
      <c r="B70" s="136"/>
      <c r="C70" s="136"/>
      <c r="D70" s="103"/>
      <c r="E70" s="106" t="str">
        <f>IF(OR(ISBLANK(Term2_Early_Dismissal_1[[#This Row],[Start]]),ISBLANK(Term2_Early_Dismissal_1[[#This Row],[End]])),"",(Term2_Early_Dismissal_1[[#This Row],[End]]-Term2_Early_Dismissal_1[[#This Row],[Start]])*1440)</f>
        <v/>
      </c>
      <c r="F70" s="106" t="str">
        <f>IF(ISBLANK(Term2_Early_Dismissal_1[[#This Row],[Activity]]),"",IF(_xlfn.XLOOKUP(Term2_Early_Dismissal_1[[#This Row],[Activity]],Types_of_Activity[Type of Activity],Types_of_Activity[Classification])=1,Term2_Early_Dismissal_1[[#This Row],[Elapsed]],0))</f>
        <v/>
      </c>
      <c r="G70" s="106" t="str">
        <f>IF(ISBLANK(Term2_Early_Dismissal_1[[#This Row],[Activity]]),"",IF(_xlfn.XLOOKUP(Term2_Early_Dismissal_1[[#This Row],[Activity]],Types_of_Activity[Type of Activity],Types_of_Activity[Classification])=2,Term2_Early_Dismissal_1[[#This Row],[Elapsed]],0))</f>
        <v/>
      </c>
      <c r="H70"/>
      <c r="I70" s="136"/>
      <c r="J70" s="136"/>
      <c r="K70" s="103"/>
      <c r="L70" s="106" t="str">
        <f>IF(OR(ISBLANK(Term2_Early_Dismissal_2[[#This Row],[Start]]),ISBLANK(Term2_Early_Dismissal_2[[#This Row],[End]])),"",(Term2_Early_Dismissal_2[[#This Row],[End]]-Term2_Early_Dismissal_2[[#This Row],[Start]])*1440)</f>
        <v/>
      </c>
      <c r="M70" s="106" t="str">
        <f>IF(ISBLANK(Term2_Early_Dismissal_2[[#This Row],[Activity]]),"",IF(_xlfn.XLOOKUP(Term2_Early_Dismissal_2[[#This Row],[Activity]],Types_of_Activity[Type of Activity],Types_of_Activity[Classification])=1,Term2_Early_Dismissal_2[[#This Row],[Elapsed]],0))</f>
        <v/>
      </c>
      <c r="N70" s="106" t="str">
        <f>IF(ISBLANK(Term2_Early_Dismissal_2[[#This Row],[Activity]]),"",IF(_xlfn.XLOOKUP(Term2_Early_Dismissal_2[[#This Row],[Activity]],Types_of_Activity[Type of Activity],Types_of_Activity[Classification])=2,Term2_Early_Dismissal_2[[#This Row],[Elapsed]],0))</f>
        <v/>
      </c>
      <c r="O70"/>
      <c r="P70" s="136"/>
      <c r="Q70" s="136"/>
      <c r="R70" s="103"/>
      <c r="S70" s="106" t="str">
        <f>IF(OR(ISBLANK(Term2_Early_Dismissal_3[[#This Row],[Start]]),ISBLANK(Term2_Early_Dismissal_3[[#This Row],[End]])),"",(Term2_Early_Dismissal_3[[#This Row],[End]]-Term2_Early_Dismissal_3[[#This Row],[Start]])*1440)</f>
        <v/>
      </c>
      <c r="T70" s="106" t="str">
        <f>IF(ISBLANK(Term2_Early_Dismissal_3[[#This Row],[Activity]]),"",IF(_xlfn.XLOOKUP(Term2_Early_Dismissal_3[[#This Row],[Activity]],Types_of_Activity[Type of Activity],Types_of_Activity[Classification])=1,Term2_Early_Dismissal_3[[#This Row],[Elapsed]],0))</f>
        <v/>
      </c>
      <c r="U70" s="106" t="str">
        <f>IF(ISBLANK(Term2_Early_Dismissal_3[[#This Row],[Activity]]),"",IF(_xlfn.XLOOKUP(Term2_Early_Dismissal_3[[#This Row],[Activity]],Types_of_Activity[Type of Activity],Types_of_Activity[Classification])=2,Term2_Early_Dismissal_3[[#This Row],[Elapsed]],0))</f>
        <v/>
      </c>
      <c r="W70" s="136"/>
      <c r="X70" s="136"/>
      <c r="Y70" s="103"/>
      <c r="Z70" s="106" t="str">
        <f>IF(OR(ISBLANK(Term2_Early_Dismissal_4[[#This Row],[Start]]),ISBLANK(Term2_Early_Dismissal_4[[#This Row],[End]])),"",(Term2_Early_Dismissal_4[[#This Row],[End]]-Term2_Early_Dismissal_4[[#This Row],[Start]])*1440)</f>
        <v/>
      </c>
      <c r="AA70" s="106" t="str">
        <f>IF(ISBLANK(Term2_Early_Dismissal_4[[#This Row],[Activity]]),"",IF(_xlfn.XLOOKUP(Term2_Early_Dismissal_4[[#This Row],[Activity]],Types_of_Activity[Type of Activity],Types_of_Activity[Classification])=1,Term2_Early_Dismissal_4[[#This Row],[Elapsed]],0))</f>
        <v/>
      </c>
      <c r="AB70" s="106" t="str">
        <f>IF(ISBLANK(Term2_Early_Dismissal_4[[#This Row],[Activity]]),"",IF(_xlfn.XLOOKUP(Term2_Early_Dismissal_4[[#This Row],[Activity]],Types_of_Activity[Type of Activity],Types_of_Activity[Classification])=2,Term2_Early_Dismissal_4[[#This Row],[Elapsed]],0))</f>
        <v/>
      </c>
      <c r="AD70" s="136"/>
      <c r="AE70" s="136"/>
      <c r="AF70" s="103"/>
      <c r="AG70" s="106" t="str">
        <f>IF(OR(ISBLANK(Term2_Early_Dismissal_5[[#This Row],[Start]]),ISBLANK(Term2_Early_Dismissal_5[[#This Row],[End]])),"",(Term2_Early_Dismissal_5[[#This Row],[End]]-Term2_Early_Dismissal_5[[#This Row],[Start]])*1440)</f>
        <v/>
      </c>
      <c r="AH70" s="106" t="str">
        <f>IF(ISBLANK(Term2_Early_Dismissal_5[[#This Row],[Activity]]),"",IF(_xlfn.XLOOKUP(Term2_Early_Dismissal_5[[#This Row],[Activity]],Types_of_Activity[Type of Activity],Types_of_Activity[Classification])=1,Term2_Early_Dismissal_5[[#This Row],[Elapsed]],0))</f>
        <v/>
      </c>
      <c r="AI70" s="106" t="str">
        <f>IF(ISBLANK(Term2_Early_Dismissal_5[[#This Row],[Activity]]),"",IF(_xlfn.XLOOKUP(Term2_Early_Dismissal_5[[#This Row],[Activity]],Types_of_Activity[Type of Activity],Types_of_Activity[Classification])=2,Term2_Early_Dismissal_5[[#This Row],[Elapsed]],0))</f>
        <v/>
      </c>
      <c r="AK70" s="136"/>
      <c r="AL70" s="136"/>
      <c r="AM70" s="103"/>
      <c r="AN70" s="106" t="str">
        <f>IF(OR(ISBLANK(Term2_Early_Dismissal_6[[#This Row],[Start]]),ISBLANK(Term2_Early_Dismissal_6[[#This Row],[End]])),"",(Term2_Early_Dismissal_6[[#This Row],[End]]-Term2_Early_Dismissal_6[[#This Row],[Start]])*1440)</f>
        <v/>
      </c>
      <c r="AO70" s="106" t="str">
        <f>IF(ISBLANK(Term2_Early_Dismissal_6[[#This Row],[Activity]]),"",IF(_xlfn.XLOOKUP(Term2_Early_Dismissal_6[[#This Row],[Activity]],Types_of_Activity[Type of Activity],Types_of_Activity[Classification])=1,Term2_Early_Dismissal_6[[#This Row],[Elapsed]],0))</f>
        <v/>
      </c>
      <c r="AP70" s="106" t="str">
        <f>IF(ISBLANK(Term2_Early_Dismissal_6[[#This Row],[Activity]]),"",IF(_xlfn.XLOOKUP(Term2_Early_Dismissal_6[[#This Row],[Activity]],Types_of_Activity[Type of Activity],Types_of_Activity[Classification])=2,Term2_Early_Dismissal_6[[#This Row],[Elapsed]],0))</f>
        <v/>
      </c>
    </row>
    <row r="71" spans="2:42" x14ac:dyDescent="0.3">
      <c r="B71" s="136"/>
      <c r="C71" s="136"/>
      <c r="D71" s="103"/>
      <c r="E71" s="106" t="str">
        <f>IF(OR(ISBLANK(Term2_Early_Dismissal_1[[#This Row],[Start]]),ISBLANK(Term2_Early_Dismissal_1[[#This Row],[End]])),"",(Term2_Early_Dismissal_1[[#This Row],[End]]-Term2_Early_Dismissal_1[[#This Row],[Start]])*1440)</f>
        <v/>
      </c>
      <c r="F71" s="106" t="str">
        <f>IF(ISBLANK(Term2_Early_Dismissal_1[[#This Row],[Activity]]),"",IF(_xlfn.XLOOKUP(Term2_Early_Dismissal_1[[#This Row],[Activity]],Types_of_Activity[Type of Activity],Types_of_Activity[Classification])=1,Term2_Early_Dismissal_1[[#This Row],[Elapsed]],0))</f>
        <v/>
      </c>
      <c r="G71" s="106" t="str">
        <f>IF(ISBLANK(Term2_Early_Dismissal_1[[#This Row],[Activity]]),"",IF(_xlfn.XLOOKUP(Term2_Early_Dismissal_1[[#This Row],[Activity]],Types_of_Activity[Type of Activity],Types_of_Activity[Classification])=2,Term2_Early_Dismissal_1[[#This Row],[Elapsed]],0))</f>
        <v/>
      </c>
      <c r="H71"/>
      <c r="I71" s="136"/>
      <c r="J71" s="136"/>
      <c r="K71" s="103"/>
      <c r="L71" s="106" t="str">
        <f>IF(OR(ISBLANK(Term2_Early_Dismissal_2[[#This Row],[Start]]),ISBLANK(Term2_Early_Dismissal_2[[#This Row],[End]])),"",(Term2_Early_Dismissal_2[[#This Row],[End]]-Term2_Early_Dismissal_2[[#This Row],[Start]])*1440)</f>
        <v/>
      </c>
      <c r="M71" s="106" t="str">
        <f>IF(ISBLANK(Term2_Early_Dismissal_2[[#This Row],[Activity]]),"",IF(_xlfn.XLOOKUP(Term2_Early_Dismissal_2[[#This Row],[Activity]],Types_of_Activity[Type of Activity],Types_of_Activity[Classification])=1,Term2_Early_Dismissal_2[[#This Row],[Elapsed]],0))</f>
        <v/>
      </c>
      <c r="N71" s="106" t="str">
        <f>IF(ISBLANK(Term2_Early_Dismissal_2[[#This Row],[Activity]]),"",IF(_xlfn.XLOOKUP(Term2_Early_Dismissal_2[[#This Row],[Activity]],Types_of_Activity[Type of Activity],Types_of_Activity[Classification])=2,Term2_Early_Dismissal_2[[#This Row],[Elapsed]],0))</f>
        <v/>
      </c>
      <c r="O71"/>
      <c r="P71" s="136"/>
      <c r="Q71" s="136"/>
      <c r="R71" s="103"/>
      <c r="S71" s="106" t="str">
        <f>IF(OR(ISBLANK(Term2_Early_Dismissal_3[[#This Row],[Start]]),ISBLANK(Term2_Early_Dismissal_3[[#This Row],[End]])),"",(Term2_Early_Dismissal_3[[#This Row],[End]]-Term2_Early_Dismissal_3[[#This Row],[Start]])*1440)</f>
        <v/>
      </c>
      <c r="T71" s="106" t="str">
        <f>IF(ISBLANK(Term2_Early_Dismissal_3[[#This Row],[Activity]]),"",IF(_xlfn.XLOOKUP(Term2_Early_Dismissal_3[[#This Row],[Activity]],Types_of_Activity[Type of Activity],Types_of_Activity[Classification])=1,Term2_Early_Dismissal_3[[#This Row],[Elapsed]],0))</f>
        <v/>
      </c>
      <c r="U71" s="106" t="str">
        <f>IF(ISBLANK(Term2_Early_Dismissal_3[[#This Row],[Activity]]),"",IF(_xlfn.XLOOKUP(Term2_Early_Dismissal_3[[#This Row],[Activity]],Types_of_Activity[Type of Activity],Types_of_Activity[Classification])=2,Term2_Early_Dismissal_3[[#This Row],[Elapsed]],0))</f>
        <v/>
      </c>
      <c r="W71" s="136"/>
      <c r="X71" s="136"/>
      <c r="Y71" s="103"/>
      <c r="Z71" s="106" t="str">
        <f>IF(OR(ISBLANK(Term2_Early_Dismissal_4[[#This Row],[Start]]),ISBLANK(Term2_Early_Dismissal_4[[#This Row],[End]])),"",(Term2_Early_Dismissal_4[[#This Row],[End]]-Term2_Early_Dismissal_4[[#This Row],[Start]])*1440)</f>
        <v/>
      </c>
      <c r="AA71" s="106" t="str">
        <f>IF(ISBLANK(Term2_Early_Dismissal_4[[#This Row],[Activity]]),"",IF(_xlfn.XLOOKUP(Term2_Early_Dismissal_4[[#This Row],[Activity]],Types_of_Activity[Type of Activity],Types_of_Activity[Classification])=1,Term2_Early_Dismissal_4[[#This Row],[Elapsed]],0))</f>
        <v/>
      </c>
      <c r="AB71" s="106" t="str">
        <f>IF(ISBLANK(Term2_Early_Dismissal_4[[#This Row],[Activity]]),"",IF(_xlfn.XLOOKUP(Term2_Early_Dismissal_4[[#This Row],[Activity]],Types_of_Activity[Type of Activity],Types_of_Activity[Classification])=2,Term2_Early_Dismissal_4[[#This Row],[Elapsed]],0))</f>
        <v/>
      </c>
      <c r="AD71" s="136"/>
      <c r="AE71" s="136"/>
      <c r="AF71" s="103"/>
      <c r="AG71" s="106" t="str">
        <f>IF(OR(ISBLANK(Term2_Early_Dismissal_5[[#This Row],[Start]]),ISBLANK(Term2_Early_Dismissal_5[[#This Row],[End]])),"",(Term2_Early_Dismissal_5[[#This Row],[End]]-Term2_Early_Dismissal_5[[#This Row],[Start]])*1440)</f>
        <v/>
      </c>
      <c r="AH71" s="106" t="str">
        <f>IF(ISBLANK(Term2_Early_Dismissal_5[[#This Row],[Activity]]),"",IF(_xlfn.XLOOKUP(Term2_Early_Dismissal_5[[#This Row],[Activity]],Types_of_Activity[Type of Activity],Types_of_Activity[Classification])=1,Term2_Early_Dismissal_5[[#This Row],[Elapsed]],0))</f>
        <v/>
      </c>
      <c r="AI71" s="106" t="str">
        <f>IF(ISBLANK(Term2_Early_Dismissal_5[[#This Row],[Activity]]),"",IF(_xlfn.XLOOKUP(Term2_Early_Dismissal_5[[#This Row],[Activity]],Types_of_Activity[Type of Activity],Types_of_Activity[Classification])=2,Term2_Early_Dismissal_5[[#This Row],[Elapsed]],0))</f>
        <v/>
      </c>
      <c r="AK71" s="136"/>
      <c r="AL71" s="136"/>
      <c r="AM71" s="103"/>
      <c r="AN71" s="106" t="str">
        <f>IF(OR(ISBLANK(Term2_Early_Dismissal_6[[#This Row],[Start]]),ISBLANK(Term2_Early_Dismissal_6[[#This Row],[End]])),"",(Term2_Early_Dismissal_6[[#This Row],[End]]-Term2_Early_Dismissal_6[[#This Row],[Start]])*1440)</f>
        <v/>
      </c>
      <c r="AO71" s="106" t="str">
        <f>IF(ISBLANK(Term2_Early_Dismissal_6[[#This Row],[Activity]]),"",IF(_xlfn.XLOOKUP(Term2_Early_Dismissal_6[[#This Row],[Activity]],Types_of_Activity[Type of Activity],Types_of_Activity[Classification])=1,Term2_Early_Dismissal_6[[#This Row],[Elapsed]],0))</f>
        <v/>
      </c>
      <c r="AP71" s="106" t="str">
        <f>IF(ISBLANK(Term2_Early_Dismissal_6[[#This Row],[Activity]]),"",IF(_xlfn.XLOOKUP(Term2_Early_Dismissal_6[[#This Row],[Activity]],Types_of_Activity[Type of Activity],Types_of_Activity[Classification])=2,Term2_Early_Dismissal_6[[#This Row],[Elapsed]],0))</f>
        <v/>
      </c>
    </row>
    <row r="72" spans="2:42" x14ac:dyDescent="0.3">
      <c r="B72" s="136"/>
      <c r="C72" s="136"/>
      <c r="D72" s="103"/>
      <c r="E72" s="106" t="str">
        <f>IF(OR(ISBLANK(Term2_Early_Dismissal_1[[#This Row],[Start]]),ISBLANK(Term2_Early_Dismissal_1[[#This Row],[End]])),"",(Term2_Early_Dismissal_1[[#This Row],[End]]-Term2_Early_Dismissal_1[[#This Row],[Start]])*1440)</f>
        <v/>
      </c>
      <c r="F72" s="106" t="str">
        <f>IF(ISBLANK(Term2_Early_Dismissal_1[[#This Row],[Activity]]),"",IF(_xlfn.XLOOKUP(Term2_Early_Dismissal_1[[#This Row],[Activity]],Types_of_Activity[Type of Activity],Types_of_Activity[Classification])=1,Term2_Early_Dismissal_1[[#This Row],[Elapsed]],0))</f>
        <v/>
      </c>
      <c r="G72" s="106" t="str">
        <f>IF(ISBLANK(Term2_Early_Dismissal_1[[#This Row],[Activity]]),"",IF(_xlfn.XLOOKUP(Term2_Early_Dismissal_1[[#This Row],[Activity]],Types_of_Activity[Type of Activity],Types_of_Activity[Classification])=2,Term2_Early_Dismissal_1[[#This Row],[Elapsed]],0))</f>
        <v/>
      </c>
      <c r="H72"/>
      <c r="I72" s="136"/>
      <c r="J72" s="136"/>
      <c r="K72" s="103"/>
      <c r="L72" s="106" t="str">
        <f>IF(OR(ISBLANK(Term2_Early_Dismissal_2[[#This Row],[Start]]),ISBLANK(Term2_Early_Dismissal_2[[#This Row],[End]])),"",(Term2_Early_Dismissal_2[[#This Row],[End]]-Term2_Early_Dismissal_2[[#This Row],[Start]])*1440)</f>
        <v/>
      </c>
      <c r="M72" s="106" t="str">
        <f>IF(ISBLANK(Term2_Early_Dismissal_2[[#This Row],[Activity]]),"",IF(_xlfn.XLOOKUP(Term2_Early_Dismissal_2[[#This Row],[Activity]],Types_of_Activity[Type of Activity],Types_of_Activity[Classification])=1,Term2_Early_Dismissal_2[[#This Row],[Elapsed]],0))</f>
        <v/>
      </c>
      <c r="N72" s="106" t="str">
        <f>IF(ISBLANK(Term2_Early_Dismissal_2[[#This Row],[Activity]]),"",IF(_xlfn.XLOOKUP(Term2_Early_Dismissal_2[[#This Row],[Activity]],Types_of_Activity[Type of Activity],Types_of_Activity[Classification])=2,Term2_Early_Dismissal_2[[#This Row],[Elapsed]],0))</f>
        <v/>
      </c>
      <c r="O72"/>
      <c r="P72" s="136"/>
      <c r="Q72" s="136"/>
      <c r="R72" s="103"/>
      <c r="S72" s="106" t="str">
        <f>IF(OR(ISBLANK(Term2_Early_Dismissal_3[[#This Row],[Start]]),ISBLANK(Term2_Early_Dismissal_3[[#This Row],[End]])),"",(Term2_Early_Dismissal_3[[#This Row],[End]]-Term2_Early_Dismissal_3[[#This Row],[Start]])*1440)</f>
        <v/>
      </c>
      <c r="T72" s="106" t="str">
        <f>IF(ISBLANK(Term2_Early_Dismissal_3[[#This Row],[Activity]]),"",IF(_xlfn.XLOOKUP(Term2_Early_Dismissal_3[[#This Row],[Activity]],Types_of_Activity[Type of Activity],Types_of_Activity[Classification])=1,Term2_Early_Dismissal_3[[#This Row],[Elapsed]],0))</f>
        <v/>
      </c>
      <c r="U72" s="106" t="str">
        <f>IF(ISBLANK(Term2_Early_Dismissal_3[[#This Row],[Activity]]),"",IF(_xlfn.XLOOKUP(Term2_Early_Dismissal_3[[#This Row],[Activity]],Types_of_Activity[Type of Activity],Types_of_Activity[Classification])=2,Term2_Early_Dismissal_3[[#This Row],[Elapsed]],0))</f>
        <v/>
      </c>
      <c r="W72" s="136"/>
      <c r="X72" s="136"/>
      <c r="Y72" s="103"/>
      <c r="Z72" s="106" t="str">
        <f>IF(OR(ISBLANK(Term2_Early_Dismissal_4[[#This Row],[Start]]),ISBLANK(Term2_Early_Dismissal_4[[#This Row],[End]])),"",(Term2_Early_Dismissal_4[[#This Row],[End]]-Term2_Early_Dismissal_4[[#This Row],[Start]])*1440)</f>
        <v/>
      </c>
      <c r="AA72" s="106" t="str">
        <f>IF(ISBLANK(Term2_Early_Dismissal_4[[#This Row],[Activity]]),"",IF(_xlfn.XLOOKUP(Term2_Early_Dismissal_4[[#This Row],[Activity]],Types_of_Activity[Type of Activity],Types_of_Activity[Classification])=1,Term2_Early_Dismissal_4[[#This Row],[Elapsed]],0))</f>
        <v/>
      </c>
      <c r="AB72" s="106" t="str">
        <f>IF(ISBLANK(Term2_Early_Dismissal_4[[#This Row],[Activity]]),"",IF(_xlfn.XLOOKUP(Term2_Early_Dismissal_4[[#This Row],[Activity]],Types_of_Activity[Type of Activity],Types_of_Activity[Classification])=2,Term2_Early_Dismissal_4[[#This Row],[Elapsed]],0))</f>
        <v/>
      </c>
      <c r="AD72" s="136"/>
      <c r="AE72" s="136"/>
      <c r="AF72" s="103"/>
      <c r="AG72" s="106" t="str">
        <f>IF(OR(ISBLANK(Term2_Early_Dismissal_5[[#This Row],[Start]]),ISBLANK(Term2_Early_Dismissal_5[[#This Row],[End]])),"",(Term2_Early_Dismissal_5[[#This Row],[End]]-Term2_Early_Dismissal_5[[#This Row],[Start]])*1440)</f>
        <v/>
      </c>
      <c r="AH72" s="106" t="str">
        <f>IF(ISBLANK(Term2_Early_Dismissal_5[[#This Row],[Activity]]),"",IF(_xlfn.XLOOKUP(Term2_Early_Dismissal_5[[#This Row],[Activity]],Types_of_Activity[Type of Activity],Types_of_Activity[Classification])=1,Term2_Early_Dismissal_5[[#This Row],[Elapsed]],0))</f>
        <v/>
      </c>
      <c r="AI72" s="106" t="str">
        <f>IF(ISBLANK(Term2_Early_Dismissal_5[[#This Row],[Activity]]),"",IF(_xlfn.XLOOKUP(Term2_Early_Dismissal_5[[#This Row],[Activity]],Types_of_Activity[Type of Activity],Types_of_Activity[Classification])=2,Term2_Early_Dismissal_5[[#This Row],[Elapsed]],0))</f>
        <v/>
      </c>
      <c r="AK72" s="136"/>
      <c r="AL72" s="136"/>
      <c r="AM72" s="103"/>
      <c r="AN72" s="106" t="str">
        <f>IF(OR(ISBLANK(Term2_Early_Dismissal_6[[#This Row],[Start]]),ISBLANK(Term2_Early_Dismissal_6[[#This Row],[End]])),"",(Term2_Early_Dismissal_6[[#This Row],[End]]-Term2_Early_Dismissal_6[[#This Row],[Start]])*1440)</f>
        <v/>
      </c>
      <c r="AO72" s="106" t="str">
        <f>IF(ISBLANK(Term2_Early_Dismissal_6[[#This Row],[Activity]]),"",IF(_xlfn.XLOOKUP(Term2_Early_Dismissal_6[[#This Row],[Activity]],Types_of_Activity[Type of Activity],Types_of_Activity[Classification])=1,Term2_Early_Dismissal_6[[#This Row],[Elapsed]],0))</f>
        <v/>
      </c>
      <c r="AP72" s="106" t="str">
        <f>IF(ISBLANK(Term2_Early_Dismissal_6[[#This Row],[Activity]]),"",IF(_xlfn.XLOOKUP(Term2_Early_Dismissal_6[[#This Row],[Activity]],Types_of_Activity[Type of Activity],Types_of_Activity[Classification])=2,Term2_Early_Dismissal_6[[#This Row],[Elapsed]],0))</f>
        <v/>
      </c>
    </row>
    <row r="73" spans="2:42" x14ac:dyDescent="0.3">
      <c r="B73" s="136"/>
      <c r="C73" s="136"/>
      <c r="D73" s="103"/>
      <c r="E73" s="106" t="str">
        <f>IF(OR(ISBLANK(Term2_Early_Dismissal_1[[#This Row],[Start]]),ISBLANK(Term2_Early_Dismissal_1[[#This Row],[End]])),"",(Term2_Early_Dismissal_1[[#This Row],[End]]-Term2_Early_Dismissal_1[[#This Row],[Start]])*1440)</f>
        <v/>
      </c>
      <c r="F73" s="106" t="str">
        <f>IF(ISBLANK(Term2_Early_Dismissal_1[[#This Row],[Activity]]),"",IF(_xlfn.XLOOKUP(Term2_Early_Dismissal_1[[#This Row],[Activity]],Types_of_Activity[Type of Activity],Types_of_Activity[Classification])=1,Term2_Early_Dismissal_1[[#This Row],[Elapsed]],0))</f>
        <v/>
      </c>
      <c r="G73" s="106" t="str">
        <f>IF(ISBLANK(Term2_Early_Dismissal_1[[#This Row],[Activity]]),"",IF(_xlfn.XLOOKUP(Term2_Early_Dismissal_1[[#This Row],[Activity]],Types_of_Activity[Type of Activity],Types_of_Activity[Classification])=2,Term2_Early_Dismissal_1[[#This Row],[Elapsed]],0))</f>
        <v/>
      </c>
      <c r="H73"/>
      <c r="I73" s="136"/>
      <c r="J73" s="136"/>
      <c r="K73" s="103"/>
      <c r="L73" s="106" t="str">
        <f>IF(OR(ISBLANK(Term2_Early_Dismissal_2[[#This Row],[Start]]),ISBLANK(Term2_Early_Dismissal_2[[#This Row],[End]])),"",(Term2_Early_Dismissal_2[[#This Row],[End]]-Term2_Early_Dismissal_2[[#This Row],[Start]])*1440)</f>
        <v/>
      </c>
      <c r="M73" s="106" t="str">
        <f>IF(ISBLANK(Term2_Early_Dismissal_2[[#This Row],[Activity]]),"",IF(_xlfn.XLOOKUP(Term2_Early_Dismissal_2[[#This Row],[Activity]],Types_of_Activity[Type of Activity],Types_of_Activity[Classification])=1,Term2_Early_Dismissal_2[[#This Row],[Elapsed]],0))</f>
        <v/>
      </c>
      <c r="N73" s="106" t="str">
        <f>IF(ISBLANK(Term2_Early_Dismissal_2[[#This Row],[Activity]]),"",IF(_xlfn.XLOOKUP(Term2_Early_Dismissal_2[[#This Row],[Activity]],Types_of_Activity[Type of Activity],Types_of_Activity[Classification])=2,Term2_Early_Dismissal_2[[#This Row],[Elapsed]],0))</f>
        <v/>
      </c>
      <c r="O73"/>
      <c r="P73" s="136"/>
      <c r="Q73" s="136"/>
      <c r="R73" s="103"/>
      <c r="S73" s="106" t="str">
        <f>IF(OR(ISBLANK(Term2_Early_Dismissal_3[[#This Row],[Start]]),ISBLANK(Term2_Early_Dismissal_3[[#This Row],[End]])),"",(Term2_Early_Dismissal_3[[#This Row],[End]]-Term2_Early_Dismissal_3[[#This Row],[Start]])*1440)</f>
        <v/>
      </c>
      <c r="T73" s="106" t="str">
        <f>IF(ISBLANK(Term2_Early_Dismissal_3[[#This Row],[Activity]]),"",IF(_xlfn.XLOOKUP(Term2_Early_Dismissal_3[[#This Row],[Activity]],Types_of_Activity[Type of Activity],Types_of_Activity[Classification])=1,Term2_Early_Dismissal_3[[#This Row],[Elapsed]],0))</f>
        <v/>
      </c>
      <c r="U73" s="106" t="str">
        <f>IF(ISBLANK(Term2_Early_Dismissal_3[[#This Row],[Activity]]),"",IF(_xlfn.XLOOKUP(Term2_Early_Dismissal_3[[#This Row],[Activity]],Types_of_Activity[Type of Activity],Types_of_Activity[Classification])=2,Term2_Early_Dismissal_3[[#This Row],[Elapsed]],0))</f>
        <v/>
      </c>
      <c r="W73" s="136"/>
      <c r="X73" s="136"/>
      <c r="Y73" s="103"/>
      <c r="Z73" s="106" t="str">
        <f>IF(OR(ISBLANK(Term2_Early_Dismissal_4[[#This Row],[Start]]),ISBLANK(Term2_Early_Dismissal_4[[#This Row],[End]])),"",(Term2_Early_Dismissal_4[[#This Row],[End]]-Term2_Early_Dismissal_4[[#This Row],[Start]])*1440)</f>
        <v/>
      </c>
      <c r="AA73" s="106" t="str">
        <f>IF(ISBLANK(Term2_Early_Dismissal_4[[#This Row],[Activity]]),"",IF(_xlfn.XLOOKUP(Term2_Early_Dismissal_4[[#This Row],[Activity]],Types_of_Activity[Type of Activity],Types_of_Activity[Classification])=1,Term2_Early_Dismissal_4[[#This Row],[Elapsed]],0))</f>
        <v/>
      </c>
      <c r="AB73" s="106" t="str">
        <f>IF(ISBLANK(Term2_Early_Dismissal_4[[#This Row],[Activity]]),"",IF(_xlfn.XLOOKUP(Term2_Early_Dismissal_4[[#This Row],[Activity]],Types_of_Activity[Type of Activity],Types_of_Activity[Classification])=2,Term2_Early_Dismissal_4[[#This Row],[Elapsed]],0))</f>
        <v/>
      </c>
      <c r="AD73" s="136"/>
      <c r="AE73" s="136"/>
      <c r="AF73" s="103"/>
      <c r="AG73" s="106" t="str">
        <f>IF(OR(ISBLANK(Term2_Early_Dismissal_5[[#This Row],[Start]]),ISBLANK(Term2_Early_Dismissal_5[[#This Row],[End]])),"",(Term2_Early_Dismissal_5[[#This Row],[End]]-Term2_Early_Dismissal_5[[#This Row],[Start]])*1440)</f>
        <v/>
      </c>
      <c r="AH73" s="106" t="str">
        <f>IF(ISBLANK(Term2_Early_Dismissal_5[[#This Row],[Activity]]),"",IF(_xlfn.XLOOKUP(Term2_Early_Dismissal_5[[#This Row],[Activity]],Types_of_Activity[Type of Activity],Types_of_Activity[Classification])=1,Term2_Early_Dismissal_5[[#This Row],[Elapsed]],0))</f>
        <v/>
      </c>
      <c r="AI73" s="106" t="str">
        <f>IF(ISBLANK(Term2_Early_Dismissal_5[[#This Row],[Activity]]),"",IF(_xlfn.XLOOKUP(Term2_Early_Dismissal_5[[#This Row],[Activity]],Types_of_Activity[Type of Activity],Types_of_Activity[Classification])=2,Term2_Early_Dismissal_5[[#This Row],[Elapsed]],0))</f>
        <v/>
      </c>
      <c r="AK73" s="136"/>
      <c r="AL73" s="136"/>
      <c r="AM73" s="103"/>
      <c r="AN73" s="106" t="str">
        <f>IF(OR(ISBLANK(Term2_Early_Dismissal_6[[#This Row],[Start]]),ISBLANK(Term2_Early_Dismissal_6[[#This Row],[End]])),"",(Term2_Early_Dismissal_6[[#This Row],[End]]-Term2_Early_Dismissal_6[[#This Row],[Start]])*1440)</f>
        <v/>
      </c>
      <c r="AO73" s="106" t="str">
        <f>IF(ISBLANK(Term2_Early_Dismissal_6[[#This Row],[Activity]]),"",IF(_xlfn.XLOOKUP(Term2_Early_Dismissal_6[[#This Row],[Activity]],Types_of_Activity[Type of Activity],Types_of_Activity[Classification])=1,Term2_Early_Dismissal_6[[#This Row],[Elapsed]],0))</f>
        <v/>
      </c>
      <c r="AP73" s="106" t="str">
        <f>IF(ISBLANK(Term2_Early_Dismissal_6[[#This Row],[Activity]]),"",IF(_xlfn.XLOOKUP(Term2_Early_Dismissal_6[[#This Row],[Activity]],Types_of_Activity[Type of Activity],Types_of_Activity[Classification])=2,Term2_Early_Dismissal_6[[#This Row],[Elapsed]],0))</f>
        <v/>
      </c>
    </row>
    <row r="74" spans="2:42" x14ac:dyDescent="0.3">
      <c r="B74" s="136"/>
      <c r="C74" s="136"/>
      <c r="D74" s="103"/>
      <c r="E74" s="106" t="str">
        <f>IF(OR(ISBLANK(Term2_Early_Dismissal_1[[#This Row],[Start]]),ISBLANK(Term2_Early_Dismissal_1[[#This Row],[End]])),"",(Term2_Early_Dismissal_1[[#This Row],[End]]-Term2_Early_Dismissal_1[[#This Row],[Start]])*1440)</f>
        <v/>
      </c>
      <c r="F74" s="106" t="str">
        <f>IF(ISBLANK(Term2_Early_Dismissal_1[[#This Row],[Activity]]),"",IF(_xlfn.XLOOKUP(Term2_Early_Dismissal_1[[#This Row],[Activity]],Types_of_Activity[Type of Activity],Types_of_Activity[Classification])=1,Term2_Early_Dismissal_1[[#This Row],[Elapsed]],0))</f>
        <v/>
      </c>
      <c r="G74" s="106" t="str">
        <f>IF(ISBLANK(Term2_Early_Dismissal_1[[#This Row],[Activity]]),"",IF(_xlfn.XLOOKUP(Term2_Early_Dismissal_1[[#This Row],[Activity]],Types_of_Activity[Type of Activity],Types_of_Activity[Classification])=2,Term2_Early_Dismissal_1[[#This Row],[Elapsed]],0))</f>
        <v/>
      </c>
      <c r="H74"/>
      <c r="I74" s="136"/>
      <c r="J74" s="136"/>
      <c r="K74" s="103"/>
      <c r="L74" s="106" t="str">
        <f>IF(OR(ISBLANK(Term2_Early_Dismissal_2[[#This Row],[Start]]),ISBLANK(Term2_Early_Dismissal_2[[#This Row],[End]])),"",(Term2_Early_Dismissal_2[[#This Row],[End]]-Term2_Early_Dismissal_2[[#This Row],[Start]])*1440)</f>
        <v/>
      </c>
      <c r="M74" s="106" t="str">
        <f>IF(ISBLANK(Term2_Early_Dismissal_2[[#This Row],[Activity]]),"",IF(_xlfn.XLOOKUP(Term2_Early_Dismissal_2[[#This Row],[Activity]],Types_of_Activity[Type of Activity],Types_of_Activity[Classification])=1,Term2_Early_Dismissal_2[[#This Row],[Elapsed]],0))</f>
        <v/>
      </c>
      <c r="N74" s="106" t="str">
        <f>IF(ISBLANK(Term2_Early_Dismissal_2[[#This Row],[Activity]]),"",IF(_xlfn.XLOOKUP(Term2_Early_Dismissal_2[[#This Row],[Activity]],Types_of_Activity[Type of Activity],Types_of_Activity[Classification])=2,Term2_Early_Dismissal_2[[#This Row],[Elapsed]],0))</f>
        <v/>
      </c>
      <c r="O74"/>
      <c r="P74" s="136"/>
      <c r="Q74" s="136"/>
      <c r="R74" s="103"/>
      <c r="S74" s="106" t="str">
        <f>IF(OR(ISBLANK(Term2_Early_Dismissal_3[[#This Row],[Start]]),ISBLANK(Term2_Early_Dismissal_3[[#This Row],[End]])),"",(Term2_Early_Dismissal_3[[#This Row],[End]]-Term2_Early_Dismissal_3[[#This Row],[Start]])*1440)</f>
        <v/>
      </c>
      <c r="T74" s="106" t="str">
        <f>IF(ISBLANK(Term2_Early_Dismissal_3[[#This Row],[Activity]]),"",IF(_xlfn.XLOOKUP(Term2_Early_Dismissal_3[[#This Row],[Activity]],Types_of_Activity[Type of Activity],Types_of_Activity[Classification])=1,Term2_Early_Dismissal_3[[#This Row],[Elapsed]],0))</f>
        <v/>
      </c>
      <c r="U74" s="106" t="str">
        <f>IF(ISBLANK(Term2_Early_Dismissal_3[[#This Row],[Activity]]),"",IF(_xlfn.XLOOKUP(Term2_Early_Dismissal_3[[#This Row],[Activity]],Types_of_Activity[Type of Activity],Types_of_Activity[Classification])=2,Term2_Early_Dismissal_3[[#This Row],[Elapsed]],0))</f>
        <v/>
      </c>
      <c r="W74" s="136"/>
      <c r="X74" s="136"/>
      <c r="Y74" s="103"/>
      <c r="Z74" s="106" t="str">
        <f>IF(OR(ISBLANK(Term2_Early_Dismissal_4[[#This Row],[Start]]),ISBLANK(Term2_Early_Dismissal_4[[#This Row],[End]])),"",(Term2_Early_Dismissal_4[[#This Row],[End]]-Term2_Early_Dismissal_4[[#This Row],[Start]])*1440)</f>
        <v/>
      </c>
      <c r="AA74" s="106" t="str">
        <f>IF(ISBLANK(Term2_Early_Dismissal_4[[#This Row],[Activity]]),"",IF(_xlfn.XLOOKUP(Term2_Early_Dismissal_4[[#This Row],[Activity]],Types_of_Activity[Type of Activity],Types_of_Activity[Classification])=1,Term2_Early_Dismissal_4[[#This Row],[Elapsed]],0))</f>
        <v/>
      </c>
      <c r="AB74" s="106" t="str">
        <f>IF(ISBLANK(Term2_Early_Dismissal_4[[#This Row],[Activity]]),"",IF(_xlfn.XLOOKUP(Term2_Early_Dismissal_4[[#This Row],[Activity]],Types_of_Activity[Type of Activity],Types_of_Activity[Classification])=2,Term2_Early_Dismissal_4[[#This Row],[Elapsed]],0))</f>
        <v/>
      </c>
      <c r="AD74" s="136"/>
      <c r="AE74" s="136"/>
      <c r="AF74" s="103"/>
      <c r="AG74" s="106" t="str">
        <f>IF(OR(ISBLANK(Term2_Early_Dismissal_5[[#This Row],[Start]]),ISBLANK(Term2_Early_Dismissal_5[[#This Row],[End]])),"",(Term2_Early_Dismissal_5[[#This Row],[End]]-Term2_Early_Dismissal_5[[#This Row],[Start]])*1440)</f>
        <v/>
      </c>
      <c r="AH74" s="106" t="str">
        <f>IF(ISBLANK(Term2_Early_Dismissal_5[[#This Row],[Activity]]),"",IF(_xlfn.XLOOKUP(Term2_Early_Dismissal_5[[#This Row],[Activity]],Types_of_Activity[Type of Activity],Types_of_Activity[Classification])=1,Term2_Early_Dismissal_5[[#This Row],[Elapsed]],0))</f>
        <v/>
      </c>
      <c r="AI74" s="106" t="str">
        <f>IF(ISBLANK(Term2_Early_Dismissal_5[[#This Row],[Activity]]),"",IF(_xlfn.XLOOKUP(Term2_Early_Dismissal_5[[#This Row],[Activity]],Types_of_Activity[Type of Activity],Types_of_Activity[Classification])=2,Term2_Early_Dismissal_5[[#This Row],[Elapsed]],0))</f>
        <v/>
      </c>
      <c r="AK74" s="136"/>
      <c r="AL74" s="136"/>
      <c r="AM74" s="103"/>
      <c r="AN74" s="106" t="str">
        <f>IF(OR(ISBLANK(Term2_Early_Dismissal_6[[#This Row],[Start]]),ISBLANK(Term2_Early_Dismissal_6[[#This Row],[End]])),"",(Term2_Early_Dismissal_6[[#This Row],[End]]-Term2_Early_Dismissal_6[[#This Row],[Start]])*1440)</f>
        <v/>
      </c>
      <c r="AO74" s="106" t="str">
        <f>IF(ISBLANK(Term2_Early_Dismissal_6[[#This Row],[Activity]]),"",IF(_xlfn.XLOOKUP(Term2_Early_Dismissal_6[[#This Row],[Activity]],Types_of_Activity[Type of Activity],Types_of_Activity[Classification])=1,Term2_Early_Dismissal_6[[#This Row],[Elapsed]],0))</f>
        <v/>
      </c>
      <c r="AP74" s="106" t="str">
        <f>IF(ISBLANK(Term2_Early_Dismissal_6[[#This Row],[Activity]]),"",IF(_xlfn.XLOOKUP(Term2_Early_Dismissal_6[[#This Row],[Activity]],Types_of_Activity[Type of Activity],Types_of_Activity[Classification])=2,Term2_Early_Dismissal_6[[#This Row],[Elapsed]],0))</f>
        <v/>
      </c>
    </row>
    <row r="75" spans="2:42" x14ac:dyDescent="0.3">
      <c r="B75" s="136"/>
      <c r="C75" s="136"/>
      <c r="D75" s="103"/>
      <c r="E75" s="106" t="str">
        <f>IF(OR(ISBLANK(Term2_Early_Dismissal_1[[#This Row],[Start]]),ISBLANK(Term2_Early_Dismissal_1[[#This Row],[End]])),"",(Term2_Early_Dismissal_1[[#This Row],[End]]-Term2_Early_Dismissal_1[[#This Row],[Start]])*1440)</f>
        <v/>
      </c>
      <c r="F75" s="106" t="str">
        <f>IF(ISBLANK(Term2_Early_Dismissal_1[[#This Row],[Activity]]),"",IF(_xlfn.XLOOKUP(Term2_Early_Dismissal_1[[#This Row],[Activity]],Types_of_Activity[Type of Activity],Types_of_Activity[Classification])=1,Term2_Early_Dismissal_1[[#This Row],[Elapsed]],0))</f>
        <v/>
      </c>
      <c r="G75" s="106" t="str">
        <f>IF(ISBLANK(Term2_Early_Dismissal_1[[#This Row],[Activity]]),"",IF(_xlfn.XLOOKUP(Term2_Early_Dismissal_1[[#This Row],[Activity]],Types_of_Activity[Type of Activity],Types_of_Activity[Classification])=2,Term2_Early_Dismissal_1[[#This Row],[Elapsed]],0))</f>
        <v/>
      </c>
      <c r="H75"/>
      <c r="I75" s="136"/>
      <c r="J75" s="136"/>
      <c r="K75" s="103"/>
      <c r="L75" s="106" t="str">
        <f>IF(OR(ISBLANK(Term2_Early_Dismissal_2[[#This Row],[Start]]),ISBLANK(Term2_Early_Dismissal_2[[#This Row],[End]])),"",(Term2_Early_Dismissal_2[[#This Row],[End]]-Term2_Early_Dismissal_2[[#This Row],[Start]])*1440)</f>
        <v/>
      </c>
      <c r="M75" s="106" t="str">
        <f>IF(ISBLANK(Term2_Early_Dismissal_2[[#This Row],[Activity]]),"",IF(_xlfn.XLOOKUP(Term2_Early_Dismissal_2[[#This Row],[Activity]],Types_of_Activity[Type of Activity],Types_of_Activity[Classification])=1,Term2_Early_Dismissal_2[[#This Row],[Elapsed]],0))</f>
        <v/>
      </c>
      <c r="N75" s="106" t="str">
        <f>IF(ISBLANK(Term2_Early_Dismissal_2[[#This Row],[Activity]]),"",IF(_xlfn.XLOOKUP(Term2_Early_Dismissal_2[[#This Row],[Activity]],Types_of_Activity[Type of Activity],Types_of_Activity[Classification])=2,Term2_Early_Dismissal_2[[#This Row],[Elapsed]],0))</f>
        <v/>
      </c>
      <c r="O75"/>
      <c r="P75" s="136"/>
      <c r="Q75" s="136"/>
      <c r="R75" s="103"/>
      <c r="S75" s="106" t="str">
        <f>IF(OR(ISBLANK(Term2_Early_Dismissal_3[[#This Row],[Start]]),ISBLANK(Term2_Early_Dismissal_3[[#This Row],[End]])),"",(Term2_Early_Dismissal_3[[#This Row],[End]]-Term2_Early_Dismissal_3[[#This Row],[Start]])*1440)</f>
        <v/>
      </c>
      <c r="T75" s="106" t="str">
        <f>IF(ISBLANK(Term2_Early_Dismissal_3[[#This Row],[Activity]]),"",IF(_xlfn.XLOOKUP(Term2_Early_Dismissal_3[[#This Row],[Activity]],Types_of_Activity[Type of Activity],Types_of_Activity[Classification])=1,Term2_Early_Dismissal_3[[#This Row],[Elapsed]],0))</f>
        <v/>
      </c>
      <c r="U75" s="106" t="str">
        <f>IF(ISBLANK(Term2_Early_Dismissal_3[[#This Row],[Activity]]),"",IF(_xlfn.XLOOKUP(Term2_Early_Dismissal_3[[#This Row],[Activity]],Types_of_Activity[Type of Activity],Types_of_Activity[Classification])=2,Term2_Early_Dismissal_3[[#This Row],[Elapsed]],0))</f>
        <v/>
      </c>
      <c r="W75" s="136"/>
      <c r="X75" s="136"/>
      <c r="Y75" s="103"/>
      <c r="Z75" s="106" t="str">
        <f>IF(OR(ISBLANK(Term2_Early_Dismissal_4[[#This Row],[Start]]),ISBLANK(Term2_Early_Dismissal_4[[#This Row],[End]])),"",(Term2_Early_Dismissal_4[[#This Row],[End]]-Term2_Early_Dismissal_4[[#This Row],[Start]])*1440)</f>
        <v/>
      </c>
      <c r="AA75" s="106" t="str">
        <f>IF(ISBLANK(Term2_Early_Dismissal_4[[#This Row],[Activity]]),"",IF(_xlfn.XLOOKUP(Term2_Early_Dismissal_4[[#This Row],[Activity]],Types_of_Activity[Type of Activity],Types_of_Activity[Classification])=1,Term2_Early_Dismissal_4[[#This Row],[Elapsed]],0))</f>
        <v/>
      </c>
      <c r="AB75" s="106" t="str">
        <f>IF(ISBLANK(Term2_Early_Dismissal_4[[#This Row],[Activity]]),"",IF(_xlfn.XLOOKUP(Term2_Early_Dismissal_4[[#This Row],[Activity]],Types_of_Activity[Type of Activity],Types_of_Activity[Classification])=2,Term2_Early_Dismissal_4[[#This Row],[Elapsed]],0))</f>
        <v/>
      </c>
      <c r="AD75" s="136"/>
      <c r="AE75" s="136"/>
      <c r="AF75" s="103"/>
      <c r="AG75" s="106" t="str">
        <f>IF(OR(ISBLANK(Term2_Early_Dismissal_5[[#This Row],[Start]]),ISBLANK(Term2_Early_Dismissal_5[[#This Row],[End]])),"",(Term2_Early_Dismissal_5[[#This Row],[End]]-Term2_Early_Dismissal_5[[#This Row],[Start]])*1440)</f>
        <v/>
      </c>
      <c r="AH75" s="106" t="str">
        <f>IF(ISBLANK(Term2_Early_Dismissal_5[[#This Row],[Activity]]),"",IF(_xlfn.XLOOKUP(Term2_Early_Dismissal_5[[#This Row],[Activity]],Types_of_Activity[Type of Activity],Types_of_Activity[Classification])=1,Term2_Early_Dismissal_5[[#This Row],[Elapsed]],0))</f>
        <v/>
      </c>
      <c r="AI75" s="106" t="str">
        <f>IF(ISBLANK(Term2_Early_Dismissal_5[[#This Row],[Activity]]),"",IF(_xlfn.XLOOKUP(Term2_Early_Dismissal_5[[#This Row],[Activity]],Types_of_Activity[Type of Activity],Types_of_Activity[Classification])=2,Term2_Early_Dismissal_5[[#This Row],[Elapsed]],0))</f>
        <v/>
      </c>
      <c r="AK75" s="136"/>
      <c r="AL75" s="136"/>
      <c r="AM75" s="103"/>
      <c r="AN75" s="106" t="str">
        <f>IF(OR(ISBLANK(Term2_Early_Dismissal_6[[#This Row],[Start]]),ISBLANK(Term2_Early_Dismissal_6[[#This Row],[End]])),"",(Term2_Early_Dismissal_6[[#This Row],[End]]-Term2_Early_Dismissal_6[[#This Row],[Start]])*1440)</f>
        <v/>
      </c>
      <c r="AO75" s="106" t="str">
        <f>IF(ISBLANK(Term2_Early_Dismissal_6[[#This Row],[Activity]]),"",IF(_xlfn.XLOOKUP(Term2_Early_Dismissal_6[[#This Row],[Activity]],Types_of_Activity[Type of Activity],Types_of_Activity[Classification])=1,Term2_Early_Dismissal_6[[#This Row],[Elapsed]],0))</f>
        <v/>
      </c>
      <c r="AP75" s="106" t="str">
        <f>IF(ISBLANK(Term2_Early_Dismissal_6[[#This Row],[Activity]]),"",IF(_xlfn.XLOOKUP(Term2_Early_Dismissal_6[[#This Row],[Activity]],Types_of_Activity[Type of Activity],Types_of_Activity[Classification])=2,Term2_Early_Dismissal_6[[#This Row],[Elapsed]],0))</f>
        <v/>
      </c>
    </row>
    <row r="76" spans="2:42" x14ac:dyDescent="0.3">
      <c r="B76" s="136"/>
      <c r="C76" s="136"/>
      <c r="D76" s="103"/>
      <c r="E76" s="106" t="str">
        <f>IF(OR(ISBLANK(Term2_Early_Dismissal_1[[#This Row],[Start]]),ISBLANK(Term2_Early_Dismissal_1[[#This Row],[End]])),"",(Term2_Early_Dismissal_1[[#This Row],[End]]-Term2_Early_Dismissal_1[[#This Row],[Start]])*1440)</f>
        <v/>
      </c>
      <c r="F76" s="106" t="str">
        <f>IF(ISBLANK(Term2_Early_Dismissal_1[[#This Row],[Activity]]),"",IF(_xlfn.XLOOKUP(Term2_Early_Dismissal_1[[#This Row],[Activity]],Types_of_Activity[Type of Activity],Types_of_Activity[Classification])=1,Term2_Early_Dismissal_1[[#This Row],[Elapsed]],0))</f>
        <v/>
      </c>
      <c r="G76" s="106" t="str">
        <f>IF(ISBLANK(Term2_Early_Dismissal_1[[#This Row],[Activity]]),"",IF(_xlfn.XLOOKUP(Term2_Early_Dismissal_1[[#This Row],[Activity]],Types_of_Activity[Type of Activity],Types_of_Activity[Classification])=2,Term2_Early_Dismissal_1[[#This Row],[Elapsed]],0))</f>
        <v/>
      </c>
      <c r="H76"/>
      <c r="I76" s="136"/>
      <c r="J76" s="136"/>
      <c r="K76" s="103"/>
      <c r="L76" s="106" t="str">
        <f>IF(OR(ISBLANK(Term2_Early_Dismissal_2[[#This Row],[Start]]),ISBLANK(Term2_Early_Dismissal_2[[#This Row],[End]])),"",(Term2_Early_Dismissal_2[[#This Row],[End]]-Term2_Early_Dismissal_2[[#This Row],[Start]])*1440)</f>
        <v/>
      </c>
      <c r="M76" s="106" t="str">
        <f>IF(ISBLANK(Term2_Early_Dismissal_2[[#This Row],[Activity]]),"",IF(_xlfn.XLOOKUP(Term2_Early_Dismissal_2[[#This Row],[Activity]],Types_of_Activity[Type of Activity],Types_of_Activity[Classification])=1,Term2_Early_Dismissal_2[[#This Row],[Elapsed]],0))</f>
        <v/>
      </c>
      <c r="N76" s="106" t="str">
        <f>IF(ISBLANK(Term2_Early_Dismissal_2[[#This Row],[Activity]]),"",IF(_xlfn.XLOOKUP(Term2_Early_Dismissal_2[[#This Row],[Activity]],Types_of_Activity[Type of Activity],Types_of_Activity[Classification])=2,Term2_Early_Dismissal_2[[#This Row],[Elapsed]],0))</f>
        <v/>
      </c>
      <c r="O76"/>
      <c r="P76" s="136"/>
      <c r="Q76" s="136"/>
      <c r="R76" s="103"/>
      <c r="S76" s="106" t="str">
        <f>IF(OR(ISBLANK(Term2_Early_Dismissal_3[[#This Row],[Start]]),ISBLANK(Term2_Early_Dismissal_3[[#This Row],[End]])),"",(Term2_Early_Dismissal_3[[#This Row],[End]]-Term2_Early_Dismissal_3[[#This Row],[Start]])*1440)</f>
        <v/>
      </c>
      <c r="T76" s="106" t="str">
        <f>IF(ISBLANK(Term2_Early_Dismissal_3[[#This Row],[Activity]]),"",IF(_xlfn.XLOOKUP(Term2_Early_Dismissal_3[[#This Row],[Activity]],Types_of_Activity[Type of Activity],Types_of_Activity[Classification])=1,Term2_Early_Dismissal_3[[#This Row],[Elapsed]],0))</f>
        <v/>
      </c>
      <c r="U76" s="106" t="str">
        <f>IF(ISBLANK(Term2_Early_Dismissal_3[[#This Row],[Activity]]),"",IF(_xlfn.XLOOKUP(Term2_Early_Dismissal_3[[#This Row],[Activity]],Types_of_Activity[Type of Activity],Types_of_Activity[Classification])=2,Term2_Early_Dismissal_3[[#This Row],[Elapsed]],0))</f>
        <v/>
      </c>
      <c r="W76" s="136"/>
      <c r="X76" s="136"/>
      <c r="Y76" s="103"/>
      <c r="Z76" s="106" t="str">
        <f>IF(OR(ISBLANK(Term2_Early_Dismissal_4[[#This Row],[Start]]),ISBLANK(Term2_Early_Dismissal_4[[#This Row],[End]])),"",(Term2_Early_Dismissal_4[[#This Row],[End]]-Term2_Early_Dismissal_4[[#This Row],[Start]])*1440)</f>
        <v/>
      </c>
      <c r="AA76" s="106" t="str">
        <f>IF(ISBLANK(Term2_Early_Dismissal_4[[#This Row],[Activity]]),"",IF(_xlfn.XLOOKUP(Term2_Early_Dismissal_4[[#This Row],[Activity]],Types_of_Activity[Type of Activity],Types_of_Activity[Classification])=1,Term2_Early_Dismissal_4[[#This Row],[Elapsed]],0))</f>
        <v/>
      </c>
      <c r="AB76" s="106" t="str">
        <f>IF(ISBLANK(Term2_Early_Dismissal_4[[#This Row],[Activity]]),"",IF(_xlfn.XLOOKUP(Term2_Early_Dismissal_4[[#This Row],[Activity]],Types_of_Activity[Type of Activity],Types_of_Activity[Classification])=2,Term2_Early_Dismissal_4[[#This Row],[Elapsed]],0))</f>
        <v/>
      </c>
      <c r="AD76" s="136"/>
      <c r="AE76" s="136"/>
      <c r="AF76" s="103"/>
      <c r="AG76" s="106" t="str">
        <f>IF(OR(ISBLANK(Term2_Early_Dismissal_5[[#This Row],[Start]]),ISBLANK(Term2_Early_Dismissal_5[[#This Row],[End]])),"",(Term2_Early_Dismissal_5[[#This Row],[End]]-Term2_Early_Dismissal_5[[#This Row],[Start]])*1440)</f>
        <v/>
      </c>
      <c r="AH76" s="106" t="str">
        <f>IF(ISBLANK(Term2_Early_Dismissal_5[[#This Row],[Activity]]),"",IF(_xlfn.XLOOKUP(Term2_Early_Dismissal_5[[#This Row],[Activity]],Types_of_Activity[Type of Activity],Types_of_Activity[Classification])=1,Term2_Early_Dismissal_5[[#This Row],[Elapsed]],0))</f>
        <v/>
      </c>
      <c r="AI76" s="106" t="str">
        <f>IF(ISBLANK(Term2_Early_Dismissal_5[[#This Row],[Activity]]),"",IF(_xlfn.XLOOKUP(Term2_Early_Dismissal_5[[#This Row],[Activity]],Types_of_Activity[Type of Activity],Types_of_Activity[Classification])=2,Term2_Early_Dismissal_5[[#This Row],[Elapsed]],0))</f>
        <v/>
      </c>
      <c r="AK76" s="136"/>
      <c r="AL76" s="136"/>
      <c r="AM76" s="103"/>
      <c r="AN76" s="106" t="str">
        <f>IF(OR(ISBLANK(Term2_Early_Dismissal_6[[#This Row],[Start]]),ISBLANK(Term2_Early_Dismissal_6[[#This Row],[End]])),"",(Term2_Early_Dismissal_6[[#This Row],[End]]-Term2_Early_Dismissal_6[[#This Row],[Start]])*1440)</f>
        <v/>
      </c>
      <c r="AO76" s="106" t="str">
        <f>IF(ISBLANK(Term2_Early_Dismissal_6[[#This Row],[Activity]]),"",IF(_xlfn.XLOOKUP(Term2_Early_Dismissal_6[[#This Row],[Activity]],Types_of_Activity[Type of Activity],Types_of_Activity[Classification])=1,Term2_Early_Dismissal_6[[#This Row],[Elapsed]],0))</f>
        <v/>
      </c>
      <c r="AP76" s="106" t="str">
        <f>IF(ISBLANK(Term2_Early_Dismissal_6[[#This Row],[Activity]]),"",IF(_xlfn.XLOOKUP(Term2_Early_Dismissal_6[[#This Row],[Activity]],Types_of_Activity[Type of Activity],Types_of_Activity[Classification])=2,Term2_Early_Dismissal_6[[#This Row],[Elapsed]],0))</f>
        <v/>
      </c>
    </row>
    <row r="77" spans="2:42" x14ac:dyDescent="0.3">
      <c r="B77" s="136"/>
      <c r="C77" s="136"/>
      <c r="D77" s="103"/>
      <c r="E77" s="106" t="str">
        <f>IF(OR(ISBLANK(Term2_Early_Dismissal_1[[#This Row],[Start]]),ISBLANK(Term2_Early_Dismissal_1[[#This Row],[End]])),"",(Term2_Early_Dismissal_1[[#This Row],[End]]-Term2_Early_Dismissal_1[[#This Row],[Start]])*1440)</f>
        <v/>
      </c>
      <c r="F77" s="106" t="str">
        <f>IF(ISBLANK(Term2_Early_Dismissal_1[[#This Row],[Activity]]),"",IF(_xlfn.XLOOKUP(Term2_Early_Dismissal_1[[#This Row],[Activity]],Types_of_Activity[Type of Activity],Types_of_Activity[Classification])=1,Term2_Early_Dismissal_1[[#This Row],[Elapsed]],0))</f>
        <v/>
      </c>
      <c r="G77" s="106" t="str">
        <f>IF(ISBLANK(Term2_Early_Dismissal_1[[#This Row],[Activity]]),"",IF(_xlfn.XLOOKUP(Term2_Early_Dismissal_1[[#This Row],[Activity]],Types_of_Activity[Type of Activity],Types_of_Activity[Classification])=2,Term2_Early_Dismissal_1[[#This Row],[Elapsed]],0))</f>
        <v/>
      </c>
      <c r="H77"/>
      <c r="I77" s="136"/>
      <c r="J77" s="136"/>
      <c r="K77" s="103"/>
      <c r="L77" s="106" t="str">
        <f>IF(OR(ISBLANK(Term2_Early_Dismissal_2[[#This Row],[Start]]),ISBLANK(Term2_Early_Dismissal_2[[#This Row],[End]])),"",(Term2_Early_Dismissal_2[[#This Row],[End]]-Term2_Early_Dismissal_2[[#This Row],[Start]])*1440)</f>
        <v/>
      </c>
      <c r="M77" s="106" t="str">
        <f>IF(ISBLANK(Term2_Early_Dismissal_2[[#This Row],[Activity]]),"",IF(_xlfn.XLOOKUP(Term2_Early_Dismissal_2[[#This Row],[Activity]],Types_of_Activity[Type of Activity],Types_of_Activity[Classification])=1,Term2_Early_Dismissal_2[[#This Row],[Elapsed]],0))</f>
        <v/>
      </c>
      <c r="N77" s="106" t="str">
        <f>IF(ISBLANK(Term2_Early_Dismissal_2[[#This Row],[Activity]]),"",IF(_xlfn.XLOOKUP(Term2_Early_Dismissal_2[[#This Row],[Activity]],Types_of_Activity[Type of Activity],Types_of_Activity[Classification])=2,Term2_Early_Dismissal_2[[#This Row],[Elapsed]],0))</f>
        <v/>
      </c>
      <c r="O77"/>
      <c r="P77" s="136"/>
      <c r="Q77" s="136"/>
      <c r="R77" s="103"/>
      <c r="S77" s="106" t="str">
        <f>IF(OR(ISBLANK(Term2_Early_Dismissal_3[[#This Row],[Start]]),ISBLANK(Term2_Early_Dismissal_3[[#This Row],[End]])),"",(Term2_Early_Dismissal_3[[#This Row],[End]]-Term2_Early_Dismissal_3[[#This Row],[Start]])*1440)</f>
        <v/>
      </c>
      <c r="T77" s="106" t="str">
        <f>IF(ISBLANK(Term2_Early_Dismissal_3[[#This Row],[Activity]]),"",IF(_xlfn.XLOOKUP(Term2_Early_Dismissal_3[[#This Row],[Activity]],Types_of_Activity[Type of Activity],Types_of_Activity[Classification])=1,Term2_Early_Dismissal_3[[#This Row],[Elapsed]],0))</f>
        <v/>
      </c>
      <c r="U77" s="106" t="str">
        <f>IF(ISBLANK(Term2_Early_Dismissal_3[[#This Row],[Activity]]),"",IF(_xlfn.XLOOKUP(Term2_Early_Dismissal_3[[#This Row],[Activity]],Types_of_Activity[Type of Activity],Types_of_Activity[Classification])=2,Term2_Early_Dismissal_3[[#This Row],[Elapsed]],0))</f>
        <v/>
      </c>
      <c r="W77" s="136"/>
      <c r="X77" s="136"/>
      <c r="Y77" s="103"/>
      <c r="Z77" s="106" t="str">
        <f>IF(OR(ISBLANK(Term2_Early_Dismissal_4[[#This Row],[Start]]),ISBLANK(Term2_Early_Dismissal_4[[#This Row],[End]])),"",(Term2_Early_Dismissal_4[[#This Row],[End]]-Term2_Early_Dismissal_4[[#This Row],[Start]])*1440)</f>
        <v/>
      </c>
      <c r="AA77" s="106" t="str">
        <f>IF(ISBLANK(Term2_Early_Dismissal_4[[#This Row],[Activity]]),"",IF(_xlfn.XLOOKUP(Term2_Early_Dismissal_4[[#This Row],[Activity]],Types_of_Activity[Type of Activity],Types_of_Activity[Classification])=1,Term2_Early_Dismissal_4[[#This Row],[Elapsed]],0))</f>
        <v/>
      </c>
      <c r="AB77" s="106" t="str">
        <f>IF(ISBLANK(Term2_Early_Dismissal_4[[#This Row],[Activity]]),"",IF(_xlfn.XLOOKUP(Term2_Early_Dismissal_4[[#This Row],[Activity]],Types_of_Activity[Type of Activity],Types_of_Activity[Classification])=2,Term2_Early_Dismissal_4[[#This Row],[Elapsed]],0))</f>
        <v/>
      </c>
      <c r="AD77" s="136"/>
      <c r="AE77" s="136"/>
      <c r="AF77" s="103"/>
      <c r="AG77" s="106" t="str">
        <f>IF(OR(ISBLANK(Term2_Early_Dismissal_5[[#This Row],[Start]]),ISBLANK(Term2_Early_Dismissal_5[[#This Row],[End]])),"",(Term2_Early_Dismissal_5[[#This Row],[End]]-Term2_Early_Dismissal_5[[#This Row],[Start]])*1440)</f>
        <v/>
      </c>
      <c r="AH77" s="106" t="str">
        <f>IF(ISBLANK(Term2_Early_Dismissal_5[[#This Row],[Activity]]),"",IF(_xlfn.XLOOKUP(Term2_Early_Dismissal_5[[#This Row],[Activity]],Types_of_Activity[Type of Activity],Types_of_Activity[Classification])=1,Term2_Early_Dismissal_5[[#This Row],[Elapsed]],0))</f>
        <v/>
      </c>
      <c r="AI77" s="106" t="str">
        <f>IF(ISBLANK(Term2_Early_Dismissal_5[[#This Row],[Activity]]),"",IF(_xlfn.XLOOKUP(Term2_Early_Dismissal_5[[#This Row],[Activity]],Types_of_Activity[Type of Activity],Types_of_Activity[Classification])=2,Term2_Early_Dismissal_5[[#This Row],[Elapsed]],0))</f>
        <v/>
      </c>
      <c r="AK77" s="136"/>
      <c r="AL77" s="136"/>
      <c r="AM77" s="103"/>
      <c r="AN77" s="106" t="str">
        <f>IF(OR(ISBLANK(Term2_Early_Dismissal_6[[#This Row],[Start]]),ISBLANK(Term2_Early_Dismissal_6[[#This Row],[End]])),"",(Term2_Early_Dismissal_6[[#This Row],[End]]-Term2_Early_Dismissal_6[[#This Row],[Start]])*1440)</f>
        <v/>
      </c>
      <c r="AO77" s="106" t="str">
        <f>IF(ISBLANK(Term2_Early_Dismissal_6[[#This Row],[Activity]]),"",IF(_xlfn.XLOOKUP(Term2_Early_Dismissal_6[[#This Row],[Activity]],Types_of_Activity[Type of Activity],Types_of_Activity[Classification])=1,Term2_Early_Dismissal_6[[#This Row],[Elapsed]],0))</f>
        <v/>
      </c>
      <c r="AP77" s="106" t="str">
        <f>IF(ISBLANK(Term2_Early_Dismissal_6[[#This Row],[Activity]]),"",IF(_xlfn.XLOOKUP(Term2_Early_Dismissal_6[[#This Row],[Activity]],Types_of_Activity[Type of Activity],Types_of_Activity[Classification])=2,Term2_Early_Dismissal_6[[#This Row],[Elapsed]],0))</f>
        <v/>
      </c>
    </row>
    <row r="78" spans="2:42" x14ac:dyDescent="0.3">
      <c r="B78" s="136"/>
      <c r="C78" s="136"/>
      <c r="D78" s="103"/>
      <c r="E78" s="106" t="str">
        <f>IF(OR(ISBLANK(Term2_Early_Dismissal_1[[#This Row],[Start]]),ISBLANK(Term2_Early_Dismissal_1[[#This Row],[End]])),"",(Term2_Early_Dismissal_1[[#This Row],[End]]-Term2_Early_Dismissal_1[[#This Row],[Start]])*1440)</f>
        <v/>
      </c>
      <c r="F78" s="106" t="str">
        <f>IF(ISBLANK(Term2_Early_Dismissal_1[[#This Row],[Activity]]),"",IF(_xlfn.XLOOKUP(Term2_Early_Dismissal_1[[#This Row],[Activity]],Types_of_Activity[Type of Activity],Types_of_Activity[Classification])=1,Term2_Early_Dismissal_1[[#This Row],[Elapsed]],0))</f>
        <v/>
      </c>
      <c r="G78" s="106" t="str">
        <f>IF(ISBLANK(Term2_Early_Dismissal_1[[#This Row],[Activity]]),"",IF(_xlfn.XLOOKUP(Term2_Early_Dismissal_1[[#This Row],[Activity]],Types_of_Activity[Type of Activity],Types_of_Activity[Classification])=2,Term2_Early_Dismissal_1[[#This Row],[Elapsed]],0))</f>
        <v/>
      </c>
      <c r="H78"/>
      <c r="I78" s="136"/>
      <c r="J78" s="136"/>
      <c r="K78" s="103"/>
      <c r="L78" s="106" t="str">
        <f>IF(OR(ISBLANK(Term2_Early_Dismissal_2[[#This Row],[Start]]),ISBLANK(Term2_Early_Dismissal_2[[#This Row],[End]])),"",(Term2_Early_Dismissal_2[[#This Row],[End]]-Term2_Early_Dismissal_2[[#This Row],[Start]])*1440)</f>
        <v/>
      </c>
      <c r="M78" s="106" t="str">
        <f>IF(ISBLANK(Term2_Early_Dismissal_2[[#This Row],[Activity]]),"",IF(_xlfn.XLOOKUP(Term2_Early_Dismissal_2[[#This Row],[Activity]],Types_of_Activity[Type of Activity],Types_of_Activity[Classification])=1,Term2_Early_Dismissal_2[[#This Row],[Elapsed]],0))</f>
        <v/>
      </c>
      <c r="N78" s="106" t="str">
        <f>IF(ISBLANK(Term2_Early_Dismissal_2[[#This Row],[Activity]]),"",IF(_xlfn.XLOOKUP(Term2_Early_Dismissal_2[[#This Row],[Activity]],Types_of_Activity[Type of Activity],Types_of_Activity[Classification])=2,Term2_Early_Dismissal_2[[#This Row],[Elapsed]],0))</f>
        <v/>
      </c>
      <c r="O78"/>
      <c r="P78" s="136"/>
      <c r="Q78" s="136"/>
      <c r="R78" s="103"/>
      <c r="S78" s="106" t="str">
        <f>IF(OR(ISBLANK(Term2_Early_Dismissal_3[[#This Row],[Start]]),ISBLANK(Term2_Early_Dismissal_3[[#This Row],[End]])),"",(Term2_Early_Dismissal_3[[#This Row],[End]]-Term2_Early_Dismissal_3[[#This Row],[Start]])*1440)</f>
        <v/>
      </c>
      <c r="T78" s="106" t="str">
        <f>IF(ISBLANK(Term2_Early_Dismissal_3[[#This Row],[Activity]]),"",IF(_xlfn.XLOOKUP(Term2_Early_Dismissal_3[[#This Row],[Activity]],Types_of_Activity[Type of Activity],Types_of_Activity[Classification])=1,Term2_Early_Dismissal_3[[#This Row],[Elapsed]],0))</f>
        <v/>
      </c>
      <c r="U78" s="106" t="str">
        <f>IF(ISBLANK(Term2_Early_Dismissal_3[[#This Row],[Activity]]),"",IF(_xlfn.XLOOKUP(Term2_Early_Dismissal_3[[#This Row],[Activity]],Types_of_Activity[Type of Activity],Types_of_Activity[Classification])=2,Term2_Early_Dismissal_3[[#This Row],[Elapsed]],0))</f>
        <v/>
      </c>
      <c r="W78" s="136"/>
      <c r="X78" s="136"/>
      <c r="Y78" s="103"/>
      <c r="Z78" s="106" t="str">
        <f>IF(OR(ISBLANK(Term2_Early_Dismissal_4[[#This Row],[Start]]),ISBLANK(Term2_Early_Dismissal_4[[#This Row],[End]])),"",(Term2_Early_Dismissal_4[[#This Row],[End]]-Term2_Early_Dismissal_4[[#This Row],[Start]])*1440)</f>
        <v/>
      </c>
      <c r="AA78" s="106" t="str">
        <f>IF(ISBLANK(Term2_Early_Dismissal_4[[#This Row],[Activity]]),"",IF(_xlfn.XLOOKUP(Term2_Early_Dismissal_4[[#This Row],[Activity]],Types_of_Activity[Type of Activity],Types_of_Activity[Classification])=1,Term2_Early_Dismissal_4[[#This Row],[Elapsed]],0))</f>
        <v/>
      </c>
      <c r="AB78" s="106" t="str">
        <f>IF(ISBLANK(Term2_Early_Dismissal_4[[#This Row],[Activity]]),"",IF(_xlfn.XLOOKUP(Term2_Early_Dismissal_4[[#This Row],[Activity]],Types_of_Activity[Type of Activity],Types_of_Activity[Classification])=2,Term2_Early_Dismissal_4[[#This Row],[Elapsed]],0))</f>
        <v/>
      </c>
      <c r="AD78" s="136"/>
      <c r="AE78" s="136"/>
      <c r="AF78" s="103"/>
      <c r="AG78" s="106" t="str">
        <f>IF(OR(ISBLANK(Term2_Early_Dismissal_5[[#This Row],[Start]]),ISBLANK(Term2_Early_Dismissal_5[[#This Row],[End]])),"",(Term2_Early_Dismissal_5[[#This Row],[End]]-Term2_Early_Dismissal_5[[#This Row],[Start]])*1440)</f>
        <v/>
      </c>
      <c r="AH78" s="106" t="str">
        <f>IF(ISBLANK(Term2_Early_Dismissal_5[[#This Row],[Activity]]),"",IF(_xlfn.XLOOKUP(Term2_Early_Dismissal_5[[#This Row],[Activity]],Types_of_Activity[Type of Activity],Types_of_Activity[Classification])=1,Term2_Early_Dismissal_5[[#This Row],[Elapsed]],0))</f>
        <v/>
      </c>
      <c r="AI78" s="106" t="str">
        <f>IF(ISBLANK(Term2_Early_Dismissal_5[[#This Row],[Activity]]),"",IF(_xlfn.XLOOKUP(Term2_Early_Dismissal_5[[#This Row],[Activity]],Types_of_Activity[Type of Activity],Types_of_Activity[Classification])=2,Term2_Early_Dismissal_5[[#This Row],[Elapsed]],0))</f>
        <v/>
      </c>
      <c r="AK78" s="136"/>
      <c r="AL78" s="136"/>
      <c r="AM78" s="103"/>
      <c r="AN78" s="106" t="str">
        <f>IF(OR(ISBLANK(Term2_Early_Dismissal_6[[#This Row],[Start]]),ISBLANK(Term2_Early_Dismissal_6[[#This Row],[End]])),"",(Term2_Early_Dismissal_6[[#This Row],[End]]-Term2_Early_Dismissal_6[[#This Row],[Start]])*1440)</f>
        <v/>
      </c>
      <c r="AO78" s="106" t="str">
        <f>IF(ISBLANK(Term2_Early_Dismissal_6[[#This Row],[Activity]]),"",IF(_xlfn.XLOOKUP(Term2_Early_Dismissal_6[[#This Row],[Activity]],Types_of_Activity[Type of Activity],Types_of_Activity[Classification])=1,Term2_Early_Dismissal_6[[#This Row],[Elapsed]],0))</f>
        <v/>
      </c>
      <c r="AP78" s="106" t="str">
        <f>IF(ISBLANK(Term2_Early_Dismissal_6[[#This Row],[Activity]]),"",IF(_xlfn.XLOOKUP(Term2_Early_Dismissal_6[[#This Row],[Activity]],Types_of_Activity[Type of Activity],Types_of_Activity[Classification])=2,Term2_Early_Dismissal_6[[#This Row],[Elapsed]],0))</f>
        <v/>
      </c>
    </row>
    <row r="79" spans="2:42" x14ac:dyDescent="0.3">
      <c r="B79" s="136"/>
      <c r="C79" s="136"/>
      <c r="D79" s="103"/>
      <c r="E79" s="106" t="str">
        <f>IF(OR(ISBLANK(Term2_Early_Dismissal_1[[#This Row],[Start]]),ISBLANK(Term2_Early_Dismissal_1[[#This Row],[End]])),"",(Term2_Early_Dismissal_1[[#This Row],[End]]-Term2_Early_Dismissal_1[[#This Row],[Start]])*1440)</f>
        <v/>
      </c>
      <c r="F79" s="106" t="str">
        <f>IF(ISBLANK(Term2_Early_Dismissal_1[[#This Row],[Activity]]),"",IF(_xlfn.XLOOKUP(Term2_Early_Dismissal_1[[#This Row],[Activity]],Types_of_Activity[Type of Activity],Types_of_Activity[Classification])=1,Term2_Early_Dismissal_1[[#This Row],[Elapsed]],0))</f>
        <v/>
      </c>
      <c r="G79" s="106" t="str">
        <f>IF(ISBLANK(Term2_Early_Dismissal_1[[#This Row],[Activity]]),"",IF(_xlfn.XLOOKUP(Term2_Early_Dismissal_1[[#This Row],[Activity]],Types_of_Activity[Type of Activity],Types_of_Activity[Classification])=2,Term2_Early_Dismissal_1[[#This Row],[Elapsed]],0))</f>
        <v/>
      </c>
      <c r="H79"/>
      <c r="I79" s="136"/>
      <c r="J79" s="136"/>
      <c r="K79" s="103"/>
      <c r="L79" s="106" t="str">
        <f>IF(OR(ISBLANK(Term2_Early_Dismissal_2[[#This Row],[Start]]),ISBLANK(Term2_Early_Dismissal_2[[#This Row],[End]])),"",(Term2_Early_Dismissal_2[[#This Row],[End]]-Term2_Early_Dismissal_2[[#This Row],[Start]])*1440)</f>
        <v/>
      </c>
      <c r="M79" s="106" t="str">
        <f>IF(ISBLANK(Term2_Early_Dismissal_2[[#This Row],[Activity]]),"",IF(_xlfn.XLOOKUP(Term2_Early_Dismissal_2[[#This Row],[Activity]],Types_of_Activity[Type of Activity],Types_of_Activity[Classification])=1,Term2_Early_Dismissal_2[[#This Row],[Elapsed]],0))</f>
        <v/>
      </c>
      <c r="N79" s="106" t="str">
        <f>IF(ISBLANK(Term2_Early_Dismissal_2[[#This Row],[Activity]]),"",IF(_xlfn.XLOOKUP(Term2_Early_Dismissal_2[[#This Row],[Activity]],Types_of_Activity[Type of Activity],Types_of_Activity[Classification])=2,Term2_Early_Dismissal_2[[#This Row],[Elapsed]],0))</f>
        <v/>
      </c>
      <c r="O79"/>
      <c r="P79" s="136"/>
      <c r="Q79" s="136"/>
      <c r="R79" s="103"/>
      <c r="S79" s="106" t="str">
        <f>IF(OR(ISBLANK(Term2_Early_Dismissal_3[[#This Row],[Start]]),ISBLANK(Term2_Early_Dismissal_3[[#This Row],[End]])),"",(Term2_Early_Dismissal_3[[#This Row],[End]]-Term2_Early_Dismissal_3[[#This Row],[Start]])*1440)</f>
        <v/>
      </c>
      <c r="T79" s="106" t="str">
        <f>IF(ISBLANK(Term2_Early_Dismissal_3[[#This Row],[Activity]]),"",IF(_xlfn.XLOOKUP(Term2_Early_Dismissal_3[[#This Row],[Activity]],Types_of_Activity[Type of Activity],Types_of_Activity[Classification])=1,Term2_Early_Dismissal_3[[#This Row],[Elapsed]],0))</f>
        <v/>
      </c>
      <c r="U79" s="106" t="str">
        <f>IF(ISBLANK(Term2_Early_Dismissal_3[[#This Row],[Activity]]),"",IF(_xlfn.XLOOKUP(Term2_Early_Dismissal_3[[#This Row],[Activity]],Types_of_Activity[Type of Activity],Types_of_Activity[Classification])=2,Term2_Early_Dismissal_3[[#This Row],[Elapsed]],0))</f>
        <v/>
      </c>
      <c r="W79" s="136"/>
      <c r="X79" s="136"/>
      <c r="Y79" s="103"/>
      <c r="Z79" s="106" t="str">
        <f>IF(OR(ISBLANK(Term2_Early_Dismissal_4[[#This Row],[Start]]),ISBLANK(Term2_Early_Dismissal_4[[#This Row],[End]])),"",(Term2_Early_Dismissal_4[[#This Row],[End]]-Term2_Early_Dismissal_4[[#This Row],[Start]])*1440)</f>
        <v/>
      </c>
      <c r="AA79" s="106" t="str">
        <f>IF(ISBLANK(Term2_Early_Dismissal_4[[#This Row],[Activity]]),"",IF(_xlfn.XLOOKUP(Term2_Early_Dismissal_4[[#This Row],[Activity]],Types_of_Activity[Type of Activity],Types_of_Activity[Classification])=1,Term2_Early_Dismissal_4[[#This Row],[Elapsed]],0))</f>
        <v/>
      </c>
      <c r="AB79" s="106" t="str">
        <f>IF(ISBLANK(Term2_Early_Dismissal_4[[#This Row],[Activity]]),"",IF(_xlfn.XLOOKUP(Term2_Early_Dismissal_4[[#This Row],[Activity]],Types_of_Activity[Type of Activity],Types_of_Activity[Classification])=2,Term2_Early_Dismissal_4[[#This Row],[Elapsed]],0))</f>
        <v/>
      </c>
      <c r="AD79" s="136"/>
      <c r="AE79" s="136"/>
      <c r="AF79" s="103"/>
      <c r="AG79" s="106" t="str">
        <f>IF(OR(ISBLANK(Term2_Early_Dismissal_5[[#This Row],[Start]]),ISBLANK(Term2_Early_Dismissal_5[[#This Row],[End]])),"",(Term2_Early_Dismissal_5[[#This Row],[End]]-Term2_Early_Dismissal_5[[#This Row],[Start]])*1440)</f>
        <v/>
      </c>
      <c r="AH79" s="106" t="str">
        <f>IF(ISBLANK(Term2_Early_Dismissal_5[[#This Row],[Activity]]),"",IF(_xlfn.XLOOKUP(Term2_Early_Dismissal_5[[#This Row],[Activity]],Types_of_Activity[Type of Activity],Types_of_Activity[Classification])=1,Term2_Early_Dismissal_5[[#This Row],[Elapsed]],0))</f>
        <v/>
      </c>
      <c r="AI79" s="106" t="str">
        <f>IF(ISBLANK(Term2_Early_Dismissal_5[[#This Row],[Activity]]),"",IF(_xlfn.XLOOKUP(Term2_Early_Dismissal_5[[#This Row],[Activity]],Types_of_Activity[Type of Activity],Types_of_Activity[Classification])=2,Term2_Early_Dismissal_5[[#This Row],[Elapsed]],0))</f>
        <v/>
      </c>
      <c r="AK79" s="136"/>
      <c r="AL79" s="136"/>
      <c r="AM79" s="103"/>
      <c r="AN79" s="106" t="str">
        <f>IF(OR(ISBLANK(Term2_Early_Dismissal_6[[#This Row],[Start]]),ISBLANK(Term2_Early_Dismissal_6[[#This Row],[End]])),"",(Term2_Early_Dismissal_6[[#This Row],[End]]-Term2_Early_Dismissal_6[[#This Row],[Start]])*1440)</f>
        <v/>
      </c>
      <c r="AO79" s="106" t="str">
        <f>IF(ISBLANK(Term2_Early_Dismissal_6[[#This Row],[Activity]]),"",IF(_xlfn.XLOOKUP(Term2_Early_Dismissal_6[[#This Row],[Activity]],Types_of_Activity[Type of Activity],Types_of_Activity[Classification])=1,Term2_Early_Dismissal_6[[#This Row],[Elapsed]],0))</f>
        <v/>
      </c>
      <c r="AP79" s="106" t="str">
        <f>IF(ISBLANK(Term2_Early_Dismissal_6[[#This Row],[Activity]]),"",IF(_xlfn.XLOOKUP(Term2_Early_Dismissal_6[[#This Row],[Activity]],Types_of_Activity[Type of Activity],Types_of_Activity[Classification])=2,Term2_Early_Dismissal_6[[#This Row],[Elapsed]],0))</f>
        <v/>
      </c>
    </row>
    <row r="80" spans="2:42" x14ac:dyDescent="0.3">
      <c r="B80" s="136"/>
      <c r="C80" s="136"/>
      <c r="D80" s="103"/>
      <c r="E80" s="106" t="str">
        <f>IF(OR(ISBLANK(Term2_Early_Dismissal_1[[#This Row],[Start]]),ISBLANK(Term2_Early_Dismissal_1[[#This Row],[End]])),"",(Term2_Early_Dismissal_1[[#This Row],[End]]-Term2_Early_Dismissal_1[[#This Row],[Start]])*1440)</f>
        <v/>
      </c>
      <c r="F80" s="106" t="str">
        <f>IF(ISBLANK(Term2_Early_Dismissal_1[[#This Row],[Activity]]),"",IF(_xlfn.XLOOKUP(Term2_Early_Dismissal_1[[#This Row],[Activity]],Types_of_Activity[Type of Activity],Types_of_Activity[Classification])=1,Term2_Early_Dismissal_1[[#This Row],[Elapsed]],0))</f>
        <v/>
      </c>
      <c r="G80" s="106" t="str">
        <f>IF(ISBLANK(Term2_Early_Dismissal_1[[#This Row],[Activity]]),"",IF(_xlfn.XLOOKUP(Term2_Early_Dismissal_1[[#This Row],[Activity]],Types_of_Activity[Type of Activity],Types_of_Activity[Classification])=2,Term2_Early_Dismissal_1[[#This Row],[Elapsed]],0))</f>
        <v/>
      </c>
      <c r="H80"/>
      <c r="I80" s="136"/>
      <c r="J80" s="136"/>
      <c r="K80" s="103"/>
      <c r="L80" s="106" t="str">
        <f>IF(OR(ISBLANK(Term2_Early_Dismissal_2[[#This Row],[Start]]),ISBLANK(Term2_Early_Dismissal_2[[#This Row],[End]])),"",(Term2_Early_Dismissal_2[[#This Row],[End]]-Term2_Early_Dismissal_2[[#This Row],[Start]])*1440)</f>
        <v/>
      </c>
      <c r="M80" s="106" t="str">
        <f>IF(ISBLANK(Term2_Early_Dismissal_2[[#This Row],[Activity]]),"",IF(_xlfn.XLOOKUP(Term2_Early_Dismissal_2[[#This Row],[Activity]],Types_of_Activity[Type of Activity],Types_of_Activity[Classification])=1,Term2_Early_Dismissal_2[[#This Row],[Elapsed]],0))</f>
        <v/>
      </c>
      <c r="N80" s="106" t="str">
        <f>IF(ISBLANK(Term2_Early_Dismissal_2[[#This Row],[Activity]]),"",IF(_xlfn.XLOOKUP(Term2_Early_Dismissal_2[[#This Row],[Activity]],Types_of_Activity[Type of Activity],Types_of_Activity[Classification])=2,Term2_Early_Dismissal_2[[#This Row],[Elapsed]],0))</f>
        <v/>
      </c>
      <c r="O80"/>
      <c r="P80" s="136"/>
      <c r="Q80" s="136"/>
      <c r="R80" s="103"/>
      <c r="S80" s="106" t="str">
        <f>IF(OR(ISBLANK(Term2_Early_Dismissal_3[[#This Row],[Start]]),ISBLANK(Term2_Early_Dismissal_3[[#This Row],[End]])),"",(Term2_Early_Dismissal_3[[#This Row],[End]]-Term2_Early_Dismissal_3[[#This Row],[Start]])*1440)</f>
        <v/>
      </c>
      <c r="T80" s="106" t="str">
        <f>IF(ISBLANK(Term2_Early_Dismissal_3[[#This Row],[Activity]]),"",IF(_xlfn.XLOOKUP(Term2_Early_Dismissal_3[[#This Row],[Activity]],Types_of_Activity[Type of Activity],Types_of_Activity[Classification])=1,Term2_Early_Dismissal_3[[#This Row],[Elapsed]],0))</f>
        <v/>
      </c>
      <c r="U80" s="106" t="str">
        <f>IF(ISBLANK(Term2_Early_Dismissal_3[[#This Row],[Activity]]),"",IF(_xlfn.XLOOKUP(Term2_Early_Dismissal_3[[#This Row],[Activity]],Types_of_Activity[Type of Activity],Types_of_Activity[Classification])=2,Term2_Early_Dismissal_3[[#This Row],[Elapsed]],0))</f>
        <v/>
      </c>
      <c r="W80" s="136"/>
      <c r="X80" s="136"/>
      <c r="Y80" s="103"/>
      <c r="Z80" s="106" t="str">
        <f>IF(OR(ISBLANK(Term2_Early_Dismissal_4[[#This Row],[Start]]),ISBLANK(Term2_Early_Dismissal_4[[#This Row],[End]])),"",(Term2_Early_Dismissal_4[[#This Row],[End]]-Term2_Early_Dismissal_4[[#This Row],[Start]])*1440)</f>
        <v/>
      </c>
      <c r="AA80" s="106" t="str">
        <f>IF(ISBLANK(Term2_Early_Dismissal_4[[#This Row],[Activity]]),"",IF(_xlfn.XLOOKUP(Term2_Early_Dismissal_4[[#This Row],[Activity]],Types_of_Activity[Type of Activity],Types_of_Activity[Classification])=1,Term2_Early_Dismissal_4[[#This Row],[Elapsed]],0))</f>
        <v/>
      </c>
      <c r="AB80" s="106" t="str">
        <f>IF(ISBLANK(Term2_Early_Dismissal_4[[#This Row],[Activity]]),"",IF(_xlfn.XLOOKUP(Term2_Early_Dismissal_4[[#This Row],[Activity]],Types_of_Activity[Type of Activity],Types_of_Activity[Classification])=2,Term2_Early_Dismissal_4[[#This Row],[Elapsed]],0))</f>
        <v/>
      </c>
      <c r="AD80" s="136"/>
      <c r="AE80" s="136"/>
      <c r="AF80" s="103"/>
      <c r="AG80" s="106" t="str">
        <f>IF(OR(ISBLANK(Term2_Early_Dismissal_5[[#This Row],[Start]]),ISBLANK(Term2_Early_Dismissal_5[[#This Row],[End]])),"",(Term2_Early_Dismissal_5[[#This Row],[End]]-Term2_Early_Dismissal_5[[#This Row],[Start]])*1440)</f>
        <v/>
      </c>
      <c r="AH80" s="106" t="str">
        <f>IF(ISBLANK(Term2_Early_Dismissal_5[[#This Row],[Activity]]),"",IF(_xlfn.XLOOKUP(Term2_Early_Dismissal_5[[#This Row],[Activity]],Types_of_Activity[Type of Activity],Types_of_Activity[Classification])=1,Term2_Early_Dismissal_5[[#This Row],[Elapsed]],0))</f>
        <v/>
      </c>
      <c r="AI80" s="106" t="str">
        <f>IF(ISBLANK(Term2_Early_Dismissal_5[[#This Row],[Activity]]),"",IF(_xlfn.XLOOKUP(Term2_Early_Dismissal_5[[#This Row],[Activity]],Types_of_Activity[Type of Activity],Types_of_Activity[Classification])=2,Term2_Early_Dismissal_5[[#This Row],[Elapsed]],0))</f>
        <v/>
      </c>
      <c r="AK80" s="136"/>
      <c r="AL80" s="136"/>
      <c r="AM80" s="103"/>
      <c r="AN80" s="106" t="str">
        <f>IF(OR(ISBLANK(Term2_Early_Dismissal_6[[#This Row],[Start]]),ISBLANK(Term2_Early_Dismissal_6[[#This Row],[End]])),"",(Term2_Early_Dismissal_6[[#This Row],[End]]-Term2_Early_Dismissal_6[[#This Row],[Start]])*1440)</f>
        <v/>
      </c>
      <c r="AO80" s="106" t="str">
        <f>IF(ISBLANK(Term2_Early_Dismissal_6[[#This Row],[Activity]]),"",IF(_xlfn.XLOOKUP(Term2_Early_Dismissal_6[[#This Row],[Activity]],Types_of_Activity[Type of Activity],Types_of_Activity[Classification])=1,Term2_Early_Dismissal_6[[#This Row],[Elapsed]],0))</f>
        <v/>
      </c>
      <c r="AP80" s="106" t="str">
        <f>IF(ISBLANK(Term2_Early_Dismissal_6[[#This Row],[Activity]]),"",IF(_xlfn.XLOOKUP(Term2_Early_Dismissal_6[[#This Row],[Activity]],Types_of_Activity[Type of Activity],Types_of_Activity[Classification])=2,Term2_Early_Dismissal_6[[#This Row],[Elapsed]],0))</f>
        <v/>
      </c>
    </row>
    <row r="81" spans="2:42" x14ac:dyDescent="0.3">
      <c r="B81" s="136"/>
      <c r="C81" s="136"/>
      <c r="D81" s="103"/>
      <c r="E81" s="106" t="str">
        <f>IF(OR(ISBLANK(Term2_Early_Dismissal_1[[#This Row],[Start]]),ISBLANK(Term2_Early_Dismissal_1[[#This Row],[End]])),"",(Term2_Early_Dismissal_1[[#This Row],[End]]-Term2_Early_Dismissal_1[[#This Row],[Start]])*1440)</f>
        <v/>
      </c>
      <c r="F81" s="106" t="str">
        <f>IF(ISBLANK(Term2_Early_Dismissal_1[[#This Row],[Activity]]),"",IF(_xlfn.XLOOKUP(Term2_Early_Dismissal_1[[#This Row],[Activity]],Types_of_Activity[Type of Activity],Types_of_Activity[Classification])=1,Term2_Early_Dismissal_1[[#This Row],[Elapsed]],0))</f>
        <v/>
      </c>
      <c r="G81" s="106" t="str">
        <f>IF(ISBLANK(Term2_Early_Dismissal_1[[#This Row],[Activity]]),"",IF(_xlfn.XLOOKUP(Term2_Early_Dismissal_1[[#This Row],[Activity]],Types_of_Activity[Type of Activity],Types_of_Activity[Classification])=2,Term2_Early_Dismissal_1[[#This Row],[Elapsed]],0))</f>
        <v/>
      </c>
      <c r="H81"/>
      <c r="I81" s="136"/>
      <c r="J81" s="136"/>
      <c r="K81" s="103"/>
      <c r="L81" s="106" t="str">
        <f>IF(OR(ISBLANK(Term2_Early_Dismissal_2[[#This Row],[Start]]),ISBLANK(Term2_Early_Dismissal_2[[#This Row],[End]])),"",(Term2_Early_Dismissal_2[[#This Row],[End]]-Term2_Early_Dismissal_2[[#This Row],[Start]])*1440)</f>
        <v/>
      </c>
      <c r="M81" s="106" t="str">
        <f>IF(ISBLANK(Term2_Early_Dismissal_2[[#This Row],[Activity]]),"",IF(_xlfn.XLOOKUP(Term2_Early_Dismissal_2[[#This Row],[Activity]],Types_of_Activity[Type of Activity],Types_of_Activity[Classification])=1,Term2_Early_Dismissal_2[[#This Row],[Elapsed]],0))</f>
        <v/>
      </c>
      <c r="N81" s="106" t="str">
        <f>IF(ISBLANK(Term2_Early_Dismissal_2[[#This Row],[Activity]]),"",IF(_xlfn.XLOOKUP(Term2_Early_Dismissal_2[[#This Row],[Activity]],Types_of_Activity[Type of Activity],Types_of_Activity[Classification])=2,Term2_Early_Dismissal_2[[#This Row],[Elapsed]],0))</f>
        <v/>
      </c>
      <c r="O81"/>
      <c r="P81" s="136"/>
      <c r="Q81" s="136"/>
      <c r="R81" s="103"/>
      <c r="S81" s="106" t="str">
        <f>IF(OR(ISBLANK(Term2_Early_Dismissal_3[[#This Row],[Start]]),ISBLANK(Term2_Early_Dismissal_3[[#This Row],[End]])),"",(Term2_Early_Dismissal_3[[#This Row],[End]]-Term2_Early_Dismissal_3[[#This Row],[Start]])*1440)</f>
        <v/>
      </c>
      <c r="T81" s="106" t="str">
        <f>IF(ISBLANK(Term2_Early_Dismissal_3[[#This Row],[Activity]]),"",IF(_xlfn.XLOOKUP(Term2_Early_Dismissal_3[[#This Row],[Activity]],Types_of_Activity[Type of Activity],Types_of_Activity[Classification])=1,Term2_Early_Dismissal_3[[#This Row],[Elapsed]],0))</f>
        <v/>
      </c>
      <c r="U81" s="106" t="str">
        <f>IF(ISBLANK(Term2_Early_Dismissal_3[[#This Row],[Activity]]),"",IF(_xlfn.XLOOKUP(Term2_Early_Dismissal_3[[#This Row],[Activity]],Types_of_Activity[Type of Activity],Types_of_Activity[Classification])=2,Term2_Early_Dismissal_3[[#This Row],[Elapsed]],0))</f>
        <v/>
      </c>
      <c r="W81" s="136"/>
      <c r="X81" s="136"/>
      <c r="Y81" s="103"/>
      <c r="Z81" s="106" t="str">
        <f>IF(OR(ISBLANK(Term2_Early_Dismissal_4[[#This Row],[Start]]),ISBLANK(Term2_Early_Dismissal_4[[#This Row],[End]])),"",(Term2_Early_Dismissal_4[[#This Row],[End]]-Term2_Early_Dismissal_4[[#This Row],[Start]])*1440)</f>
        <v/>
      </c>
      <c r="AA81" s="106" t="str">
        <f>IF(ISBLANK(Term2_Early_Dismissal_4[[#This Row],[Activity]]),"",IF(_xlfn.XLOOKUP(Term2_Early_Dismissal_4[[#This Row],[Activity]],Types_of_Activity[Type of Activity],Types_of_Activity[Classification])=1,Term2_Early_Dismissal_4[[#This Row],[Elapsed]],0))</f>
        <v/>
      </c>
      <c r="AB81" s="106" t="str">
        <f>IF(ISBLANK(Term2_Early_Dismissal_4[[#This Row],[Activity]]),"",IF(_xlfn.XLOOKUP(Term2_Early_Dismissal_4[[#This Row],[Activity]],Types_of_Activity[Type of Activity],Types_of_Activity[Classification])=2,Term2_Early_Dismissal_4[[#This Row],[Elapsed]],0))</f>
        <v/>
      </c>
      <c r="AD81" s="136"/>
      <c r="AE81" s="136"/>
      <c r="AF81" s="103"/>
      <c r="AG81" s="106" t="str">
        <f>IF(OR(ISBLANK(Term2_Early_Dismissal_5[[#This Row],[Start]]),ISBLANK(Term2_Early_Dismissal_5[[#This Row],[End]])),"",(Term2_Early_Dismissal_5[[#This Row],[End]]-Term2_Early_Dismissal_5[[#This Row],[Start]])*1440)</f>
        <v/>
      </c>
      <c r="AH81" s="106" t="str">
        <f>IF(ISBLANK(Term2_Early_Dismissal_5[[#This Row],[Activity]]),"",IF(_xlfn.XLOOKUP(Term2_Early_Dismissal_5[[#This Row],[Activity]],Types_of_Activity[Type of Activity],Types_of_Activity[Classification])=1,Term2_Early_Dismissal_5[[#This Row],[Elapsed]],0))</f>
        <v/>
      </c>
      <c r="AI81" s="106" t="str">
        <f>IF(ISBLANK(Term2_Early_Dismissal_5[[#This Row],[Activity]]),"",IF(_xlfn.XLOOKUP(Term2_Early_Dismissal_5[[#This Row],[Activity]],Types_of_Activity[Type of Activity],Types_of_Activity[Classification])=2,Term2_Early_Dismissal_5[[#This Row],[Elapsed]],0))</f>
        <v/>
      </c>
      <c r="AK81" s="136"/>
      <c r="AL81" s="136"/>
      <c r="AM81" s="103"/>
      <c r="AN81" s="106" t="str">
        <f>IF(OR(ISBLANK(Term2_Early_Dismissal_6[[#This Row],[Start]]),ISBLANK(Term2_Early_Dismissal_6[[#This Row],[End]])),"",(Term2_Early_Dismissal_6[[#This Row],[End]]-Term2_Early_Dismissal_6[[#This Row],[Start]])*1440)</f>
        <v/>
      </c>
      <c r="AO81" s="106" t="str">
        <f>IF(ISBLANK(Term2_Early_Dismissal_6[[#This Row],[Activity]]),"",IF(_xlfn.XLOOKUP(Term2_Early_Dismissal_6[[#This Row],[Activity]],Types_of_Activity[Type of Activity],Types_of_Activity[Classification])=1,Term2_Early_Dismissal_6[[#This Row],[Elapsed]],0))</f>
        <v/>
      </c>
      <c r="AP81" s="106" t="str">
        <f>IF(ISBLANK(Term2_Early_Dismissal_6[[#This Row],[Activity]]),"",IF(_xlfn.XLOOKUP(Term2_Early_Dismissal_6[[#This Row],[Activity]],Types_of_Activity[Type of Activity],Types_of_Activity[Classification])=2,Term2_Early_Dismissal_6[[#This Row],[Elapsed]],0))</f>
        <v/>
      </c>
    </row>
    <row r="82" spans="2:42" x14ac:dyDescent="0.3">
      <c r="B82" s="136"/>
      <c r="C82" s="136"/>
      <c r="D82" s="103"/>
      <c r="E82" s="106" t="str">
        <f>IF(OR(ISBLANK(Term2_Early_Dismissal_1[[#This Row],[Start]]),ISBLANK(Term2_Early_Dismissal_1[[#This Row],[End]])),"",(Term2_Early_Dismissal_1[[#This Row],[End]]-Term2_Early_Dismissal_1[[#This Row],[Start]])*1440)</f>
        <v/>
      </c>
      <c r="F82" s="106" t="str">
        <f>IF(ISBLANK(Term2_Early_Dismissal_1[[#This Row],[Activity]]),"",IF(_xlfn.XLOOKUP(Term2_Early_Dismissal_1[[#This Row],[Activity]],Types_of_Activity[Type of Activity],Types_of_Activity[Classification])=1,Term2_Early_Dismissal_1[[#This Row],[Elapsed]],0))</f>
        <v/>
      </c>
      <c r="G82" s="106" t="str">
        <f>IF(ISBLANK(Term2_Early_Dismissal_1[[#This Row],[Activity]]),"",IF(_xlfn.XLOOKUP(Term2_Early_Dismissal_1[[#This Row],[Activity]],Types_of_Activity[Type of Activity],Types_of_Activity[Classification])=2,Term2_Early_Dismissal_1[[#This Row],[Elapsed]],0))</f>
        <v/>
      </c>
      <c r="H82"/>
      <c r="I82" s="136"/>
      <c r="J82" s="136"/>
      <c r="K82" s="103"/>
      <c r="L82" s="106" t="str">
        <f>IF(OR(ISBLANK(Term2_Early_Dismissal_2[[#This Row],[Start]]),ISBLANK(Term2_Early_Dismissal_2[[#This Row],[End]])),"",(Term2_Early_Dismissal_2[[#This Row],[End]]-Term2_Early_Dismissal_2[[#This Row],[Start]])*1440)</f>
        <v/>
      </c>
      <c r="M82" s="106" t="str">
        <f>IF(ISBLANK(Term2_Early_Dismissal_2[[#This Row],[Activity]]),"",IF(_xlfn.XLOOKUP(Term2_Early_Dismissal_2[[#This Row],[Activity]],Types_of_Activity[Type of Activity],Types_of_Activity[Classification])=1,Term2_Early_Dismissal_2[[#This Row],[Elapsed]],0))</f>
        <v/>
      </c>
      <c r="N82" s="106" t="str">
        <f>IF(ISBLANK(Term2_Early_Dismissal_2[[#This Row],[Activity]]),"",IF(_xlfn.XLOOKUP(Term2_Early_Dismissal_2[[#This Row],[Activity]],Types_of_Activity[Type of Activity],Types_of_Activity[Classification])=2,Term2_Early_Dismissal_2[[#This Row],[Elapsed]],0))</f>
        <v/>
      </c>
      <c r="O82"/>
      <c r="P82" s="136"/>
      <c r="Q82" s="136"/>
      <c r="R82" s="103"/>
      <c r="S82" s="106" t="str">
        <f>IF(OR(ISBLANK(Term2_Early_Dismissal_3[[#This Row],[Start]]),ISBLANK(Term2_Early_Dismissal_3[[#This Row],[End]])),"",(Term2_Early_Dismissal_3[[#This Row],[End]]-Term2_Early_Dismissal_3[[#This Row],[Start]])*1440)</f>
        <v/>
      </c>
      <c r="T82" s="106" t="str">
        <f>IF(ISBLANK(Term2_Early_Dismissal_3[[#This Row],[Activity]]),"",IF(_xlfn.XLOOKUP(Term2_Early_Dismissal_3[[#This Row],[Activity]],Types_of_Activity[Type of Activity],Types_of_Activity[Classification])=1,Term2_Early_Dismissal_3[[#This Row],[Elapsed]],0))</f>
        <v/>
      </c>
      <c r="U82" s="106" t="str">
        <f>IF(ISBLANK(Term2_Early_Dismissal_3[[#This Row],[Activity]]),"",IF(_xlfn.XLOOKUP(Term2_Early_Dismissal_3[[#This Row],[Activity]],Types_of_Activity[Type of Activity],Types_of_Activity[Classification])=2,Term2_Early_Dismissal_3[[#This Row],[Elapsed]],0))</f>
        <v/>
      </c>
      <c r="W82" s="136"/>
      <c r="X82" s="136"/>
      <c r="Y82" s="103"/>
      <c r="Z82" s="106" t="str">
        <f>IF(OR(ISBLANK(Term2_Early_Dismissal_4[[#This Row],[Start]]),ISBLANK(Term2_Early_Dismissal_4[[#This Row],[End]])),"",(Term2_Early_Dismissal_4[[#This Row],[End]]-Term2_Early_Dismissal_4[[#This Row],[Start]])*1440)</f>
        <v/>
      </c>
      <c r="AA82" s="106" t="str">
        <f>IF(ISBLANK(Term2_Early_Dismissal_4[[#This Row],[Activity]]),"",IF(_xlfn.XLOOKUP(Term2_Early_Dismissal_4[[#This Row],[Activity]],Types_of_Activity[Type of Activity],Types_of_Activity[Classification])=1,Term2_Early_Dismissal_4[[#This Row],[Elapsed]],0))</f>
        <v/>
      </c>
      <c r="AB82" s="106" t="str">
        <f>IF(ISBLANK(Term2_Early_Dismissal_4[[#This Row],[Activity]]),"",IF(_xlfn.XLOOKUP(Term2_Early_Dismissal_4[[#This Row],[Activity]],Types_of_Activity[Type of Activity],Types_of_Activity[Classification])=2,Term2_Early_Dismissal_4[[#This Row],[Elapsed]],0))</f>
        <v/>
      </c>
      <c r="AD82" s="136"/>
      <c r="AE82" s="136"/>
      <c r="AF82" s="103"/>
      <c r="AG82" s="106" t="str">
        <f>IF(OR(ISBLANK(Term2_Early_Dismissal_5[[#This Row],[Start]]),ISBLANK(Term2_Early_Dismissal_5[[#This Row],[End]])),"",(Term2_Early_Dismissal_5[[#This Row],[End]]-Term2_Early_Dismissal_5[[#This Row],[Start]])*1440)</f>
        <v/>
      </c>
      <c r="AH82" s="106" t="str">
        <f>IF(ISBLANK(Term2_Early_Dismissal_5[[#This Row],[Activity]]),"",IF(_xlfn.XLOOKUP(Term2_Early_Dismissal_5[[#This Row],[Activity]],Types_of_Activity[Type of Activity],Types_of_Activity[Classification])=1,Term2_Early_Dismissal_5[[#This Row],[Elapsed]],0))</f>
        <v/>
      </c>
      <c r="AI82" s="106" t="str">
        <f>IF(ISBLANK(Term2_Early_Dismissal_5[[#This Row],[Activity]]),"",IF(_xlfn.XLOOKUP(Term2_Early_Dismissal_5[[#This Row],[Activity]],Types_of_Activity[Type of Activity],Types_of_Activity[Classification])=2,Term2_Early_Dismissal_5[[#This Row],[Elapsed]],0))</f>
        <v/>
      </c>
      <c r="AK82" s="136"/>
      <c r="AL82" s="136"/>
      <c r="AM82" s="103"/>
      <c r="AN82" s="106" t="str">
        <f>IF(OR(ISBLANK(Term2_Early_Dismissal_6[[#This Row],[Start]]),ISBLANK(Term2_Early_Dismissal_6[[#This Row],[End]])),"",(Term2_Early_Dismissal_6[[#This Row],[End]]-Term2_Early_Dismissal_6[[#This Row],[Start]])*1440)</f>
        <v/>
      </c>
      <c r="AO82" s="106" t="str">
        <f>IF(ISBLANK(Term2_Early_Dismissal_6[[#This Row],[Activity]]),"",IF(_xlfn.XLOOKUP(Term2_Early_Dismissal_6[[#This Row],[Activity]],Types_of_Activity[Type of Activity],Types_of_Activity[Classification])=1,Term2_Early_Dismissal_6[[#This Row],[Elapsed]],0))</f>
        <v/>
      </c>
      <c r="AP82" s="106" t="str">
        <f>IF(ISBLANK(Term2_Early_Dismissal_6[[#This Row],[Activity]]),"",IF(_xlfn.XLOOKUP(Term2_Early_Dismissal_6[[#This Row],[Activity]],Types_of_Activity[Type of Activity],Types_of_Activity[Classification])=2,Term2_Early_Dismissal_6[[#This Row],[Elapsed]],0))</f>
        <v/>
      </c>
    </row>
    <row r="83" spans="2:42" x14ac:dyDescent="0.3">
      <c r="B83" s="136"/>
      <c r="C83" s="136"/>
      <c r="D83" s="103"/>
      <c r="E83" s="106" t="str">
        <f>IF(OR(ISBLANK(Term2_Early_Dismissal_1[[#This Row],[Start]]),ISBLANK(Term2_Early_Dismissal_1[[#This Row],[End]])),"",(Term2_Early_Dismissal_1[[#This Row],[End]]-Term2_Early_Dismissal_1[[#This Row],[Start]])*1440)</f>
        <v/>
      </c>
      <c r="F83" s="106" t="str">
        <f>IF(ISBLANK(Term2_Early_Dismissal_1[[#This Row],[Activity]]),"",IF(_xlfn.XLOOKUP(Term2_Early_Dismissal_1[[#This Row],[Activity]],Types_of_Activity[Type of Activity],Types_of_Activity[Classification])=1,Term2_Early_Dismissal_1[[#This Row],[Elapsed]],0))</f>
        <v/>
      </c>
      <c r="G83" s="106" t="str">
        <f>IF(ISBLANK(Term2_Early_Dismissal_1[[#This Row],[Activity]]),"",IF(_xlfn.XLOOKUP(Term2_Early_Dismissal_1[[#This Row],[Activity]],Types_of_Activity[Type of Activity],Types_of_Activity[Classification])=2,Term2_Early_Dismissal_1[[#This Row],[Elapsed]],0))</f>
        <v/>
      </c>
      <c r="H83"/>
      <c r="I83" s="136"/>
      <c r="J83" s="136"/>
      <c r="K83" s="103"/>
      <c r="L83" s="106" t="str">
        <f>IF(OR(ISBLANK(Term2_Early_Dismissal_2[[#This Row],[Start]]),ISBLANK(Term2_Early_Dismissal_2[[#This Row],[End]])),"",(Term2_Early_Dismissal_2[[#This Row],[End]]-Term2_Early_Dismissal_2[[#This Row],[Start]])*1440)</f>
        <v/>
      </c>
      <c r="M83" s="106" t="str">
        <f>IF(ISBLANK(Term2_Early_Dismissal_2[[#This Row],[Activity]]),"",IF(_xlfn.XLOOKUP(Term2_Early_Dismissal_2[[#This Row],[Activity]],Types_of_Activity[Type of Activity],Types_of_Activity[Classification])=1,Term2_Early_Dismissal_2[[#This Row],[Elapsed]],0))</f>
        <v/>
      </c>
      <c r="N83" s="106" t="str">
        <f>IF(ISBLANK(Term2_Early_Dismissal_2[[#This Row],[Activity]]),"",IF(_xlfn.XLOOKUP(Term2_Early_Dismissal_2[[#This Row],[Activity]],Types_of_Activity[Type of Activity],Types_of_Activity[Classification])=2,Term2_Early_Dismissal_2[[#This Row],[Elapsed]],0))</f>
        <v/>
      </c>
      <c r="O83"/>
      <c r="P83" s="136"/>
      <c r="Q83" s="136"/>
      <c r="R83" s="103"/>
      <c r="S83" s="106" t="str">
        <f>IF(OR(ISBLANK(Term2_Early_Dismissal_3[[#This Row],[Start]]),ISBLANK(Term2_Early_Dismissal_3[[#This Row],[End]])),"",(Term2_Early_Dismissal_3[[#This Row],[End]]-Term2_Early_Dismissal_3[[#This Row],[Start]])*1440)</f>
        <v/>
      </c>
      <c r="T83" s="106" t="str">
        <f>IF(ISBLANK(Term2_Early_Dismissal_3[[#This Row],[Activity]]),"",IF(_xlfn.XLOOKUP(Term2_Early_Dismissal_3[[#This Row],[Activity]],Types_of_Activity[Type of Activity],Types_of_Activity[Classification])=1,Term2_Early_Dismissal_3[[#This Row],[Elapsed]],0))</f>
        <v/>
      </c>
      <c r="U83" s="106" t="str">
        <f>IF(ISBLANK(Term2_Early_Dismissal_3[[#This Row],[Activity]]),"",IF(_xlfn.XLOOKUP(Term2_Early_Dismissal_3[[#This Row],[Activity]],Types_of_Activity[Type of Activity],Types_of_Activity[Classification])=2,Term2_Early_Dismissal_3[[#This Row],[Elapsed]],0))</f>
        <v/>
      </c>
      <c r="W83" s="136"/>
      <c r="X83" s="136"/>
      <c r="Y83" s="103"/>
      <c r="Z83" s="106" t="str">
        <f>IF(OR(ISBLANK(Term2_Early_Dismissal_4[[#This Row],[Start]]),ISBLANK(Term2_Early_Dismissal_4[[#This Row],[End]])),"",(Term2_Early_Dismissal_4[[#This Row],[End]]-Term2_Early_Dismissal_4[[#This Row],[Start]])*1440)</f>
        <v/>
      </c>
      <c r="AA83" s="106" t="str">
        <f>IF(ISBLANK(Term2_Early_Dismissal_4[[#This Row],[Activity]]),"",IF(_xlfn.XLOOKUP(Term2_Early_Dismissal_4[[#This Row],[Activity]],Types_of_Activity[Type of Activity],Types_of_Activity[Classification])=1,Term2_Early_Dismissal_4[[#This Row],[Elapsed]],0))</f>
        <v/>
      </c>
      <c r="AB83" s="106" t="str">
        <f>IF(ISBLANK(Term2_Early_Dismissal_4[[#This Row],[Activity]]),"",IF(_xlfn.XLOOKUP(Term2_Early_Dismissal_4[[#This Row],[Activity]],Types_of_Activity[Type of Activity],Types_of_Activity[Classification])=2,Term2_Early_Dismissal_4[[#This Row],[Elapsed]],0))</f>
        <v/>
      </c>
      <c r="AD83" s="136"/>
      <c r="AE83" s="136"/>
      <c r="AF83" s="103"/>
      <c r="AG83" s="106" t="str">
        <f>IF(OR(ISBLANK(Term2_Early_Dismissal_5[[#This Row],[Start]]),ISBLANK(Term2_Early_Dismissal_5[[#This Row],[End]])),"",(Term2_Early_Dismissal_5[[#This Row],[End]]-Term2_Early_Dismissal_5[[#This Row],[Start]])*1440)</f>
        <v/>
      </c>
      <c r="AH83" s="106" t="str">
        <f>IF(ISBLANK(Term2_Early_Dismissal_5[[#This Row],[Activity]]),"",IF(_xlfn.XLOOKUP(Term2_Early_Dismissal_5[[#This Row],[Activity]],Types_of_Activity[Type of Activity],Types_of_Activity[Classification])=1,Term2_Early_Dismissal_5[[#This Row],[Elapsed]],0))</f>
        <v/>
      </c>
      <c r="AI83" s="106" t="str">
        <f>IF(ISBLANK(Term2_Early_Dismissal_5[[#This Row],[Activity]]),"",IF(_xlfn.XLOOKUP(Term2_Early_Dismissal_5[[#This Row],[Activity]],Types_of_Activity[Type of Activity],Types_of_Activity[Classification])=2,Term2_Early_Dismissal_5[[#This Row],[Elapsed]],0))</f>
        <v/>
      </c>
      <c r="AK83" s="136"/>
      <c r="AL83" s="136"/>
      <c r="AM83" s="103"/>
      <c r="AN83" s="106" t="str">
        <f>IF(OR(ISBLANK(Term2_Early_Dismissal_6[[#This Row],[Start]]),ISBLANK(Term2_Early_Dismissal_6[[#This Row],[End]])),"",(Term2_Early_Dismissal_6[[#This Row],[End]]-Term2_Early_Dismissal_6[[#This Row],[Start]])*1440)</f>
        <v/>
      </c>
      <c r="AO83" s="106" t="str">
        <f>IF(ISBLANK(Term2_Early_Dismissal_6[[#This Row],[Activity]]),"",IF(_xlfn.XLOOKUP(Term2_Early_Dismissal_6[[#This Row],[Activity]],Types_of_Activity[Type of Activity],Types_of_Activity[Classification])=1,Term2_Early_Dismissal_6[[#This Row],[Elapsed]],0))</f>
        <v/>
      </c>
      <c r="AP83" s="106" t="str">
        <f>IF(ISBLANK(Term2_Early_Dismissal_6[[#This Row],[Activity]]),"",IF(_xlfn.XLOOKUP(Term2_Early_Dismissal_6[[#This Row],[Activity]],Types_of_Activity[Type of Activity],Types_of_Activity[Classification])=2,Term2_Early_Dismissal_6[[#This Row],[Elapsed]],0))</f>
        <v/>
      </c>
    </row>
    <row r="84" spans="2:42" x14ac:dyDescent="0.3">
      <c r="B84" s="136"/>
      <c r="C84" s="136"/>
      <c r="D84" s="103"/>
      <c r="E84" s="106" t="str">
        <f>IF(OR(ISBLANK(Term2_Early_Dismissal_1[[#This Row],[Start]]),ISBLANK(Term2_Early_Dismissal_1[[#This Row],[End]])),"",(Term2_Early_Dismissal_1[[#This Row],[End]]-Term2_Early_Dismissal_1[[#This Row],[Start]])*1440)</f>
        <v/>
      </c>
      <c r="F84" s="106" t="str">
        <f>IF(ISBLANK(Term2_Early_Dismissal_1[[#This Row],[Activity]]),"",IF(_xlfn.XLOOKUP(Term2_Early_Dismissal_1[[#This Row],[Activity]],Types_of_Activity[Type of Activity],Types_of_Activity[Classification])=1,Term2_Early_Dismissal_1[[#This Row],[Elapsed]],0))</f>
        <v/>
      </c>
      <c r="G84" s="106" t="str">
        <f>IF(ISBLANK(Term2_Early_Dismissal_1[[#This Row],[Activity]]),"",IF(_xlfn.XLOOKUP(Term2_Early_Dismissal_1[[#This Row],[Activity]],Types_of_Activity[Type of Activity],Types_of_Activity[Classification])=2,Term2_Early_Dismissal_1[[#This Row],[Elapsed]],0))</f>
        <v/>
      </c>
      <c r="H84"/>
      <c r="I84" s="136"/>
      <c r="J84" s="136"/>
      <c r="K84" s="103"/>
      <c r="L84" s="106" t="str">
        <f>IF(OR(ISBLANK(Term2_Early_Dismissal_2[[#This Row],[Start]]),ISBLANK(Term2_Early_Dismissal_2[[#This Row],[End]])),"",(Term2_Early_Dismissal_2[[#This Row],[End]]-Term2_Early_Dismissal_2[[#This Row],[Start]])*1440)</f>
        <v/>
      </c>
      <c r="M84" s="106" t="str">
        <f>IF(ISBLANK(Term2_Early_Dismissal_2[[#This Row],[Activity]]),"",IF(_xlfn.XLOOKUP(Term2_Early_Dismissal_2[[#This Row],[Activity]],Types_of_Activity[Type of Activity],Types_of_Activity[Classification])=1,Term2_Early_Dismissal_2[[#This Row],[Elapsed]],0))</f>
        <v/>
      </c>
      <c r="N84" s="106" t="str">
        <f>IF(ISBLANK(Term2_Early_Dismissal_2[[#This Row],[Activity]]),"",IF(_xlfn.XLOOKUP(Term2_Early_Dismissal_2[[#This Row],[Activity]],Types_of_Activity[Type of Activity],Types_of_Activity[Classification])=2,Term2_Early_Dismissal_2[[#This Row],[Elapsed]],0))</f>
        <v/>
      </c>
      <c r="O84"/>
      <c r="P84" s="136"/>
      <c r="Q84" s="136"/>
      <c r="R84" s="103"/>
      <c r="S84" s="106" t="str">
        <f>IF(OR(ISBLANK(Term2_Early_Dismissal_3[[#This Row],[Start]]),ISBLANK(Term2_Early_Dismissal_3[[#This Row],[End]])),"",(Term2_Early_Dismissal_3[[#This Row],[End]]-Term2_Early_Dismissal_3[[#This Row],[Start]])*1440)</f>
        <v/>
      </c>
      <c r="T84" s="106" t="str">
        <f>IF(ISBLANK(Term2_Early_Dismissal_3[[#This Row],[Activity]]),"",IF(_xlfn.XLOOKUP(Term2_Early_Dismissal_3[[#This Row],[Activity]],Types_of_Activity[Type of Activity],Types_of_Activity[Classification])=1,Term2_Early_Dismissal_3[[#This Row],[Elapsed]],0))</f>
        <v/>
      </c>
      <c r="U84" s="106" t="str">
        <f>IF(ISBLANK(Term2_Early_Dismissal_3[[#This Row],[Activity]]),"",IF(_xlfn.XLOOKUP(Term2_Early_Dismissal_3[[#This Row],[Activity]],Types_of_Activity[Type of Activity],Types_of_Activity[Classification])=2,Term2_Early_Dismissal_3[[#This Row],[Elapsed]],0))</f>
        <v/>
      </c>
      <c r="W84" s="136"/>
      <c r="X84" s="136"/>
      <c r="Y84" s="103"/>
      <c r="Z84" s="106" t="str">
        <f>IF(OR(ISBLANK(Term2_Early_Dismissal_4[[#This Row],[Start]]),ISBLANK(Term2_Early_Dismissal_4[[#This Row],[End]])),"",(Term2_Early_Dismissal_4[[#This Row],[End]]-Term2_Early_Dismissal_4[[#This Row],[Start]])*1440)</f>
        <v/>
      </c>
      <c r="AA84" s="106" t="str">
        <f>IF(ISBLANK(Term2_Early_Dismissal_4[[#This Row],[Activity]]),"",IF(_xlfn.XLOOKUP(Term2_Early_Dismissal_4[[#This Row],[Activity]],Types_of_Activity[Type of Activity],Types_of_Activity[Classification])=1,Term2_Early_Dismissal_4[[#This Row],[Elapsed]],0))</f>
        <v/>
      </c>
      <c r="AB84" s="106" t="str">
        <f>IF(ISBLANK(Term2_Early_Dismissal_4[[#This Row],[Activity]]),"",IF(_xlfn.XLOOKUP(Term2_Early_Dismissal_4[[#This Row],[Activity]],Types_of_Activity[Type of Activity],Types_of_Activity[Classification])=2,Term2_Early_Dismissal_4[[#This Row],[Elapsed]],0))</f>
        <v/>
      </c>
      <c r="AD84" s="136"/>
      <c r="AE84" s="136"/>
      <c r="AF84" s="103"/>
      <c r="AG84" s="106" t="str">
        <f>IF(OR(ISBLANK(Term2_Early_Dismissal_5[[#This Row],[Start]]),ISBLANK(Term2_Early_Dismissal_5[[#This Row],[End]])),"",(Term2_Early_Dismissal_5[[#This Row],[End]]-Term2_Early_Dismissal_5[[#This Row],[Start]])*1440)</f>
        <v/>
      </c>
      <c r="AH84" s="106" t="str">
        <f>IF(ISBLANK(Term2_Early_Dismissal_5[[#This Row],[Activity]]),"",IF(_xlfn.XLOOKUP(Term2_Early_Dismissal_5[[#This Row],[Activity]],Types_of_Activity[Type of Activity],Types_of_Activity[Classification])=1,Term2_Early_Dismissal_5[[#This Row],[Elapsed]],0))</f>
        <v/>
      </c>
      <c r="AI84" s="106" t="str">
        <f>IF(ISBLANK(Term2_Early_Dismissal_5[[#This Row],[Activity]]),"",IF(_xlfn.XLOOKUP(Term2_Early_Dismissal_5[[#This Row],[Activity]],Types_of_Activity[Type of Activity],Types_of_Activity[Classification])=2,Term2_Early_Dismissal_5[[#This Row],[Elapsed]],0))</f>
        <v/>
      </c>
      <c r="AK84" s="136"/>
      <c r="AL84" s="136"/>
      <c r="AM84" s="103"/>
      <c r="AN84" s="106" t="str">
        <f>IF(OR(ISBLANK(Term2_Early_Dismissal_6[[#This Row],[Start]]),ISBLANK(Term2_Early_Dismissal_6[[#This Row],[End]])),"",(Term2_Early_Dismissal_6[[#This Row],[End]]-Term2_Early_Dismissal_6[[#This Row],[Start]])*1440)</f>
        <v/>
      </c>
      <c r="AO84" s="106" t="str">
        <f>IF(ISBLANK(Term2_Early_Dismissal_6[[#This Row],[Activity]]),"",IF(_xlfn.XLOOKUP(Term2_Early_Dismissal_6[[#This Row],[Activity]],Types_of_Activity[Type of Activity],Types_of_Activity[Classification])=1,Term2_Early_Dismissal_6[[#This Row],[Elapsed]],0))</f>
        <v/>
      </c>
      <c r="AP84" s="106" t="str">
        <f>IF(ISBLANK(Term2_Early_Dismissal_6[[#This Row],[Activity]]),"",IF(_xlfn.XLOOKUP(Term2_Early_Dismissal_6[[#This Row],[Activity]],Types_of_Activity[Type of Activity],Types_of_Activity[Classification])=2,Term2_Early_Dismissal_6[[#This Row],[Elapsed]],0))</f>
        <v/>
      </c>
    </row>
    <row r="85" spans="2:42" x14ac:dyDescent="0.3">
      <c r="B85" s="136"/>
      <c r="C85" s="136"/>
      <c r="D85" s="103"/>
      <c r="E85" s="106" t="str">
        <f>IF(OR(ISBLANK(Term2_Early_Dismissal_1[[#This Row],[Start]]),ISBLANK(Term2_Early_Dismissal_1[[#This Row],[End]])),"",(Term2_Early_Dismissal_1[[#This Row],[End]]-Term2_Early_Dismissal_1[[#This Row],[Start]])*1440)</f>
        <v/>
      </c>
      <c r="F85" s="106" t="str">
        <f>IF(ISBLANK(Term2_Early_Dismissal_1[[#This Row],[Activity]]),"",IF(_xlfn.XLOOKUP(Term2_Early_Dismissal_1[[#This Row],[Activity]],Types_of_Activity[Type of Activity],Types_of_Activity[Classification])=1,Term2_Early_Dismissal_1[[#This Row],[Elapsed]],0))</f>
        <v/>
      </c>
      <c r="G85" s="106" t="str">
        <f>IF(ISBLANK(Term2_Early_Dismissal_1[[#This Row],[Activity]]),"",IF(_xlfn.XLOOKUP(Term2_Early_Dismissal_1[[#This Row],[Activity]],Types_of_Activity[Type of Activity],Types_of_Activity[Classification])=2,Term2_Early_Dismissal_1[[#This Row],[Elapsed]],0))</f>
        <v/>
      </c>
      <c r="H85"/>
      <c r="I85" s="136"/>
      <c r="J85" s="136"/>
      <c r="K85" s="103"/>
      <c r="L85" s="106" t="str">
        <f>IF(OR(ISBLANK(Term2_Early_Dismissal_2[[#This Row],[Start]]),ISBLANK(Term2_Early_Dismissal_2[[#This Row],[End]])),"",(Term2_Early_Dismissal_2[[#This Row],[End]]-Term2_Early_Dismissal_2[[#This Row],[Start]])*1440)</f>
        <v/>
      </c>
      <c r="M85" s="106" t="str">
        <f>IF(ISBLANK(Term2_Early_Dismissal_2[[#This Row],[Activity]]),"",IF(_xlfn.XLOOKUP(Term2_Early_Dismissal_2[[#This Row],[Activity]],Types_of_Activity[Type of Activity],Types_of_Activity[Classification])=1,Term2_Early_Dismissal_2[[#This Row],[Elapsed]],0))</f>
        <v/>
      </c>
      <c r="N85" s="106" t="str">
        <f>IF(ISBLANK(Term2_Early_Dismissal_2[[#This Row],[Activity]]),"",IF(_xlfn.XLOOKUP(Term2_Early_Dismissal_2[[#This Row],[Activity]],Types_of_Activity[Type of Activity],Types_of_Activity[Classification])=2,Term2_Early_Dismissal_2[[#This Row],[Elapsed]],0))</f>
        <v/>
      </c>
      <c r="O85"/>
      <c r="P85" s="136"/>
      <c r="Q85" s="136"/>
      <c r="R85" s="103"/>
      <c r="S85" s="106" t="str">
        <f>IF(OR(ISBLANK(Term2_Early_Dismissal_3[[#This Row],[Start]]),ISBLANK(Term2_Early_Dismissal_3[[#This Row],[End]])),"",(Term2_Early_Dismissal_3[[#This Row],[End]]-Term2_Early_Dismissal_3[[#This Row],[Start]])*1440)</f>
        <v/>
      </c>
      <c r="T85" s="106" t="str">
        <f>IF(ISBLANK(Term2_Early_Dismissal_3[[#This Row],[Activity]]),"",IF(_xlfn.XLOOKUP(Term2_Early_Dismissal_3[[#This Row],[Activity]],Types_of_Activity[Type of Activity],Types_of_Activity[Classification])=1,Term2_Early_Dismissal_3[[#This Row],[Elapsed]],0))</f>
        <v/>
      </c>
      <c r="U85" s="106" t="str">
        <f>IF(ISBLANK(Term2_Early_Dismissal_3[[#This Row],[Activity]]),"",IF(_xlfn.XLOOKUP(Term2_Early_Dismissal_3[[#This Row],[Activity]],Types_of_Activity[Type of Activity],Types_of_Activity[Classification])=2,Term2_Early_Dismissal_3[[#This Row],[Elapsed]],0))</f>
        <v/>
      </c>
      <c r="W85" s="136"/>
      <c r="X85" s="136"/>
      <c r="Y85" s="103"/>
      <c r="Z85" s="106" t="str">
        <f>IF(OR(ISBLANK(Term2_Early_Dismissal_4[[#This Row],[Start]]),ISBLANK(Term2_Early_Dismissal_4[[#This Row],[End]])),"",(Term2_Early_Dismissal_4[[#This Row],[End]]-Term2_Early_Dismissal_4[[#This Row],[Start]])*1440)</f>
        <v/>
      </c>
      <c r="AA85" s="106" t="str">
        <f>IF(ISBLANK(Term2_Early_Dismissal_4[[#This Row],[Activity]]),"",IF(_xlfn.XLOOKUP(Term2_Early_Dismissal_4[[#This Row],[Activity]],Types_of_Activity[Type of Activity],Types_of_Activity[Classification])=1,Term2_Early_Dismissal_4[[#This Row],[Elapsed]],0))</f>
        <v/>
      </c>
      <c r="AB85" s="106" t="str">
        <f>IF(ISBLANK(Term2_Early_Dismissal_4[[#This Row],[Activity]]),"",IF(_xlfn.XLOOKUP(Term2_Early_Dismissal_4[[#This Row],[Activity]],Types_of_Activity[Type of Activity],Types_of_Activity[Classification])=2,Term2_Early_Dismissal_4[[#This Row],[Elapsed]],0))</f>
        <v/>
      </c>
      <c r="AD85" s="136"/>
      <c r="AE85" s="136"/>
      <c r="AF85" s="103"/>
      <c r="AG85" s="106" t="str">
        <f>IF(OR(ISBLANK(Term2_Early_Dismissal_5[[#This Row],[Start]]),ISBLANK(Term2_Early_Dismissal_5[[#This Row],[End]])),"",(Term2_Early_Dismissal_5[[#This Row],[End]]-Term2_Early_Dismissal_5[[#This Row],[Start]])*1440)</f>
        <v/>
      </c>
      <c r="AH85" s="106" t="str">
        <f>IF(ISBLANK(Term2_Early_Dismissal_5[[#This Row],[Activity]]),"",IF(_xlfn.XLOOKUP(Term2_Early_Dismissal_5[[#This Row],[Activity]],Types_of_Activity[Type of Activity],Types_of_Activity[Classification])=1,Term2_Early_Dismissal_5[[#This Row],[Elapsed]],0))</f>
        <v/>
      </c>
      <c r="AI85" s="106" t="str">
        <f>IF(ISBLANK(Term2_Early_Dismissal_5[[#This Row],[Activity]]),"",IF(_xlfn.XLOOKUP(Term2_Early_Dismissal_5[[#This Row],[Activity]],Types_of_Activity[Type of Activity],Types_of_Activity[Classification])=2,Term2_Early_Dismissal_5[[#This Row],[Elapsed]],0))</f>
        <v/>
      </c>
      <c r="AK85" s="136"/>
      <c r="AL85" s="136"/>
      <c r="AM85" s="103"/>
      <c r="AN85" s="106" t="str">
        <f>IF(OR(ISBLANK(Term2_Early_Dismissal_6[[#This Row],[Start]]),ISBLANK(Term2_Early_Dismissal_6[[#This Row],[End]])),"",(Term2_Early_Dismissal_6[[#This Row],[End]]-Term2_Early_Dismissal_6[[#This Row],[Start]])*1440)</f>
        <v/>
      </c>
      <c r="AO85" s="106" t="str">
        <f>IF(ISBLANK(Term2_Early_Dismissal_6[[#This Row],[Activity]]),"",IF(_xlfn.XLOOKUP(Term2_Early_Dismissal_6[[#This Row],[Activity]],Types_of_Activity[Type of Activity],Types_of_Activity[Classification])=1,Term2_Early_Dismissal_6[[#This Row],[Elapsed]],0))</f>
        <v/>
      </c>
      <c r="AP85" s="106" t="str">
        <f>IF(ISBLANK(Term2_Early_Dismissal_6[[#This Row],[Activity]]),"",IF(_xlfn.XLOOKUP(Term2_Early_Dismissal_6[[#This Row],[Activity]],Types_of_Activity[Type of Activity],Types_of_Activity[Classification])=2,Term2_Early_Dismissal_6[[#This Row],[Elapsed]],0))</f>
        <v/>
      </c>
    </row>
    <row r="86" spans="2:42" x14ac:dyDescent="0.3">
      <c r="B86" s="136"/>
      <c r="C86" s="136"/>
      <c r="D86" s="103"/>
      <c r="E86" s="106" t="str">
        <f>IF(OR(ISBLANK(Term2_Early_Dismissal_1[[#This Row],[Start]]),ISBLANK(Term2_Early_Dismissal_1[[#This Row],[End]])),"",(Term2_Early_Dismissal_1[[#This Row],[End]]-Term2_Early_Dismissal_1[[#This Row],[Start]])*1440)</f>
        <v/>
      </c>
      <c r="F86" s="106" t="str">
        <f>IF(ISBLANK(Term2_Early_Dismissal_1[[#This Row],[Activity]]),"",IF(_xlfn.XLOOKUP(Term2_Early_Dismissal_1[[#This Row],[Activity]],Types_of_Activity[Type of Activity],Types_of_Activity[Classification])=1,Term2_Early_Dismissal_1[[#This Row],[Elapsed]],0))</f>
        <v/>
      </c>
      <c r="G86" s="106" t="str">
        <f>IF(ISBLANK(Term2_Early_Dismissal_1[[#This Row],[Activity]]),"",IF(_xlfn.XLOOKUP(Term2_Early_Dismissal_1[[#This Row],[Activity]],Types_of_Activity[Type of Activity],Types_of_Activity[Classification])=2,Term2_Early_Dismissal_1[[#This Row],[Elapsed]],0))</f>
        <v/>
      </c>
      <c r="H86"/>
      <c r="I86" s="136"/>
      <c r="J86" s="136"/>
      <c r="K86" s="103"/>
      <c r="L86" s="106" t="str">
        <f>IF(OR(ISBLANK(Term2_Early_Dismissal_2[[#This Row],[Start]]),ISBLANK(Term2_Early_Dismissal_2[[#This Row],[End]])),"",(Term2_Early_Dismissal_2[[#This Row],[End]]-Term2_Early_Dismissal_2[[#This Row],[Start]])*1440)</f>
        <v/>
      </c>
      <c r="M86" s="106" t="str">
        <f>IF(ISBLANK(Term2_Early_Dismissal_2[[#This Row],[Activity]]),"",IF(_xlfn.XLOOKUP(Term2_Early_Dismissal_2[[#This Row],[Activity]],Types_of_Activity[Type of Activity],Types_of_Activity[Classification])=1,Term2_Early_Dismissal_2[[#This Row],[Elapsed]],0))</f>
        <v/>
      </c>
      <c r="N86" s="106" t="str">
        <f>IF(ISBLANK(Term2_Early_Dismissal_2[[#This Row],[Activity]]),"",IF(_xlfn.XLOOKUP(Term2_Early_Dismissal_2[[#This Row],[Activity]],Types_of_Activity[Type of Activity],Types_of_Activity[Classification])=2,Term2_Early_Dismissal_2[[#This Row],[Elapsed]],0))</f>
        <v/>
      </c>
      <c r="O86"/>
      <c r="P86" s="136"/>
      <c r="Q86" s="136"/>
      <c r="R86" s="103"/>
      <c r="S86" s="106" t="str">
        <f>IF(OR(ISBLANK(Term2_Early_Dismissal_3[[#This Row],[Start]]),ISBLANK(Term2_Early_Dismissal_3[[#This Row],[End]])),"",(Term2_Early_Dismissal_3[[#This Row],[End]]-Term2_Early_Dismissal_3[[#This Row],[Start]])*1440)</f>
        <v/>
      </c>
      <c r="T86" s="106" t="str">
        <f>IF(ISBLANK(Term2_Early_Dismissal_3[[#This Row],[Activity]]),"",IF(_xlfn.XLOOKUP(Term2_Early_Dismissal_3[[#This Row],[Activity]],Types_of_Activity[Type of Activity],Types_of_Activity[Classification])=1,Term2_Early_Dismissal_3[[#This Row],[Elapsed]],0))</f>
        <v/>
      </c>
      <c r="U86" s="106" t="str">
        <f>IF(ISBLANK(Term2_Early_Dismissal_3[[#This Row],[Activity]]),"",IF(_xlfn.XLOOKUP(Term2_Early_Dismissal_3[[#This Row],[Activity]],Types_of_Activity[Type of Activity],Types_of_Activity[Classification])=2,Term2_Early_Dismissal_3[[#This Row],[Elapsed]],0))</f>
        <v/>
      </c>
      <c r="W86" s="136"/>
      <c r="X86" s="136"/>
      <c r="Y86" s="103"/>
      <c r="Z86" s="106" t="str">
        <f>IF(OR(ISBLANK(Term2_Early_Dismissal_4[[#This Row],[Start]]),ISBLANK(Term2_Early_Dismissal_4[[#This Row],[End]])),"",(Term2_Early_Dismissal_4[[#This Row],[End]]-Term2_Early_Dismissal_4[[#This Row],[Start]])*1440)</f>
        <v/>
      </c>
      <c r="AA86" s="106" t="str">
        <f>IF(ISBLANK(Term2_Early_Dismissal_4[[#This Row],[Activity]]),"",IF(_xlfn.XLOOKUP(Term2_Early_Dismissal_4[[#This Row],[Activity]],Types_of_Activity[Type of Activity],Types_of_Activity[Classification])=1,Term2_Early_Dismissal_4[[#This Row],[Elapsed]],0))</f>
        <v/>
      </c>
      <c r="AB86" s="106" t="str">
        <f>IF(ISBLANK(Term2_Early_Dismissal_4[[#This Row],[Activity]]),"",IF(_xlfn.XLOOKUP(Term2_Early_Dismissal_4[[#This Row],[Activity]],Types_of_Activity[Type of Activity],Types_of_Activity[Classification])=2,Term2_Early_Dismissal_4[[#This Row],[Elapsed]],0))</f>
        <v/>
      </c>
      <c r="AD86" s="136"/>
      <c r="AE86" s="136"/>
      <c r="AF86" s="103"/>
      <c r="AG86" s="106" t="str">
        <f>IF(OR(ISBLANK(Term2_Early_Dismissal_5[[#This Row],[Start]]),ISBLANK(Term2_Early_Dismissal_5[[#This Row],[End]])),"",(Term2_Early_Dismissal_5[[#This Row],[End]]-Term2_Early_Dismissal_5[[#This Row],[Start]])*1440)</f>
        <v/>
      </c>
      <c r="AH86" s="106" t="str">
        <f>IF(ISBLANK(Term2_Early_Dismissal_5[[#This Row],[Activity]]),"",IF(_xlfn.XLOOKUP(Term2_Early_Dismissal_5[[#This Row],[Activity]],Types_of_Activity[Type of Activity],Types_of_Activity[Classification])=1,Term2_Early_Dismissal_5[[#This Row],[Elapsed]],0))</f>
        <v/>
      </c>
      <c r="AI86" s="106" t="str">
        <f>IF(ISBLANK(Term2_Early_Dismissal_5[[#This Row],[Activity]]),"",IF(_xlfn.XLOOKUP(Term2_Early_Dismissal_5[[#This Row],[Activity]],Types_of_Activity[Type of Activity],Types_of_Activity[Classification])=2,Term2_Early_Dismissal_5[[#This Row],[Elapsed]],0))</f>
        <v/>
      </c>
      <c r="AK86" s="136"/>
      <c r="AL86" s="136"/>
      <c r="AM86" s="103"/>
      <c r="AN86" s="106" t="str">
        <f>IF(OR(ISBLANK(Term2_Early_Dismissal_6[[#This Row],[Start]]),ISBLANK(Term2_Early_Dismissal_6[[#This Row],[End]])),"",(Term2_Early_Dismissal_6[[#This Row],[End]]-Term2_Early_Dismissal_6[[#This Row],[Start]])*1440)</f>
        <v/>
      </c>
      <c r="AO86" s="106" t="str">
        <f>IF(ISBLANK(Term2_Early_Dismissal_6[[#This Row],[Activity]]),"",IF(_xlfn.XLOOKUP(Term2_Early_Dismissal_6[[#This Row],[Activity]],Types_of_Activity[Type of Activity],Types_of_Activity[Classification])=1,Term2_Early_Dismissal_6[[#This Row],[Elapsed]],0))</f>
        <v/>
      </c>
      <c r="AP86" s="106" t="str">
        <f>IF(ISBLANK(Term2_Early_Dismissal_6[[#This Row],[Activity]]),"",IF(_xlfn.XLOOKUP(Term2_Early_Dismissal_6[[#This Row],[Activity]],Types_of_Activity[Type of Activity],Types_of_Activity[Classification])=2,Term2_Early_Dismissal_6[[#This Row],[Elapsed]],0))</f>
        <v/>
      </c>
    </row>
    <row r="87" spans="2:42" x14ac:dyDescent="0.3">
      <c r="B87" s="136"/>
      <c r="C87" s="136"/>
      <c r="D87" s="103"/>
      <c r="E87" s="106" t="str">
        <f>IF(OR(ISBLANK(Term2_Early_Dismissal_1[[#This Row],[Start]]),ISBLANK(Term2_Early_Dismissal_1[[#This Row],[End]])),"",(Term2_Early_Dismissal_1[[#This Row],[End]]-Term2_Early_Dismissal_1[[#This Row],[Start]])*1440)</f>
        <v/>
      </c>
      <c r="F87" s="106" t="str">
        <f>IF(ISBLANK(Term2_Early_Dismissal_1[[#This Row],[Activity]]),"",IF(_xlfn.XLOOKUP(Term2_Early_Dismissal_1[[#This Row],[Activity]],Types_of_Activity[Type of Activity],Types_of_Activity[Classification])=1,Term2_Early_Dismissal_1[[#This Row],[Elapsed]],0))</f>
        <v/>
      </c>
      <c r="G87" s="106" t="str">
        <f>IF(ISBLANK(Term2_Early_Dismissal_1[[#This Row],[Activity]]),"",IF(_xlfn.XLOOKUP(Term2_Early_Dismissal_1[[#This Row],[Activity]],Types_of_Activity[Type of Activity],Types_of_Activity[Classification])=2,Term2_Early_Dismissal_1[[#This Row],[Elapsed]],0))</f>
        <v/>
      </c>
      <c r="H87"/>
      <c r="I87" s="136"/>
      <c r="J87" s="136"/>
      <c r="K87" s="103"/>
      <c r="L87" s="106" t="str">
        <f>IF(OR(ISBLANK(Term2_Early_Dismissal_2[[#This Row],[Start]]),ISBLANK(Term2_Early_Dismissal_2[[#This Row],[End]])),"",(Term2_Early_Dismissal_2[[#This Row],[End]]-Term2_Early_Dismissal_2[[#This Row],[Start]])*1440)</f>
        <v/>
      </c>
      <c r="M87" s="106" t="str">
        <f>IF(ISBLANK(Term2_Early_Dismissal_2[[#This Row],[Activity]]),"",IF(_xlfn.XLOOKUP(Term2_Early_Dismissal_2[[#This Row],[Activity]],Types_of_Activity[Type of Activity],Types_of_Activity[Classification])=1,Term2_Early_Dismissal_2[[#This Row],[Elapsed]],0))</f>
        <v/>
      </c>
      <c r="N87" s="106" t="str">
        <f>IF(ISBLANK(Term2_Early_Dismissal_2[[#This Row],[Activity]]),"",IF(_xlfn.XLOOKUP(Term2_Early_Dismissal_2[[#This Row],[Activity]],Types_of_Activity[Type of Activity],Types_of_Activity[Classification])=2,Term2_Early_Dismissal_2[[#This Row],[Elapsed]],0))</f>
        <v/>
      </c>
      <c r="O87"/>
      <c r="P87" s="136"/>
      <c r="Q87" s="136"/>
      <c r="R87" s="103"/>
      <c r="S87" s="106" t="str">
        <f>IF(OR(ISBLANK(Term2_Early_Dismissal_3[[#This Row],[Start]]),ISBLANK(Term2_Early_Dismissal_3[[#This Row],[End]])),"",(Term2_Early_Dismissal_3[[#This Row],[End]]-Term2_Early_Dismissal_3[[#This Row],[Start]])*1440)</f>
        <v/>
      </c>
      <c r="T87" s="106" t="str">
        <f>IF(ISBLANK(Term2_Early_Dismissal_3[[#This Row],[Activity]]),"",IF(_xlfn.XLOOKUP(Term2_Early_Dismissal_3[[#This Row],[Activity]],Types_of_Activity[Type of Activity],Types_of_Activity[Classification])=1,Term2_Early_Dismissal_3[[#This Row],[Elapsed]],0))</f>
        <v/>
      </c>
      <c r="U87" s="106" t="str">
        <f>IF(ISBLANK(Term2_Early_Dismissal_3[[#This Row],[Activity]]),"",IF(_xlfn.XLOOKUP(Term2_Early_Dismissal_3[[#This Row],[Activity]],Types_of_Activity[Type of Activity],Types_of_Activity[Classification])=2,Term2_Early_Dismissal_3[[#This Row],[Elapsed]],0))</f>
        <v/>
      </c>
      <c r="W87" s="136"/>
      <c r="X87" s="136"/>
      <c r="Y87" s="103"/>
      <c r="Z87" s="106" t="str">
        <f>IF(OR(ISBLANK(Term2_Early_Dismissal_4[[#This Row],[Start]]),ISBLANK(Term2_Early_Dismissal_4[[#This Row],[End]])),"",(Term2_Early_Dismissal_4[[#This Row],[End]]-Term2_Early_Dismissal_4[[#This Row],[Start]])*1440)</f>
        <v/>
      </c>
      <c r="AA87" s="106" t="str">
        <f>IF(ISBLANK(Term2_Early_Dismissal_4[[#This Row],[Activity]]),"",IF(_xlfn.XLOOKUP(Term2_Early_Dismissal_4[[#This Row],[Activity]],Types_of_Activity[Type of Activity],Types_of_Activity[Classification])=1,Term2_Early_Dismissal_4[[#This Row],[Elapsed]],0))</f>
        <v/>
      </c>
      <c r="AB87" s="106" t="str">
        <f>IF(ISBLANK(Term2_Early_Dismissal_4[[#This Row],[Activity]]),"",IF(_xlfn.XLOOKUP(Term2_Early_Dismissal_4[[#This Row],[Activity]],Types_of_Activity[Type of Activity],Types_of_Activity[Classification])=2,Term2_Early_Dismissal_4[[#This Row],[Elapsed]],0))</f>
        <v/>
      </c>
      <c r="AD87" s="136"/>
      <c r="AE87" s="136"/>
      <c r="AF87" s="103"/>
      <c r="AG87" s="106" t="str">
        <f>IF(OR(ISBLANK(Term2_Early_Dismissal_5[[#This Row],[Start]]),ISBLANK(Term2_Early_Dismissal_5[[#This Row],[End]])),"",(Term2_Early_Dismissal_5[[#This Row],[End]]-Term2_Early_Dismissal_5[[#This Row],[Start]])*1440)</f>
        <v/>
      </c>
      <c r="AH87" s="106" t="str">
        <f>IF(ISBLANK(Term2_Early_Dismissal_5[[#This Row],[Activity]]),"",IF(_xlfn.XLOOKUP(Term2_Early_Dismissal_5[[#This Row],[Activity]],Types_of_Activity[Type of Activity],Types_of_Activity[Classification])=1,Term2_Early_Dismissal_5[[#This Row],[Elapsed]],0))</f>
        <v/>
      </c>
      <c r="AI87" s="106" t="str">
        <f>IF(ISBLANK(Term2_Early_Dismissal_5[[#This Row],[Activity]]),"",IF(_xlfn.XLOOKUP(Term2_Early_Dismissal_5[[#This Row],[Activity]],Types_of_Activity[Type of Activity],Types_of_Activity[Classification])=2,Term2_Early_Dismissal_5[[#This Row],[Elapsed]],0))</f>
        <v/>
      </c>
      <c r="AK87" s="136"/>
      <c r="AL87" s="136"/>
      <c r="AM87" s="103"/>
      <c r="AN87" s="106" t="str">
        <f>IF(OR(ISBLANK(Term2_Early_Dismissal_6[[#This Row],[Start]]),ISBLANK(Term2_Early_Dismissal_6[[#This Row],[End]])),"",(Term2_Early_Dismissal_6[[#This Row],[End]]-Term2_Early_Dismissal_6[[#This Row],[Start]])*1440)</f>
        <v/>
      </c>
      <c r="AO87" s="106" t="str">
        <f>IF(ISBLANK(Term2_Early_Dismissal_6[[#This Row],[Activity]]),"",IF(_xlfn.XLOOKUP(Term2_Early_Dismissal_6[[#This Row],[Activity]],Types_of_Activity[Type of Activity],Types_of_Activity[Classification])=1,Term2_Early_Dismissal_6[[#This Row],[Elapsed]],0))</f>
        <v/>
      </c>
      <c r="AP87" s="106" t="str">
        <f>IF(ISBLANK(Term2_Early_Dismissal_6[[#This Row],[Activity]]),"",IF(_xlfn.XLOOKUP(Term2_Early_Dismissal_6[[#This Row],[Activity]],Types_of_Activity[Type of Activity],Types_of_Activity[Classification])=2,Term2_Early_Dismissal_6[[#This Row],[Elapsed]],0))</f>
        <v/>
      </c>
    </row>
    <row r="88" spans="2:42" x14ac:dyDescent="0.3">
      <c r="B88" s="136"/>
      <c r="C88" s="136"/>
      <c r="D88" s="103"/>
      <c r="E88" s="106" t="str">
        <f>IF(OR(ISBLANK(Term2_Early_Dismissal_1[[#This Row],[Start]]),ISBLANK(Term2_Early_Dismissal_1[[#This Row],[End]])),"",(Term2_Early_Dismissal_1[[#This Row],[End]]-Term2_Early_Dismissal_1[[#This Row],[Start]])*1440)</f>
        <v/>
      </c>
      <c r="F88" s="106" t="str">
        <f>IF(ISBLANK(Term2_Early_Dismissal_1[[#This Row],[Activity]]),"",IF(_xlfn.XLOOKUP(Term2_Early_Dismissal_1[[#This Row],[Activity]],Types_of_Activity[Type of Activity],Types_of_Activity[Classification])=1,Term2_Early_Dismissal_1[[#This Row],[Elapsed]],0))</f>
        <v/>
      </c>
      <c r="G88" s="106" t="str">
        <f>IF(ISBLANK(Term2_Early_Dismissal_1[[#This Row],[Activity]]),"",IF(_xlfn.XLOOKUP(Term2_Early_Dismissal_1[[#This Row],[Activity]],Types_of_Activity[Type of Activity],Types_of_Activity[Classification])=2,Term2_Early_Dismissal_1[[#This Row],[Elapsed]],0))</f>
        <v/>
      </c>
      <c r="H88"/>
      <c r="I88" s="136"/>
      <c r="J88" s="136"/>
      <c r="K88" s="103"/>
      <c r="L88" s="106" t="str">
        <f>IF(OR(ISBLANK(Term2_Early_Dismissal_2[[#This Row],[Start]]),ISBLANK(Term2_Early_Dismissal_2[[#This Row],[End]])),"",(Term2_Early_Dismissal_2[[#This Row],[End]]-Term2_Early_Dismissal_2[[#This Row],[Start]])*1440)</f>
        <v/>
      </c>
      <c r="M88" s="106" t="str">
        <f>IF(ISBLANK(Term2_Early_Dismissal_2[[#This Row],[Activity]]),"",IF(_xlfn.XLOOKUP(Term2_Early_Dismissal_2[[#This Row],[Activity]],Types_of_Activity[Type of Activity],Types_of_Activity[Classification])=1,Term2_Early_Dismissal_2[[#This Row],[Elapsed]],0))</f>
        <v/>
      </c>
      <c r="N88" s="106" t="str">
        <f>IF(ISBLANK(Term2_Early_Dismissal_2[[#This Row],[Activity]]),"",IF(_xlfn.XLOOKUP(Term2_Early_Dismissal_2[[#This Row],[Activity]],Types_of_Activity[Type of Activity],Types_of_Activity[Classification])=2,Term2_Early_Dismissal_2[[#This Row],[Elapsed]],0))</f>
        <v/>
      </c>
      <c r="O88"/>
      <c r="P88" s="136"/>
      <c r="Q88" s="136"/>
      <c r="R88" s="103"/>
      <c r="S88" s="106" t="str">
        <f>IF(OR(ISBLANK(Term2_Early_Dismissal_3[[#This Row],[Start]]),ISBLANK(Term2_Early_Dismissal_3[[#This Row],[End]])),"",(Term2_Early_Dismissal_3[[#This Row],[End]]-Term2_Early_Dismissal_3[[#This Row],[Start]])*1440)</f>
        <v/>
      </c>
      <c r="T88" s="106" t="str">
        <f>IF(ISBLANK(Term2_Early_Dismissal_3[[#This Row],[Activity]]),"",IF(_xlfn.XLOOKUP(Term2_Early_Dismissal_3[[#This Row],[Activity]],Types_of_Activity[Type of Activity],Types_of_Activity[Classification])=1,Term2_Early_Dismissal_3[[#This Row],[Elapsed]],0))</f>
        <v/>
      </c>
      <c r="U88" s="106" t="str">
        <f>IF(ISBLANK(Term2_Early_Dismissal_3[[#This Row],[Activity]]),"",IF(_xlfn.XLOOKUP(Term2_Early_Dismissal_3[[#This Row],[Activity]],Types_of_Activity[Type of Activity],Types_of_Activity[Classification])=2,Term2_Early_Dismissal_3[[#This Row],[Elapsed]],0))</f>
        <v/>
      </c>
      <c r="W88" s="136"/>
      <c r="X88" s="136"/>
      <c r="Y88" s="103"/>
      <c r="Z88" s="106" t="str">
        <f>IF(OR(ISBLANK(Term2_Early_Dismissal_4[[#This Row],[Start]]),ISBLANK(Term2_Early_Dismissal_4[[#This Row],[End]])),"",(Term2_Early_Dismissal_4[[#This Row],[End]]-Term2_Early_Dismissal_4[[#This Row],[Start]])*1440)</f>
        <v/>
      </c>
      <c r="AA88" s="106" t="str">
        <f>IF(ISBLANK(Term2_Early_Dismissal_4[[#This Row],[Activity]]),"",IF(_xlfn.XLOOKUP(Term2_Early_Dismissal_4[[#This Row],[Activity]],Types_of_Activity[Type of Activity],Types_of_Activity[Classification])=1,Term2_Early_Dismissal_4[[#This Row],[Elapsed]],0))</f>
        <v/>
      </c>
      <c r="AB88" s="106" t="str">
        <f>IF(ISBLANK(Term2_Early_Dismissal_4[[#This Row],[Activity]]),"",IF(_xlfn.XLOOKUP(Term2_Early_Dismissal_4[[#This Row],[Activity]],Types_of_Activity[Type of Activity],Types_of_Activity[Classification])=2,Term2_Early_Dismissal_4[[#This Row],[Elapsed]],0))</f>
        <v/>
      </c>
      <c r="AD88" s="136"/>
      <c r="AE88" s="136"/>
      <c r="AF88" s="103"/>
      <c r="AG88" s="106" t="str">
        <f>IF(OR(ISBLANK(Term2_Early_Dismissal_5[[#This Row],[Start]]),ISBLANK(Term2_Early_Dismissal_5[[#This Row],[End]])),"",(Term2_Early_Dismissal_5[[#This Row],[End]]-Term2_Early_Dismissal_5[[#This Row],[Start]])*1440)</f>
        <v/>
      </c>
      <c r="AH88" s="106" t="str">
        <f>IF(ISBLANK(Term2_Early_Dismissal_5[[#This Row],[Activity]]),"",IF(_xlfn.XLOOKUP(Term2_Early_Dismissal_5[[#This Row],[Activity]],Types_of_Activity[Type of Activity],Types_of_Activity[Classification])=1,Term2_Early_Dismissal_5[[#This Row],[Elapsed]],0))</f>
        <v/>
      </c>
      <c r="AI88" s="106" t="str">
        <f>IF(ISBLANK(Term2_Early_Dismissal_5[[#This Row],[Activity]]),"",IF(_xlfn.XLOOKUP(Term2_Early_Dismissal_5[[#This Row],[Activity]],Types_of_Activity[Type of Activity],Types_of_Activity[Classification])=2,Term2_Early_Dismissal_5[[#This Row],[Elapsed]],0))</f>
        <v/>
      </c>
      <c r="AK88" s="136"/>
      <c r="AL88" s="136"/>
      <c r="AM88" s="103"/>
      <c r="AN88" s="106" t="str">
        <f>IF(OR(ISBLANK(Term2_Early_Dismissal_6[[#This Row],[Start]]),ISBLANK(Term2_Early_Dismissal_6[[#This Row],[End]])),"",(Term2_Early_Dismissal_6[[#This Row],[End]]-Term2_Early_Dismissal_6[[#This Row],[Start]])*1440)</f>
        <v/>
      </c>
      <c r="AO88" s="106" t="str">
        <f>IF(ISBLANK(Term2_Early_Dismissal_6[[#This Row],[Activity]]),"",IF(_xlfn.XLOOKUP(Term2_Early_Dismissal_6[[#This Row],[Activity]],Types_of_Activity[Type of Activity],Types_of_Activity[Classification])=1,Term2_Early_Dismissal_6[[#This Row],[Elapsed]],0))</f>
        <v/>
      </c>
      <c r="AP88" s="106" t="str">
        <f>IF(ISBLANK(Term2_Early_Dismissal_6[[#This Row],[Activity]]),"",IF(_xlfn.XLOOKUP(Term2_Early_Dismissal_6[[#This Row],[Activity]],Types_of_Activity[Type of Activity],Types_of_Activity[Classification])=2,Term2_Early_Dismissal_6[[#This Row],[Elapsed]],0))</f>
        <v/>
      </c>
    </row>
    <row r="89" spans="2:42" x14ac:dyDescent="0.3">
      <c r="B89" s="136"/>
      <c r="C89" s="136"/>
      <c r="D89" s="103"/>
      <c r="E89" s="106" t="str">
        <f>IF(OR(ISBLANK(Term2_Early_Dismissal_1[[#This Row],[Start]]),ISBLANK(Term2_Early_Dismissal_1[[#This Row],[End]])),"",(Term2_Early_Dismissal_1[[#This Row],[End]]-Term2_Early_Dismissal_1[[#This Row],[Start]])*1440)</f>
        <v/>
      </c>
      <c r="F89" s="106" t="str">
        <f>IF(ISBLANK(Term2_Early_Dismissal_1[[#This Row],[Activity]]),"",IF(_xlfn.XLOOKUP(Term2_Early_Dismissal_1[[#This Row],[Activity]],Types_of_Activity[Type of Activity],Types_of_Activity[Classification])=1,Term2_Early_Dismissal_1[[#This Row],[Elapsed]],0))</f>
        <v/>
      </c>
      <c r="G89" s="106" t="str">
        <f>IF(ISBLANK(Term2_Early_Dismissal_1[[#This Row],[Activity]]),"",IF(_xlfn.XLOOKUP(Term2_Early_Dismissal_1[[#This Row],[Activity]],Types_of_Activity[Type of Activity],Types_of_Activity[Classification])=2,Term2_Early_Dismissal_1[[#This Row],[Elapsed]],0))</f>
        <v/>
      </c>
      <c r="H89"/>
      <c r="I89" s="136"/>
      <c r="J89" s="136"/>
      <c r="K89" s="103"/>
      <c r="L89" s="106" t="str">
        <f>IF(OR(ISBLANK(Term2_Early_Dismissal_2[[#This Row],[Start]]),ISBLANK(Term2_Early_Dismissal_2[[#This Row],[End]])),"",(Term2_Early_Dismissal_2[[#This Row],[End]]-Term2_Early_Dismissal_2[[#This Row],[Start]])*1440)</f>
        <v/>
      </c>
      <c r="M89" s="106" t="str">
        <f>IF(ISBLANK(Term2_Early_Dismissal_2[[#This Row],[Activity]]),"",IF(_xlfn.XLOOKUP(Term2_Early_Dismissal_2[[#This Row],[Activity]],Types_of_Activity[Type of Activity],Types_of_Activity[Classification])=1,Term2_Early_Dismissal_2[[#This Row],[Elapsed]],0))</f>
        <v/>
      </c>
      <c r="N89" s="106" t="str">
        <f>IF(ISBLANK(Term2_Early_Dismissal_2[[#This Row],[Activity]]),"",IF(_xlfn.XLOOKUP(Term2_Early_Dismissal_2[[#This Row],[Activity]],Types_of_Activity[Type of Activity],Types_of_Activity[Classification])=2,Term2_Early_Dismissal_2[[#This Row],[Elapsed]],0))</f>
        <v/>
      </c>
      <c r="O89"/>
      <c r="P89" s="136"/>
      <c r="Q89" s="136"/>
      <c r="R89" s="103"/>
      <c r="S89" s="106" t="str">
        <f>IF(OR(ISBLANK(Term2_Early_Dismissal_3[[#This Row],[Start]]),ISBLANK(Term2_Early_Dismissal_3[[#This Row],[End]])),"",(Term2_Early_Dismissal_3[[#This Row],[End]]-Term2_Early_Dismissal_3[[#This Row],[Start]])*1440)</f>
        <v/>
      </c>
      <c r="T89" s="106" t="str">
        <f>IF(ISBLANK(Term2_Early_Dismissal_3[[#This Row],[Activity]]),"",IF(_xlfn.XLOOKUP(Term2_Early_Dismissal_3[[#This Row],[Activity]],Types_of_Activity[Type of Activity],Types_of_Activity[Classification])=1,Term2_Early_Dismissal_3[[#This Row],[Elapsed]],0))</f>
        <v/>
      </c>
      <c r="U89" s="106" t="str">
        <f>IF(ISBLANK(Term2_Early_Dismissal_3[[#This Row],[Activity]]),"",IF(_xlfn.XLOOKUP(Term2_Early_Dismissal_3[[#This Row],[Activity]],Types_of_Activity[Type of Activity],Types_of_Activity[Classification])=2,Term2_Early_Dismissal_3[[#This Row],[Elapsed]],0))</f>
        <v/>
      </c>
      <c r="W89" s="136"/>
      <c r="X89" s="136"/>
      <c r="Y89" s="103"/>
      <c r="Z89" s="106" t="str">
        <f>IF(OR(ISBLANK(Term2_Early_Dismissal_4[[#This Row],[Start]]),ISBLANK(Term2_Early_Dismissal_4[[#This Row],[End]])),"",(Term2_Early_Dismissal_4[[#This Row],[End]]-Term2_Early_Dismissal_4[[#This Row],[Start]])*1440)</f>
        <v/>
      </c>
      <c r="AA89" s="106" t="str">
        <f>IF(ISBLANK(Term2_Early_Dismissal_4[[#This Row],[Activity]]),"",IF(_xlfn.XLOOKUP(Term2_Early_Dismissal_4[[#This Row],[Activity]],Types_of_Activity[Type of Activity],Types_of_Activity[Classification])=1,Term2_Early_Dismissal_4[[#This Row],[Elapsed]],0))</f>
        <v/>
      </c>
      <c r="AB89" s="106" t="str">
        <f>IF(ISBLANK(Term2_Early_Dismissal_4[[#This Row],[Activity]]),"",IF(_xlfn.XLOOKUP(Term2_Early_Dismissal_4[[#This Row],[Activity]],Types_of_Activity[Type of Activity],Types_of_Activity[Classification])=2,Term2_Early_Dismissal_4[[#This Row],[Elapsed]],0))</f>
        <v/>
      </c>
      <c r="AD89" s="136"/>
      <c r="AE89" s="136"/>
      <c r="AF89" s="103"/>
      <c r="AG89" s="106" t="str">
        <f>IF(OR(ISBLANK(Term2_Early_Dismissal_5[[#This Row],[Start]]),ISBLANK(Term2_Early_Dismissal_5[[#This Row],[End]])),"",(Term2_Early_Dismissal_5[[#This Row],[End]]-Term2_Early_Dismissal_5[[#This Row],[Start]])*1440)</f>
        <v/>
      </c>
      <c r="AH89" s="106" t="str">
        <f>IF(ISBLANK(Term2_Early_Dismissal_5[[#This Row],[Activity]]),"",IF(_xlfn.XLOOKUP(Term2_Early_Dismissal_5[[#This Row],[Activity]],Types_of_Activity[Type of Activity],Types_of_Activity[Classification])=1,Term2_Early_Dismissal_5[[#This Row],[Elapsed]],0))</f>
        <v/>
      </c>
      <c r="AI89" s="106" t="str">
        <f>IF(ISBLANK(Term2_Early_Dismissal_5[[#This Row],[Activity]]),"",IF(_xlfn.XLOOKUP(Term2_Early_Dismissal_5[[#This Row],[Activity]],Types_of_Activity[Type of Activity],Types_of_Activity[Classification])=2,Term2_Early_Dismissal_5[[#This Row],[Elapsed]],0))</f>
        <v/>
      </c>
      <c r="AK89" s="136"/>
      <c r="AL89" s="136"/>
      <c r="AM89" s="103"/>
      <c r="AN89" s="106" t="str">
        <f>IF(OR(ISBLANK(Term2_Early_Dismissal_6[[#This Row],[Start]]),ISBLANK(Term2_Early_Dismissal_6[[#This Row],[End]])),"",(Term2_Early_Dismissal_6[[#This Row],[End]]-Term2_Early_Dismissal_6[[#This Row],[Start]])*1440)</f>
        <v/>
      </c>
      <c r="AO89" s="106" t="str">
        <f>IF(ISBLANK(Term2_Early_Dismissal_6[[#This Row],[Activity]]),"",IF(_xlfn.XLOOKUP(Term2_Early_Dismissal_6[[#This Row],[Activity]],Types_of_Activity[Type of Activity],Types_of_Activity[Classification])=1,Term2_Early_Dismissal_6[[#This Row],[Elapsed]],0))</f>
        <v/>
      </c>
      <c r="AP89" s="106" t="str">
        <f>IF(ISBLANK(Term2_Early_Dismissal_6[[#This Row],[Activity]]),"",IF(_xlfn.XLOOKUP(Term2_Early_Dismissal_6[[#This Row],[Activity]],Types_of_Activity[Type of Activity],Types_of_Activity[Classification])=2,Term2_Early_Dismissal_6[[#This Row],[Elapsed]],0))</f>
        <v/>
      </c>
    </row>
    <row r="90" spans="2:42" x14ac:dyDescent="0.3">
      <c r="B90"/>
      <c r="C90"/>
      <c r="D90"/>
      <c r="E90"/>
      <c r="F90"/>
      <c r="G90"/>
      <c r="H90"/>
      <c r="I90"/>
      <c r="J90"/>
      <c r="K90"/>
      <c r="L90"/>
      <c r="M90"/>
      <c r="N90"/>
      <c r="O90"/>
      <c r="P90"/>
      <c r="Q90"/>
      <c r="R90"/>
      <c r="S90"/>
      <c r="T90"/>
      <c r="U90"/>
    </row>
    <row r="91" spans="2:42" x14ac:dyDescent="0.3">
      <c r="B91"/>
      <c r="C91"/>
      <c r="D91"/>
      <c r="E91"/>
      <c r="F91"/>
      <c r="G91"/>
      <c r="H91"/>
      <c r="I91"/>
      <c r="J91"/>
      <c r="K91"/>
      <c r="L91"/>
      <c r="M91"/>
      <c r="N91"/>
      <c r="O91"/>
      <c r="P91"/>
      <c r="Q91"/>
      <c r="R91"/>
      <c r="S91"/>
      <c r="T91"/>
      <c r="U91"/>
    </row>
    <row r="92" spans="2:42" x14ac:dyDescent="0.3">
      <c r="B92"/>
      <c r="C92"/>
      <c r="D92"/>
      <c r="E92"/>
      <c r="F92"/>
      <c r="G92"/>
      <c r="H92"/>
      <c r="I92"/>
      <c r="J92"/>
      <c r="K92"/>
      <c r="L92"/>
      <c r="M92"/>
      <c r="N92"/>
      <c r="O92"/>
      <c r="P92"/>
      <c r="Q92"/>
      <c r="R92"/>
      <c r="S92"/>
      <c r="T92"/>
      <c r="U92"/>
    </row>
    <row r="93" spans="2:42" x14ac:dyDescent="0.3">
      <c r="B93"/>
      <c r="C93"/>
      <c r="D93"/>
      <c r="E93"/>
      <c r="F93"/>
      <c r="G93"/>
      <c r="H93"/>
      <c r="I93"/>
      <c r="J93"/>
      <c r="K93"/>
      <c r="L93"/>
      <c r="M93"/>
      <c r="N93"/>
      <c r="O93"/>
      <c r="P93"/>
      <c r="Q93"/>
      <c r="R93"/>
      <c r="S93"/>
      <c r="T93"/>
      <c r="U93"/>
    </row>
    <row r="94" spans="2:42" x14ac:dyDescent="0.3">
      <c r="B94"/>
      <c r="C94"/>
      <c r="D94"/>
      <c r="E94"/>
      <c r="F94"/>
      <c r="G94"/>
      <c r="H94"/>
      <c r="I94"/>
      <c r="J94"/>
      <c r="K94"/>
      <c r="L94"/>
      <c r="M94"/>
      <c r="N94"/>
      <c r="O94"/>
      <c r="P94"/>
      <c r="Q94"/>
      <c r="R94"/>
      <c r="S94"/>
      <c r="T94"/>
      <c r="U94"/>
    </row>
    <row r="95" spans="2:42" x14ac:dyDescent="0.3">
      <c r="B95"/>
      <c r="C95"/>
      <c r="D95"/>
      <c r="E95"/>
      <c r="F95"/>
      <c r="G95"/>
      <c r="H95"/>
      <c r="I95"/>
      <c r="J95"/>
      <c r="K95"/>
      <c r="L95"/>
      <c r="M95"/>
      <c r="N95"/>
      <c r="O95"/>
      <c r="P95"/>
      <c r="Q95"/>
      <c r="R95"/>
      <c r="S95"/>
      <c r="T95"/>
      <c r="U95"/>
    </row>
    <row r="96" spans="2:42" x14ac:dyDescent="0.3">
      <c r="B96"/>
      <c r="C96"/>
      <c r="D96"/>
      <c r="E96"/>
      <c r="F96"/>
      <c r="G96"/>
      <c r="H96"/>
      <c r="I96"/>
      <c r="J96"/>
      <c r="K96"/>
      <c r="L96"/>
      <c r="M96"/>
      <c r="N96"/>
      <c r="O96"/>
      <c r="P96"/>
      <c r="Q96"/>
      <c r="R96"/>
      <c r="S96"/>
      <c r="T96"/>
      <c r="U96"/>
    </row>
    <row r="97" spans="2:21" ht="30.75" x14ac:dyDescent="0.45">
      <c r="B97" s="105" t="s">
        <v>25</v>
      </c>
      <c r="F97" s="106"/>
      <c r="G97" s="106"/>
      <c r="H97"/>
      <c r="I97" s="105" t="s">
        <v>26</v>
      </c>
      <c r="M97" s="106"/>
      <c r="N97" s="106"/>
      <c r="O97"/>
      <c r="P97" s="105" t="s">
        <v>27</v>
      </c>
      <c r="T97" s="106"/>
      <c r="U97" s="106"/>
    </row>
    <row r="98" spans="2:21" ht="33" x14ac:dyDescent="0.3">
      <c r="B98" s="120" t="s">
        <v>16</v>
      </c>
      <c r="C98" s="120" t="s">
        <v>17</v>
      </c>
      <c r="D98" s="120" t="s">
        <v>19</v>
      </c>
      <c r="E98" s="120" t="s">
        <v>18</v>
      </c>
      <c r="F98" s="120" t="s">
        <v>20</v>
      </c>
      <c r="G98" s="121" t="s">
        <v>4100</v>
      </c>
      <c r="H98"/>
      <c r="I98" s="120" t="s">
        <v>16</v>
      </c>
      <c r="J98" s="120" t="s">
        <v>17</v>
      </c>
      <c r="K98" s="120" t="s">
        <v>19</v>
      </c>
      <c r="L98" s="120" t="s">
        <v>18</v>
      </c>
      <c r="M98" s="120" t="s">
        <v>20</v>
      </c>
      <c r="N98" s="121" t="s">
        <v>4100</v>
      </c>
      <c r="O98"/>
      <c r="P98" s="120" t="s">
        <v>16</v>
      </c>
      <c r="Q98" s="120" t="s">
        <v>17</v>
      </c>
      <c r="R98" s="120" t="s">
        <v>19</v>
      </c>
      <c r="S98" s="120" t="s">
        <v>18</v>
      </c>
      <c r="T98" s="120" t="s">
        <v>20</v>
      </c>
      <c r="U98" s="121" t="s">
        <v>4100</v>
      </c>
    </row>
    <row r="99" spans="2:21" x14ac:dyDescent="0.3">
      <c r="B99" s="136"/>
      <c r="C99" s="136"/>
      <c r="D99" s="103"/>
      <c r="E99" s="106" t="str">
        <f>IF(OR(ISBLANK(Term2_Special_Day_1[[#This Row],[Start]]),ISBLANK(Term2_Special_Day_1[[#This Row],[End]])),"",(Term2_Special_Day_1[[#This Row],[End]]-Term2_Special_Day_1[[#This Row],[Start]])*1440)</f>
        <v/>
      </c>
      <c r="F99" s="106" t="str">
        <f>IF(ISBLANK(Term2_Special_Day_1[[#This Row],[Activity]]),"",IF(_xlfn.XLOOKUP(Term2_Special_Day_1[[#This Row],[Activity]],Types_of_Activity[Type of Activity],Types_of_Activity[Classification])=1,Term2_Special_Day_1[[#This Row],[Elapsed]],0))</f>
        <v/>
      </c>
      <c r="G99" s="106" t="str">
        <f>IF(ISBLANK(Term2_Special_Day_1[[#This Row],[Activity]]),"",IF(_xlfn.XLOOKUP(Term2_Special_Day_1[[#This Row],[Activity]],Types_of_Activity[Type of Activity],Types_of_Activity[Classification])=2,Term2_Special_Day_1[[#This Row],[Elapsed]],0))</f>
        <v/>
      </c>
      <c r="H99"/>
      <c r="I99" s="136"/>
      <c r="J99" s="136"/>
      <c r="K99" s="103"/>
      <c r="L99" s="106" t="str">
        <f>IF(OR(ISBLANK(Term2_Special_Day_2[[#This Row],[Start]]),ISBLANK(Term2_Special_Day_2[[#This Row],[End]])),"",(Term2_Special_Day_2[[#This Row],[End]]-Term2_Special_Day_2[[#This Row],[Start]])*1440)</f>
        <v/>
      </c>
      <c r="M99" s="106" t="str">
        <f>IF(ISBLANK(Term2_Special_Day_2[[#This Row],[Activity]]),"",IF(_xlfn.XLOOKUP(Term2_Special_Day_2[[#This Row],[Activity]],Types_of_Activity[Type of Activity],Types_of_Activity[Classification])=1,Term2_Special_Day_2[[#This Row],[Elapsed]],0))</f>
        <v/>
      </c>
      <c r="N99" s="106" t="str">
        <f>IF(ISBLANK(Term2_Special_Day_2[[#This Row],[Activity]]),"",IF(_xlfn.XLOOKUP(Term2_Special_Day_2[[#This Row],[Activity]],Types_of_Activity[Type of Activity],Types_of_Activity[Classification])=2,Term2_Special_Day_2[[#This Row],[Elapsed]],0))</f>
        <v/>
      </c>
      <c r="O99"/>
      <c r="P99" s="136"/>
      <c r="Q99" s="136"/>
      <c r="R99" s="103"/>
      <c r="S99" s="106" t="str">
        <f>IF(OR(ISBLANK(Term2_Special_Day_3[[#This Row],[Start]]),ISBLANK(Term2_Special_Day_3[[#This Row],[End]])),"",(Term2_Special_Day_3[[#This Row],[End]]-Term2_Special_Day_3[[#This Row],[Start]])*1440)</f>
        <v/>
      </c>
      <c r="T99" s="106" t="str">
        <f>IF(ISBLANK(Term2_Special_Day_3[[#This Row],[Activity]]),"",IF(_xlfn.XLOOKUP(Term2_Special_Day_3[[#This Row],[Activity]],Types_of_Activity[Type of Activity],Types_of_Activity[Classification])=1,Term2_Special_Day_3[[#This Row],[Elapsed]],0))</f>
        <v/>
      </c>
      <c r="U99" s="106" t="str">
        <f>IF(ISBLANK(Term2_Special_Day_3[[#This Row],[Activity]]),"",IF(_xlfn.XLOOKUP(Term2_Special_Day_3[[#This Row],[Activity]],Types_of_Activity[Type of Activity],Types_of_Activity[Classification])=2,Term2_Special_Day_3[[#This Row],[Elapsed]],0))</f>
        <v/>
      </c>
    </row>
    <row r="100" spans="2:21" x14ac:dyDescent="0.3">
      <c r="B100" s="136"/>
      <c r="C100" s="136"/>
      <c r="D100" s="103"/>
      <c r="E100" s="106" t="str">
        <f>IF(OR(ISBLANK(Term2_Special_Day_1[[#This Row],[Start]]),ISBLANK(Term2_Special_Day_1[[#This Row],[End]])),"",(Term2_Special_Day_1[[#This Row],[End]]-Term2_Special_Day_1[[#This Row],[Start]])*1440)</f>
        <v/>
      </c>
      <c r="F100" s="106" t="str">
        <f>IF(ISBLANK(Term2_Special_Day_1[[#This Row],[Activity]]),"",IF(_xlfn.XLOOKUP(Term2_Special_Day_1[[#This Row],[Activity]],Types_of_Activity[Type of Activity],Types_of_Activity[Classification])=1,Term2_Special_Day_1[[#This Row],[Elapsed]],0))</f>
        <v/>
      </c>
      <c r="G100" s="106" t="str">
        <f>IF(ISBLANK(Term2_Special_Day_1[[#This Row],[Activity]]),"",IF(_xlfn.XLOOKUP(Term2_Special_Day_1[[#This Row],[Activity]],Types_of_Activity[Type of Activity],Types_of_Activity[Classification])=2,Term2_Special_Day_1[[#This Row],[Elapsed]],0))</f>
        <v/>
      </c>
      <c r="H100"/>
      <c r="I100" s="136"/>
      <c r="J100" s="136"/>
      <c r="K100" s="103"/>
      <c r="L100" s="106" t="str">
        <f>IF(OR(ISBLANK(Term2_Special_Day_2[[#This Row],[Start]]),ISBLANK(Term2_Special_Day_2[[#This Row],[End]])),"",(Term2_Special_Day_2[[#This Row],[End]]-Term2_Special_Day_2[[#This Row],[Start]])*1440)</f>
        <v/>
      </c>
      <c r="M100" s="106" t="str">
        <f>IF(ISBLANK(Term2_Special_Day_2[[#This Row],[Activity]]),"",IF(_xlfn.XLOOKUP(Term2_Special_Day_2[[#This Row],[Activity]],Types_of_Activity[Type of Activity],Types_of_Activity[Classification])=1,Term2_Special_Day_2[[#This Row],[Elapsed]],0))</f>
        <v/>
      </c>
      <c r="N100" s="106" t="str">
        <f>IF(ISBLANK(Term2_Special_Day_2[[#This Row],[Activity]]),"",IF(_xlfn.XLOOKUP(Term2_Special_Day_2[[#This Row],[Activity]],Types_of_Activity[Type of Activity],Types_of_Activity[Classification])=2,Term2_Special_Day_2[[#This Row],[Elapsed]],0))</f>
        <v/>
      </c>
      <c r="O100"/>
      <c r="P100" s="136"/>
      <c r="Q100" s="136"/>
      <c r="R100" s="103"/>
      <c r="S100" s="106" t="str">
        <f>IF(OR(ISBLANK(Term2_Special_Day_3[[#This Row],[Start]]),ISBLANK(Term2_Special_Day_3[[#This Row],[End]])),"",(Term2_Special_Day_3[[#This Row],[End]]-Term2_Special_Day_3[[#This Row],[Start]])*1440)</f>
        <v/>
      </c>
      <c r="T100" s="106" t="str">
        <f>IF(ISBLANK(Term2_Special_Day_3[[#This Row],[Activity]]),"",IF(_xlfn.XLOOKUP(Term2_Special_Day_3[[#This Row],[Activity]],Types_of_Activity[Type of Activity],Types_of_Activity[Classification])=1,Term2_Special_Day_3[[#This Row],[Elapsed]],0))</f>
        <v/>
      </c>
      <c r="U100" s="106" t="str">
        <f>IF(ISBLANK(Term2_Special_Day_3[[#This Row],[Activity]]),"",IF(_xlfn.XLOOKUP(Term2_Special_Day_3[[#This Row],[Activity]],Types_of_Activity[Type of Activity],Types_of_Activity[Classification])=2,Term2_Special_Day_3[[#This Row],[Elapsed]],0))</f>
        <v/>
      </c>
    </row>
    <row r="101" spans="2:21" x14ac:dyDescent="0.3">
      <c r="B101" s="136"/>
      <c r="C101" s="136"/>
      <c r="D101" s="103"/>
      <c r="E101" s="106" t="str">
        <f>IF(OR(ISBLANK(Term2_Special_Day_1[[#This Row],[Start]]),ISBLANK(Term2_Special_Day_1[[#This Row],[End]])),"",(Term2_Special_Day_1[[#This Row],[End]]-Term2_Special_Day_1[[#This Row],[Start]])*1440)</f>
        <v/>
      </c>
      <c r="F101" s="106" t="str">
        <f>IF(ISBLANK(Term2_Special_Day_1[[#This Row],[Activity]]),"",IF(_xlfn.XLOOKUP(Term2_Special_Day_1[[#This Row],[Activity]],Types_of_Activity[Type of Activity],Types_of_Activity[Classification])=1,Term2_Special_Day_1[[#This Row],[Elapsed]],0))</f>
        <v/>
      </c>
      <c r="G101" s="106" t="str">
        <f>IF(ISBLANK(Term2_Special_Day_1[[#This Row],[Activity]]),"",IF(_xlfn.XLOOKUP(Term2_Special_Day_1[[#This Row],[Activity]],Types_of_Activity[Type of Activity],Types_of_Activity[Classification])=2,Term2_Special_Day_1[[#This Row],[Elapsed]],0))</f>
        <v/>
      </c>
      <c r="H101"/>
      <c r="I101" s="136"/>
      <c r="J101" s="136"/>
      <c r="K101" s="103"/>
      <c r="L101" s="106" t="str">
        <f>IF(OR(ISBLANK(Term2_Special_Day_2[[#This Row],[Start]]),ISBLANK(Term2_Special_Day_2[[#This Row],[End]])),"",(Term2_Special_Day_2[[#This Row],[End]]-Term2_Special_Day_2[[#This Row],[Start]])*1440)</f>
        <v/>
      </c>
      <c r="M101" s="106" t="str">
        <f>IF(ISBLANK(Term2_Special_Day_2[[#This Row],[Activity]]),"",IF(_xlfn.XLOOKUP(Term2_Special_Day_2[[#This Row],[Activity]],Types_of_Activity[Type of Activity],Types_of_Activity[Classification])=1,Term2_Special_Day_2[[#This Row],[Elapsed]],0))</f>
        <v/>
      </c>
      <c r="N101" s="106" t="str">
        <f>IF(ISBLANK(Term2_Special_Day_2[[#This Row],[Activity]]),"",IF(_xlfn.XLOOKUP(Term2_Special_Day_2[[#This Row],[Activity]],Types_of_Activity[Type of Activity],Types_of_Activity[Classification])=2,Term2_Special_Day_2[[#This Row],[Elapsed]],0))</f>
        <v/>
      </c>
      <c r="O101"/>
      <c r="P101" s="136"/>
      <c r="Q101" s="136"/>
      <c r="R101" s="103"/>
      <c r="S101" s="106" t="str">
        <f>IF(OR(ISBLANK(Term2_Special_Day_3[[#This Row],[Start]]),ISBLANK(Term2_Special_Day_3[[#This Row],[End]])),"",(Term2_Special_Day_3[[#This Row],[End]]-Term2_Special_Day_3[[#This Row],[Start]])*1440)</f>
        <v/>
      </c>
      <c r="T101" s="106" t="str">
        <f>IF(ISBLANK(Term2_Special_Day_3[[#This Row],[Activity]]),"",IF(_xlfn.XLOOKUP(Term2_Special_Day_3[[#This Row],[Activity]],Types_of_Activity[Type of Activity],Types_of_Activity[Classification])=1,Term2_Special_Day_3[[#This Row],[Elapsed]],0))</f>
        <v/>
      </c>
      <c r="U101" s="106" t="str">
        <f>IF(ISBLANK(Term2_Special_Day_3[[#This Row],[Activity]]),"",IF(_xlfn.XLOOKUP(Term2_Special_Day_3[[#This Row],[Activity]],Types_of_Activity[Type of Activity],Types_of_Activity[Classification])=2,Term2_Special_Day_3[[#This Row],[Elapsed]],0))</f>
        <v/>
      </c>
    </row>
    <row r="102" spans="2:21" x14ac:dyDescent="0.3">
      <c r="B102" s="136"/>
      <c r="C102" s="136"/>
      <c r="D102" s="103"/>
      <c r="E102" s="106" t="str">
        <f>IF(OR(ISBLANK(Term2_Special_Day_1[[#This Row],[Start]]),ISBLANK(Term2_Special_Day_1[[#This Row],[End]])),"",(Term2_Special_Day_1[[#This Row],[End]]-Term2_Special_Day_1[[#This Row],[Start]])*1440)</f>
        <v/>
      </c>
      <c r="F102" s="106" t="str">
        <f>IF(ISBLANK(Term2_Special_Day_1[[#This Row],[Activity]]),"",IF(_xlfn.XLOOKUP(Term2_Special_Day_1[[#This Row],[Activity]],Types_of_Activity[Type of Activity],Types_of_Activity[Classification])=1,Term2_Special_Day_1[[#This Row],[Elapsed]],0))</f>
        <v/>
      </c>
      <c r="G102" s="106" t="str">
        <f>IF(ISBLANK(Term2_Special_Day_1[[#This Row],[Activity]]),"",IF(_xlfn.XLOOKUP(Term2_Special_Day_1[[#This Row],[Activity]],Types_of_Activity[Type of Activity],Types_of_Activity[Classification])=2,Term2_Special_Day_1[[#This Row],[Elapsed]],0))</f>
        <v/>
      </c>
      <c r="H102"/>
      <c r="I102" s="136"/>
      <c r="J102" s="136"/>
      <c r="K102" s="103"/>
      <c r="L102" s="106" t="str">
        <f>IF(OR(ISBLANK(Term2_Special_Day_2[[#This Row],[Start]]),ISBLANK(Term2_Special_Day_2[[#This Row],[End]])),"",(Term2_Special_Day_2[[#This Row],[End]]-Term2_Special_Day_2[[#This Row],[Start]])*1440)</f>
        <v/>
      </c>
      <c r="M102" s="106" t="str">
        <f>IF(ISBLANK(Term2_Special_Day_2[[#This Row],[Activity]]),"",IF(_xlfn.XLOOKUP(Term2_Special_Day_2[[#This Row],[Activity]],Types_of_Activity[Type of Activity],Types_of_Activity[Classification])=1,Term2_Special_Day_2[[#This Row],[Elapsed]],0))</f>
        <v/>
      </c>
      <c r="N102" s="106" t="str">
        <f>IF(ISBLANK(Term2_Special_Day_2[[#This Row],[Activity]]),"",IF(_xlfn.XLOOKUP(Term2_Special_Day_2[[#This Row],[Activity]],Types_of_Activity[Type of Activity],Types_of_Activity[Classification])=2,Term2_Special_Day_2[[#This Row],[Elapsed]],0))</f>
        <v/>
      </c>
      <c r="O102"/>
      <c r="P102" s="136"/>
      <c r="Q102" s="136"/>
      <c r="R102" s="103"/>
      <c r="S102" s="106" t="str">
        <f>IF(OR(ISBLANK(Term2_Special_Day_3[[#This Row],[Start]]),ISBLANK(Term2_Special_Day_3[[#This Row],[End]])),"",(Term2_Special_Day_3[[#This Row],[End]]-Term2_Special_Day_3[[#This Row],[Start]])*1440)</f>
        <v/>
      </c>
      <c r="T102" s="106" t="str">
        <f>IF(ISBLANK(Term2_Special_Day_3[[#This Row],[Activity]]),"",IF(_xlfn.XLOOKUP(Term2_Special_Day_3[[#This Row],[Activity]],Types_of_Activity[Type of Activity],Types_of_Activity[Classification])=1,Term2_Special_Day_3[[#This Row],[Elapsed]],0))</f>
        <v/>
      </c>
      <c r="U102" s="106" t="str">
        <f>IF(ISBLANK(Term2_Special_Day_3[[#This Row],[Activity]]),"",IF(_xlfn.XLOOKUP(Term2_Special_Day_3[[#This Row],[Activity]],Types_of_Activity[Type of Activity],Types_of_Activity[Classification])=2,Term2_Special_Day_3[[#This Row],[Elapsed]],0))</f>
        <v/>
      </c>
    </row>
    <row r="103" spans="2:21" x14ac:dyDescent="0.3">
      <c r="B103" s="136"/>
      <c r="C103" s="136"/>
      <c r="D103" s="103"/>
      <c r="E103" s="106" t="str">
        <f>IF(OR(ISBLANK(Term2_Special_Day_1[[#This Row],[Start]]),ISBLANK(Term2_Special_Day_1[[#This Row],[End]])),"",(Term2_Special_Day_1[[#This Row],[End]]-Term2_Special_Day_1[[#This Row],[Start]])*1440)</f>
        <v/>
      </c>
      <c r="F103" s="106" t="str">
        <f>IF(ISBLANK(Term2_Special_Day_1[[#This Row],[Activity]]),"",IF(_xlfn.XLOOKUP(Term2_Special_Day_1[[#This Row],[Activity]],Types_of_Activity[Type of Activity],Types_of_Activity[Classification])=1,Term2_Special_Day_1[[#This Row],[Elapsed]],0))</f>
        <v/>
      </c>
      <c r="G103" s="106" t="str">
        <f>IF(ISBLANK(Term2_Special_Day_1[[#This Row],[Activity]]),"",IF(_xlfn.XLOOKUP(Term2_Special_Day_1[[#This Row],[Activity]],Types_of_Activity[Type of Activity],Types_of_Activity[Classification])=2,Term2_Special_Day_1[[#This Row],[Elapsed]],0))</f>
        <v/>
      </c>
      <c r="H103"/>
      <c r="I103" s="136"/>
      <c r="J103" s="136"/>
      <c r="K103" s="103"/>
      <c r="L103" s="106" t="str">
        <f>IF(OR(ISBLANK(Term2_Special_Day_2[[#This Row],[Start]]),ISBLANK(Term2_Special_Day_2[[#This Row],[End]])),"",(Term2_Special_Day_2[[#This Row],[End]]-Term2_Special_Day_2[[#This Row],[Start]])*1440)</f>
        <v/>
      </c>
      <c r="M103" s="106" t="str">
        <f>IF(ISBLANK(Term2_Special_Day_2[[#This Row],[Activity]]),"",IF(_xlfn.XLOOKUP(Term2_Special_Day_2[[#This Row],[Activity]],Types_of_Activity[Type of Activity],Types_of_Activity[Classification])=1,Term2_Special_Day_2[[#This Row],[Elapsed]],0))</f>
        <v/>
      </c>
      <c r="N103" s="106" t="str">
        <f>IF(ISBLANK(Term2_Special_Day_2[[#This Row],[Activity]]),"",IF(_xlfn.XLOOKUP(Term2_Special_Day_2[[#This Row],[Activity]],Types_of_Activity[Type of Activity],Types_of_Activity[Classification])=2,Term2_Special_Day_2[[#This Row],[Elapsed]],0))</f>
        <v/>
      </c>
      <c r="O103"/>
      <c r="P103" s="136"/>
      <c r="Q103" s="136"/>
      <c r="R103" s="103"/>
      <c r="S103" s="106" t="str">
        <f>IF(OR(ISBLANK(Term2_Special_Day_3[[#This Row],[Start]]),ISBLANK(Term2_Special_Day_3[[#This Row],[End]])),"",(Term2_Special_Day_3[[#This Row],[End]]-Term2_Special_Day_3[[#This Row],[Start]])*1440)</f>
        <v/>
      </c>
      <c r="T103" s="106" t="str">
        <f>IF(ISBLANK(Term2_Special_Day_3[[#This Row],[Activity]]),"",IF(_xlfn.XLOOKUP(Term2_Special_Day_3[[#This Row],[Activity]],Types_of_Activity[Type of Activity],Types_of_Activity[Classification])=1,Term2_Special_Day_3[[#This Row],[Elapsed]],0))</f>
        <v/>
      </c>
      <c r="U103" s="106" t="str">
        <f>IF(ISBLANK(Term2_Special_Day_3[[#This Row],[Activity]]),"",IF(_xlfn.XLOOKUP(Term2_Special_Day_3[[#This Row],[Activity]],Types_of_Activity[Type of Activity],Types_of_Activity[Classification])=2,Term2_Special_Day_3[[#This Row],[Elapsed]],0))</f>
        <v/>
      </c>
    </row>
    <row r="104" spans="2:21" x14ac:dyDescent="0.3">
      <c r="B104" s="136"/>
      <c r="C104" s="136"/>
      <c r="D104" s="103"/>
      <c r="E104" s="106" t="str">
        <f>IF(OR(ISBLANK(Term2_Special_Day_1[[#This Row],[Start]]),ISBLANK(Term2_Special_Day_1[[#This Row],[End]])),"",(Term2_Special_Day_1[[#This Row],[End]]-Term2_Special_Day_1[[#This Row],[Start]])*1440)</f>
        <v/>
      </c>
      <c r="F104" s="106" t="str">
        <f>IF(ISBLANK(Term2_Special_Day_1[[#This Row],[Activity]]),"",IF(_xlfn.XLOOKUP(Term2_Special_Day_1[[#This Row],[Activity]],Types_of_Activity[Type of Activity],Types_of_Activity[Classification])=1,Term2_Special_Day_1[[#This Row],[Elapsed]],0))</f>
        <v/>
      </c>
      <c r="G104" s="106" t="str">
        <f>IF(ISBLANK(Term2_Special_Day_1[[#This Row],[Activity]]),"",IF(_xlfn.XLOOKUP(Term2_Special_Day_1[[#This Row],[Activity]],Types_of_Activity[Type of Activity],Types_of_Activity[Classification])=2,Term2_Special_Day_1[[#This Row],[Elapsed]],0))</f>
        <v/>
      </c>
      <c r="H104"/>
      <c r="I104" s="136"/>
      <c r="J104" s="136"/>
      <c r="K104" s="103"/>
      <c r="L104" s="106" t="str">
        <f>IF(OR(ISBLANK(Term2_Special_Day_2[[#This Row],[Start]]),ISBLANK(Term2_Special_Day_2[[#This Row],[End]])),"",(Term2_Special_Day_2[[#This Row],[End]]-Term2_Special_Day_2[[#This Row],[Start]])*1440)</f>
        <v/>
      </c>
      <c r="M104" s="106" t="str">
        <f>IF(ISBLANK(Term2_Special_Day_2[[#This Row],[Activity]]),"",IF(_xlfn.XLOOKUP(Term2_Special_Day_2[[#This Row],[Activity]],Types_of_Activity[Type of Activity],Types_of_Activity[Classification])=1,Term2_Special_Day_2[[#This Row],[Elapsed]],0))</f>
        <v/>
      </c>
      <c r="N104" s="106" t="str">
        <f>IF(ISBLANK(Term2_Special_Day_2[[#This Row],[Activity]]),"",IF(_xlfn.XLOOKUP(Term2_Special_Day_2[[#This Row],[Activity]],Types_of_Activity[Type of Activity],Types_of_Activity[Classification])=2,Term2_Special_Day_2[[#This Row],[Elapsed]],0))</f>
        <v/>
      </c>
      <c r="O104"/>
      <c r="P104" s="136"/>
      <c r="Q104" s="136"/>
      <c r="R104" s="103"/>
      <c r="S104" s="106" t="str">
        <f>IF(OR(ISBLANK(Term2_Special_Day_3[[#This Row],[Start]]),ISBLANK(Term2_Special_Day_3[[#This Row],[End]])),"",(Term2_Special_Day_3[[#This Row],[End]]-Term2_Special_Day_3[[#This Row],[Start]])*1440)</f>
        <v/>
      </c>
      <c r="T104" s="106" t="str">
        <f>IF(ISBLANK(Term2_Special_Day_3[[#This Row],[Activity]]),"",IF(_xlfn.XLOOKUP(Term2_Special_Day_3[[#This Row],[Activity]],Types_of_Activity[Type of Activity],Types_of_Activity[Classification])=1,Term2_Special_Day_3[[#This Row],[Elapsed]],0))</f>
        <v/>
      </c>
      <c r="U104" s="106" t="str">
        <f>IF(ISBLANK(Term2_Special_Day_3[[#This Row],[Activity]]),"",IF(_xlfn.XLOOKUP(Term2_Special_Day_3[[#This Row],[Activity]],Types_of_Activity[Type of Activity],Types_of_Activity[Classification])=2,Term2_Special_Day_3[[#This Row],[Elapsed]],0))</f>
        <v/>
      </c>
    </row>
    <row r="105" spans="2:21" x14ac:dyDescent="0.3">
      <c r="B105" s="136"/>
      <c r="C105" s="136"/>
      <c r="D105" s="103"/>
      <c r="E105" s="106" t="str">
        <f>IF(OR(ISBLANK(Term2_Special_Day_1[[#This Row],[Start]]),ISBLANK(Term2_Special_Day_1[[#This Row],[End]])),"",(Term2_Special_Day_1[[#This Row],[End]]-Term2_Special_Day_1[[#This Row],[Start]])*1440)</f>
        <v/>
      </c>
      <c r="F105" s="106" t="str">
        <f>IF(ISBLANK(Term2_Special_Day_1[[#This Row],[Activity]]),"",IF(_xlfn.XLOOKUP(Term2_Special_Day_1[[#This Row],[Activity]],Types_of_Activity[Type of Activity],Types_of_Activity[Classification])=1,Term2_Special_Day_1[[#This Row],[Elapsed]],0))</f>
        <v/>
      </c>
      <c r="G105" s="106" t="str">
        <f>IF(ISBLANK(Term2_Special_Day_1[[#This Row],[Activity]]),"",IF(_xlfn.XLOOKUP(Term2_Special_Day_1[[#This Row],[Activity]],Types_of_Activity[Type of Activity],Types_of_Activity[Classification])=2,Term2_Special_Day_1[[#This Row],[Elapsed]],0))</f>
        <v/>
      </c>
      <c r="H105"/>
      <c r="I105" s="136"/>
      <c r="J105" s="136"/>
      <c r="K105" s="103"/>
      <c r="L105" s="106" t="str">
        <f>IF(OR(ISBLANK(Term2_Special_Day_2[[#This Row],[Start]]),ISBLANK(Term2_Special_Day_2[[#This Row],[End]])),"",(Term2_Special_Day_2[[#This Row],[End]]-Term2_Special_Day_2[[#This Row],[Start]])*1440)</f>
        <v/>
      </c>
      <c r="M105" s="106" t="str">
        <f>IF(ISBLANK(Term2_Special_Day_2[[#This Row],[Activity]]),"",IF(_xlfn.XLOOKUP(Term2_Special_Day_2[[#This Row],[Activity]],Types_of_Activity[Type of Activity],Types_of_Activity[Classification])=1,Term2_Special_Day_2[[#This Row],[Elapsed]],0))</f>
        <v/>
      </c>
      <c r="N105" s="106" t="str">
        <f>IF(ISBLANK(Term2_Special_Day_2[[#This Row],[Activity]]),"",IF(_xlfn.XLOOKUP(Term2_Special_Day_2[[#This Row],[Activity]],Types_of_Activity[Type of Activity],Types_of_Activity[Classification])=2,Term2_Special_Day_2[[#This Row],[Elapsed]],0))</f>
        <v/>
      </c>
      <c r="O105"/>
      <c r="P105" s="136"/>
      <c r="Q105" s="136"/>
      <c r="R105" s="103"/>
      <c r="S105" s="106" t="str">
        <f>IF(OR(ISBLANK(Term2_Special_Day_3[[#This Row],[Start]]),ISBLANK(Term2_Special_Day_3[[#This Row],[End]])),"",(Term2_Special_Day_3[[#This Row],[End]]-Term2_Special_Day_3[[#This Row],[Start]])*1440)</f>
        <v/>
      </c>
      <c r="T105" s="106" t="str">
        <f>IF(ISBLANK(Term2_Special_Day_3[[#This Row],[Activity]]),"",IF(_xlfn.XLOOKUP(Term2_Special_Day_3[[#This Row],[Activity]],Types_of_Activity[Type of Activity],Types_of_Activity[Classification])=1,Term2_Special_Day_3[[#This Row],[Elapsed]],0))</f>
        <v/>
      </c>
      <c r="U105" s="106" t="str">
        <f>IF(ISBLANK(Term2_Special_Day_3[[#This Row],[Activity]]),"",IF(_xlfn.XLOOKUP(Term2_Special_Day_3[[#This Row],[Activity]],Types_of_Activity[Type of Activity],Types_of_Activity[Classification])=2,Term2_Special_Day_3[[#This Row],[Elapsed]],0))</f>
        <v/>
      </c>
    </row>
    <row r="106" spans="2:21" x14ac:dyDescent="0.3">
      <c r="B106" s="136"/>
      <c r="C106" s="136"/>
      <c r="D106" s="103"/>
      <c r="E106" s="106" t="str">
        <f>IF(OR(ISBLANK(Term2_Special_Day_1[[#This Row],[Start]]),ISBLANK(Term2_Special_Day_1[[#This Row],[End]])),"",(Term2_Special_Day_1[[#This Row],[End]]-Term2_Special_Day_1[[#This Row],[Start]])*1440)</f>
        <v/>
      </c>
      <c r="F106" s="106" t="str">
        <f>IF(ISBLANK(Term2_Special_Day_1[[#This Row],[Activity]]),"",IF(_xlfn.XLOOKUP(Term2_Special_Day_1[[#This Row],[Activity]],Types_of_Activity[Type of Activity],Types_of_Activity[Classification])=1,Term2_Special_Day_1[[#This Row],[Elapsed]],0))</f>
        <v/>
      </c>
      <c r="G106" s="106" t="str">
        <f>IF(ISBLANK(Term2_Special_Day_1[[#This Row],[Activity]]),"",IF(_xlfn.XLOOKUP(Term2_Special_Day_1[[#This Row],[Activity]],Types_of_Activity[Type of Activity],Types_of_Activity[Classification])=2,Term2_Special_Day_1[[#This Row],[Elapsed]],0))</f>
        <v/>
      </c>
      <c r="H106"/>
      <c r="I106" s="136"/>
      <c r="J106" s="136"/>
      <c r="K106" s="103"/>
      <c r="L106" s="106" t="str">
        <f>IF(OR(ISBLANK(Term2_Special_Day_2[[#This Row],[Start]]),ISBLANK(Term2_Special_Day_2[[#This Row],[End]])),"",(Term2_Special_Day_2[[#This Row],[End]]-Term2_Special_Day_2[[#This Row],[Start]])*1440)</f>
        <v/>
      </c>
      <c r="M106" s="106" t="str">
        <f>IF(ISBLANK(Term2_Special_Day_2[[#This Row],[Activity]]),"",IF(_xlfn.XLOOKUP(Term2_Special_Day_2[[#This Row],[Activity]],Types_of_Activity[Type of Activity],Types_of_Activity[Classification])=1,Term2_Special_Day_2[[#This Row],[Elapsed]],0))</f>
        <v/>
      </c>
      <c r="N106" s="106" t="str">
        <f>IF(ISBLANK(Term2_Special_Day_2[[#This Row],[Activity]]),"",IF(_xlfn.XLOOKUP(Term2_Special_Day_2[[#This Row],[Activity]],Types_of_Activity[Type of Activity],Types_of_Activity[Classification])=2,Term2_Special_Day_2[[#This Row],[Elapsed]],0))</f>
        <v/>
      </c>
      <c r="O106"/>
      <c r="P106" s="136"/>
      <c r="Q106" s="136"/>
      <c r="R106" s="103"/>
      <c r="S106" s="106" t="str">
        <f>IF(OR(ISBLANK(Term2_Special_Day_3[[#This Row],[Start]]),ISBLANK(Term2_Special_Day_3[[#This Row],[End]])),"",(Term2_Special_Day_3[[#This Row],[End]]-Term2_Special_Day_3[[#This Row],[Start]])*1440)</f>
        <v/>
      </c>
      <c r="T106" s="106" t="str">
        <f>IF(ISBLANK(Term2_Special_Day_3[[#This Row],[Activity]]),"",IF(_xlfn.XLOOKUP(Term2_Special_Day_3[[#This Row],[Activity]],Types_of_Activity[Type of Activity],Types_of_Activity[Classification])=1,Term2_Special_Day_3[[#This Row],[Elapsed]],0))</f>
        <v/>
      </c>
      <c r="U106" s="106" t="str">
        <f>IF(ISBLANK(Term2_Special_Day_3[[#This Row],[Activity]]),"",IF(_xlfn.XLOOKUP(Term2_Special_Day_3[[#This Row],[Activity]],Types_of_Activity[Type of Activity],Types_of_Activity[Classification])=2,Term2_Special_Day_3[[#This Row],[Elapsed]],0))</f>
        <v/>
      </c>
    </row>
    <row r="107" spans="2:21" x14ac:dyDescent="0.3">
      <c r="B107" s="136"/>
      <c r="C107" s="136"/>
      <c r="D107" s="103"/>
      <c r="E107" s="106" t="str">
        <f>IF(OR(ISBLANK(Term2_Special_Day_1[[#This Row],[Start]]),ISBLANK(Term2_Special_Day_1[[#This Row],[End]])),"",(Term2_Special_Day_1[[#This Row],[End]]-Term2_Special_Day_1[[#This Row],[Start]])*1440)</f>
        <v/>
      </c>
      <c r="F107" s="106" t="str">
        <f>IF(ISBLANK(Term2_Special_Day_1[[#This Row],[Activity]]),"",IF(_xlfn.XLOOKUP(Term2_Special_Day_1[[#This Row],[Activity]],Types_of_Activity[Type of Activity],Types_of_Activity[Classification])=1,Term2_Special_Day_1[[#This Row],[Elapsed]],0))</f>
        <v/>
      </c>
      <c r="G107" s="106" t="str">
        <f>IF(ISBLANK(Term2_Special_Day_1[[#This Row],[Activity]]),"",IF(_xlfn.XLOOKUP(Term2_Special_Day_1[[#This Row],[Activity]],Types_of_Activity[Type of Activity],Types_of_Activity[Classification])=2,Term2_Special_Day_1[[#This Row],[Elapsed]],0))</f>
        <v/>
      </c>
      <c r="H107"/>
      <c r="I107" s="136"/>
      <c r="J107" s="136"/>
      <c r="K107" s="103"/>
      <c r="L107" s="106" t="str">
        <f>IF(OR(ISBLANK(Term2_Special_Day_2[[#This Row],[Start]]),ISBLANK(Term2_Special_Day_2[[#This Row],[End]])),"",(Term2_Special_Day_2[[#This Row],[End]]-Term2_Special_Day_2[[#This Row],[Start]])*1440)</f>
        <v/>
      </c>
      <c r="M107" s="106" t="str">
        <f>IF(ISBLANK(Term2_Special_Day_2[[#This Row],[Activity]]),"",IF(_xlfn.XLOOKUP(Term2_Special_Day_2[[#This Row],[Activity]],Types_of_Activity[Type of Activity],Types_of_Activity[Classification])=1,Term2_Special_Day_2[[#This Row],[Elapsed]],0))</f>
        <v/>
      </c>
      <c r="N107" s="106" t="str">
        <f>IF(ISBLANK(Term2_Special_Day_2[[#This Row],[Activity]]),"",IF(_xlfn.XLOOKUP(Term2_Special_Day_2[[#This Row],[Activity]],Types_of_Activity[Type of Activity],Types_of_Activity[Classification])=2,Term2_Special_Day_2[[#This Row],[Elapsed]],0))</f>
        <v/>
      </c>
      <c r="O107"/>
      <c r="P107" s="136"/>
      <c r="Q107" s="136"/>
      <c r="R107" s="103"/>
      <c r="S107" s="106" t="str">
        <f>IF(OR(ISBLANK(Term2_Special_Day_3[[#This Row],[Start]]),ISBLANK(Term2_Special_Day_3[[#This Row],[End]])),"",(Term2_Special_Day_3[[#This Row],[End]]-Term2_Special_Day_3[[#This Row],[Start]])*1440)</f>
        <v/>
      </c>
      <c r="T107" s="106" t="str">
        <f>IF(ISBLANK(Term2_Special_Day_3[[#This Row],[Activity]]),"",IF(_xlfn.XLOOKUP(Term2_Special_Day_3[[#This Row],[Activity]],Types_of_Activity[Type of Activity],Types_of_Activity[Classification])=1,Term2_Special_Day_3[[#This Row],[Elapsed]],0))</f>
        <v/>
      </c>
      <c r="U107" s="106" t="str">
        <f>IF(ISBLANK(Term2_Special_Day_3[[#This Row],[Activity]]),"",IF(_xlfn.XLOOKUP(Term2_Special_Day_3[[#This Row],[Activity]],Types_of_Activity[Type of Activity],Types_of_Activity[Classification])=2,Term2_Special_Day_3[[#This Row],[Elapsed]],0))</f>
        <v/>
      </c>
    </row>
    <row r="108" spans="2:21" x14ac:dyDescent="0.3">
      <c r="B108" s="136"/>
      <c r="C108" s="136"/>
      <c r="D108" s="103"/>
      <c r="E108" s="106" t="str">
        <f>IF(OR(ISBLANK(Term2_Special_Day_1[[#This Row],[Start]]),ISBLANK(Term2_Special_Day_1[[#This Row],[End]])),"",(Term2_Special_Day_1[[#This Row],[End]]-Term2_Special_Day_1[[#This Row],[Start]])*1440)</f>
        <v/>
      </c>
      <c r="F108" s="106" t="str">
        <f>IF(ISBLANK(Term2_Special_Day_1[[#This Row],[Activity]]),"",IF(_xlfn.XLOOKUP(Term2_Special_Day_1[[#This Row],[Activity]],Types_of_Activity[Type of Activity],Types_of_Activity[Classification])=1,Term2_Special_Day_1[[#This Row],[Elapsed]],0))</f>
        <v/>
      </c>
      <c r="G108" s="106" t="str">
        <f>IF(ISBLANK(Term2_Special_Day_1[[#This Row],[Activity]]),"",IF(_xlfn.XLOOKUP(Term2_Special_Day_1[[#This Row],[Activity]],Types_of_Activity[Type of Activity],Types_of_Activity[Classification])=2,Term2_Special_Day_1[[#This Row],[Elapsed]],0))</f>
        <v/>
      </c>
      <c r="H108"/>
      <c r="I108" s="136"/>
      <c r="J108" s="136"/>
      <c r="K108" s="103"/>
      <c r="L108" s="106" t="str">
        <f>IF(OR(ISBLANK(Term2_Special_Day_2[[#This Row],[Start]]),ISBLANK(Term2_Special_Day_2[[#This Row],[End]])),"",(Term2_Special_Day_2[[#This Row],[End]]-Term2_Special_Day_2[[#This Row],[Start]])*1440)</f>
        <v/>
      </c>
      <c r="M108" s="106" t="str">
        <f>IF(ISBLANK(Term2_Special_Day_2[[#This Row],[Activity]]),"",IF(_xlfn.XLOOKUP(Term2_Special_Day_2[[#This Row],[Activity]],Types_of_Activity[Type of Activity],Types_of_Activity[Classification])=1,Term2_Special_Day_2[[#This Row],[Elapsed]],0))</f>
        <v/>
      </c>
      <c r="N108" s="106" t="str">
        <f>IF(ISBLANK(Term2_Special_Day_2[[#This Row],[Activity]]),"",IF(_xlfn.XLOOKUP(Term2_Special_Day_2[[#This Row],[Activity]],Types_of_Activity[Type of Activity],Types_of_Activity[Classification])=2,Term2_Special_Day_2[[#This Row],[Elapsed]],0))</f>
        <v/>
      </c>
      <c r="O108"/>
      <c r="P108" s="136"/>
      <c r="Q108" s="136"/>
      <c r="R108" s="103"/>
      <c r="S108" s="106" t="str">
        <f>IF(OR(ISBLANK(Term2_Special_Day_3[[#This Row],[Start]]),ISBLANK(Term2_Special_Day_3[[#This Row],[End]])),"",(Term2_Special_Day_3[[#This Row],[End]]-Term2_Special_Day_3[[#This Row],[Start]])*1440)</f>
        <v/>
      </c>
      <c r="T108" s="106" t="str">
        <f>IF(ISBLANK(Term2_Special_Day_3[[#This Row],[Activity]]),"",IF(_xlfn.XLOOKUP(Term2_Special_Day_3[[#This Row],[Activity]],Types_of_Activity[Type of Activity],Types_of_Activity[Classification])=1,Term2_Special_Day_3[[#This Row],[Elapsed]],0))</f>
        <v/>
      </c>
      <c r="U108" s="106" t="str">
        <f>IF(ISBLANK(Term2_Special_Day_3[[#This Row],[Activity]]),"",IF(_xlfn.XLOOKUP(Term2_Special_Day_3[[#This Row],[Activity]],Types_of_Activity[Type of Activity],Types_of_Activity[Classification])=2,Term2_Special_Day_3[[#This Row],[Elapsed]],0))</f>
        <v/>
      </c>
    </row>
    <row r="109" spans="2:21" x14ac:dyDescent="0.3">
      <c r="B109" s="136"/>
      <c r="C109" s="136"/>
      <c r="D109" s="103"/>
      <c r="E109" s="106" t="str">
        <f>IF(OR(ISBLANK(Term2_Special_Day_1[[#This Row],[Start]]),ISBLANK(Term2_Special_Day_1[[#This Row],[End]])),"",(Term2_Special_Day_1[[#This Row],[End]]-Term2_Special_Day_1[[#This Row],[Start]])*1440)</f>
        <v/>
      </c>
      <c r="F109" s="106" t="str">
        <f>IF(ISBLANK(Term2_Special_Day_1[[#This Row],[Activity]]),"",IF(_xlfn.XLOOKUP(Term2_Special_Day_1[[#This Row],[Activity]],Types_of_Activity[Type of Activity],Types_of_Activity[Classification])=1,Term2_Special_Day_1[[#This Row],[Elapsed]],0))</f>
        <v/>
      </c>
      <c r="G109" s="106" t="str">
        <f>IF(ISBLANK(Term2_Special_Day_1[[#This Row],[Activity]]),"",IF(_xlfn.XLOOKUP(Term2_Special_Day_1[[#This Row],[Activity]],Types_of_Activity[Type of Activity],Types_of_Activity[Classification])=2,Term2_Special_Day_1[[#This Row],[Elapsed]],0))</f>
        <v/>
      </c>
      <c r="H109"/>
      <c r="I109" s="136"/>
      <c r="J109" s="136"/>
      <c r="K109" s="103"/>
      <c r="L109" s="106" t="str">
        <f>IF(OR(ISBLANK(Term2_Special_Day_2[[#This Row],[Start]]),ISBLANK(Term2_Special_Day_2[[#This Row],[End]])),"",(Term2_Special_Day_2[[#This Row],[End]]-Term2_Special_Day_2[[#This Row],[Start]])*1440)</f>
        <v/>
      </c>
      <c r="M109" s="106" t="str">
        <f>IF(ISBLANK(Term2_Special_Day_2[[#This Row],[Activity]]),"",IF(_xlfn.XLOOKUP(Term2_Special_Day_2[[#This Row],[Activity]],Types_of_Activity[Type of Activity],Types_of_Activity[Classification])=1,Term2_Special_Day_2[[#This Row],[Elapsed]],0))</f>
        <v/>
      </c>
      <c r="N109" s="106" t="str">
        <f>IF(ISBLANK(Term2_Special_Day_2[[#This Row],[Activity]]),"",IF(_xlfn.XLOOKUP(Term2_Special_Day_2[[#This Row],[Activity]],Types_of_Activity[Type of Activity],Types_of_Activity[Classification])=2,Term2_Special_Day_2[[#This Row],[Elapsed]],0))</f>
        <v/>
      </c>
      <c r="O109"/>
      <c r="P109" s="136"/>
      <c r="Q109" s="136"/>
      <c r="R109" s="103"/>
      <c r="S109" s="106" t="str">
        <f>IF(OR(ISBLANK(Term2_Special_Day_3[[#This Row],[Start]]),ISBLANK(Term2_Special_Day_3[[#This Row],[End]])),"",(Term2_Special_Day_3[[#This Row],[End]]-Term2_Special_Day_3[[#This Row],[Start]])*1440)</f>
        <v/>
      </c>
      <c r="T109" s="106" t="str">
        <f>IF(ISBLANK(Term2_Special_Day_3[[#This Row],[Activity]]),"",IF(_xlfn.XLOOKUP(Term2_Special_Day_3[[#This Row],[Activity]],Types_of_Activity[Type of Activity],Types_of_Activity[Classification])=1,Term2_Special_Day_3[[#This Row],[Elapsed]],0))</f>
        <v/>
      </c>
      <c r="U109" s="106" t="str">
        <f>IF(ISBLANK(Term2_Special_Day_3[[#This Row],[Activity]]),"",IF(_xlfn.XLOOKUP(Term2_Special_Day_3[[#This Row],[Activity]],Types_of_Activity[Type of Activity],Types_of_Activity[Classification])=2,Term2_Special_Day_3[[#This Row],[Elapsed]],0))</f>
        <v/>
      </c>
    </row>
    <row r="110" spans="2:21" x14ac:dyDescent="0.3">
      <c r="B110" s="136"/>
      <c r="C110" s="136"/>
      <c r="D110" s="103"/>
      <c r="E110" s="106" t="str">
        <f>IF(OR(ISBLANK(Term2_Special_Day_1[[#This Row],[Start]]),ISBLANK(Term2_Special_Day_1[[#This Row],[End]])),"",(Term2_Special_Day_1[[#This Row],[End]]-Term2_Special_Day_1[[#This Row],[Start]])*1440)</f>
        <v/>
      </c>
      <c r="F110" s="106" t="str">
        <f>IF(ISBLANK(Term2_Special_Day_1[[#This Row],[Activity]]),"",IF(_xlfn.XLOOKUP(Term2_Special_Day_1[[#This Row],[Activity]],Types_of_Activity[Type of Activity],Types_of_Activity[Classification])=1,Term2_Special_Day_1[[#This Row],[Elapsed]],0))</f>
        <v/>
      </c>
      <c r="G110" s="106" t="str">
        <f>IF(ISBLANK(Term2_Special_Day_1[[#This Row],[Activity]]),"",IF(_xlfn.XLOOKUP(Term2_Special_Day_1[[#This Row],[Activity]],Types_of_Activity[Type of Activity],Types_of_Activity[Classification])=2,Term2_Special_Day_1[[#This Row],[Elapsed]],0))</f>
        <v/>
      </c>
      <c r="H110"/>
      <c r="I110" s="136"/>
      <c r="J110" s="136"/>
      <c r="K110" s="103"/>
      <c r="L110" s="106" t="str">
        <f>IF(OR(ISBLANK(Term2_Special_Day_2[[#This Row],[Start]]),ISBLANK(Term2_Special_Day_2[[#This Row],[End]])),"",(Term2_Special_Day_2[[#This Row],[End]]-Term2_Special_Day_2[[#This Row],[Start]])*1440)</f>
        <v/>
      </c>
      <c r="M110" s="106" t="str">
        <f>IF(ISBLANK(Term2_Special_Day_2[[#This Row],[Activity]]),"",IF(_xlfn.XLOOKUP(Term2_Special_Day_2[[#This Row],[Activity]],Types_of_Activity[Type of Activity],Types_of_Activity[Classification])=1,Term2_Special_Day_2[[#This Row],[Elapsed]],0))</f>
        <v/>
      </c>
      <c r="N110" s="106" t="str">
        <f>IF(ISBLANK(Term2_Special_Day_2[[#This Row],[Activity]]),"",IF(_xlfn.XLOOKUP(Term2_Special_Day_2[[#This Row],[Activity]],Types_of_Activity[Type of Activity],Types_of_Activity[Classification])=2,Term2_Special_Day_2[[#This Row],[Elapsed]],0))</f>
        <v/>
      </c>
      <c r="O110"/>
      <c r="P110" s="136"/>
      <c r="Q110" s="136"/>
      <c r="R110" s="103"/>
      <c r="S110" s="106" t="str">
        <f>IF(OR(ISBLANK(Term2_Special_Day_3[[#This Row],[Start]]),ISBLANK(Term2_Special_Day_3[[#This Row],[End]])),"",(Term2_Special_Day_3[[#This Row],[End]]-Term2_Special_Day_3[[#This Row],[Start]])*1440)</f>
        <v/>
      </c>
      <c r="T110" s="106" t="str">
        <f>IF(ISBLANK(Term2_Special_Day_3[[#This Row],[Activity]]),"",IF(_xlfn.XLOOKUP(Term2_Special_Day_3[[#This Row],[Activity]],Types_of_Activity[Type of Activity],Types_of_Activity[Classification])=1,Term2_Special_Day_3[[#This Row],[Elapsed]],0))</f>
        <v/>
      </c>
      <c r="U110" s="106" t="str">
        <f>IF(ISBLANK(Term2_Special_Day_3[[#This Row],[Activity]]),"",IF(_xlfn.XLOOKUP(Term2_Special_Day_3[[#This Row],[Activity]],Types_of_Activity[Type of Activity],Types_of_Activity[Classification])=2,Term2_Special_Day_3[[#This Row],[Elapsed]],0))</f>
        <v/>
      </c>
    </row>
    <row r="111" spans="2:21" x14ac:dyDescent="0.3">
      <c r="B111" s="136"/>
      <c r="C111" s="136"/>
      <c r="D111" s="103"/>
      <c r="E111" s="106" t="str">
        <f>IF(OR(ISBLANK(Term2_Special_Day_1[[#This Row],[Start]]),ISBLANK(Term2_Special_Day_1[[#This Row],[End]])),"",(Term2_Special_Day_1[[#This Row],[End]]-Term2_Special_Day_1[[#This Row],[Start]])*1440)</f>
        <v/>
      </c>
      <c r="F111" s="106" t="str">
        <f>IF(ISBLANK(Term2_Special_Day_1[[#This Row],[Activity]]),"",IF(_xlfn.XLOOKUP(Term2_Special_Day_1[[#This Row],[Activity]],Types_of_Activity[Type of Activity],Types_of_Activity[Classification])=1,Term2_Special_Day_1[[#This Row],[Elapsed]],0))</f>
        <v/>
      </c>
      <c r="G111" s="106" t="str">
        <f>IF(ISBLANK(Term2_Special_Day_1[[#This Row],[Activity]]),"",IF(_xlfn.XLOOKUP(Term2_Special_Day_1[[#This Row],[Activity]],Types_of_Activity[Type of Activity],Types_of_Activity[Classification])=2,Term2_Special_Day_1[[#This Row],[Elapsed]],0))</f>
        <v/>
      </c>
      <c r="H111"/>
      <c r="I111" s="136"/>
      <c r="J111" s="136"/>
      <c r="K111" s="103"/>
      <c r="L111" s="106" t="str">
        <f>IF(OR(ISBLANK(Term2_Special_Day_2[[#This Row],[Start]]),ISBLANK(Term2_Special_Day_2[[#This Row],[End]])),"",(Term2_Special_Day_2[[#This Row],[End]]-Term2_Special_Day_2[[#This Row],[Start]])*1440)</f>
        <v/>
      </c>
      <c r="M111" s="106" t="str">
        <f>IF(ISBLANK(Term2_Special_Day_2[[#This Row],[Activity]]),"",IF(_xlfn.XLOOKUP(Term2_Special_Day_2[[#This Row],[Activity]],Types_of_Activity[Type of Activity],Types_of_Activity[Classification])=1,Term2_Special_Day_2[[#This Row],[Elapsed]],0))</f>
        <v/>
      </c>
      <c r="N111" s="106" t="str">
        <f>IF(ISBLANK(Term2_Special_Day_2[[#This Row],[Activity]]),"",IF(_xlfn.XLOOKUP(Term2_Special_Day_2[[#This Row],[Activity]],Types_of_Activity[Type of Activity],Types_of_Activity[Classification])=2,Term2_Special_Day_2[[#This Row],[Elapsed]],0))</f>
        <v/>
      </c>
      <c r="O111"/>
      <c r="P111" s="136"/>
      <c r="Q111" s="136"/>
      <c r="R111" s="103"/>
      <c r="S111" s="106" t="str">
        <f>IF(OR(ISBLANK(Term2_Special_Day_3[[#This Row],[Start]]),ISBLANK(Term2_Special_Day_3[[#This Row],[End]])),"",(Term2_Special_Day_3[[#This Row],[End]]-Term2_Special_Day_3[[#This Row],[Start]])*1440)</f>
        <v/>
      </c>
      <c r="T111" s="106" t="str">
        <f>IF(ISBLANK(Term2_Special_Day_3[[#This Row],[Activity]]),"",IF(_xlfn.XLOOKUP(Term2_Special_Day_3[[#This Row],[Activity]],Types_of_Activity[Type of Activity],Types_of_Activity[Classification])=1,Term2_Special_Day_3[[#This Row],[Elapsed]],0))</f>
        <v/>
      </c>
      <c r="U111" s="106" t="str">
        <f>IF(ISBLANK(Term2_Special_Day_3[[#This Row],[Activity]]),"",IF(_xlfn.XLOOKUP(Term2_Special_Day_3[[#This Row],[Activity]],Types_of_Activity[Type of Activity],Types_of_Activity[Classification])=2,Term2_Special_Day_3[[#This Row],[Elapsed]],0))</f>
        <v/>
      </c>
    </row>
    <row r="112" spans="2:21" x14ac:dyDescent="0.3">
      <c r="B112" s="136"/>
      <c r="C112" s="136"/>
      <c r="D112" s="103"/>
      <c r="E112" s="106" t="str">
        <f>IF(OR(ISBLANK(Term2_Special_Day_1[[#This Row],[Start]]),ISBLANK(Term2_Special_Day_1[[#This Row],[End]])),"",(Term2_Special_Day_1[[#This Row],[End]]-Term2_Special_Day_1[[#This Row],[Start]])*1440)</f>
        <v/>
      </c>
      <c r="F112" s="106" t="str">
        <f>IF(ISBLANK(Term2_Special_Day_1[[#This Row],[Activity]]),"",IF(_xlfn.XLOOKUP(Term2_Special_Day_1[[#This Row],[Activity]],Types_of_Activity[Type of Activity],Types_of_Activity[Classification])=1,Term2_Special_Day_1[[#This Row],[Elapsed]],0))</f>
        <v/>
      </c>
      <c r="G112" s="106" t="str">
        <f>IF(ISBLANK(Term2_Special_Day_1[[#This Row],[Activity]]),"",IF(_xlfn.XLOOKUP(Term2_Special_Day_1[[#This Row],[Activity]],Types_of_Activity[Type of Activity],Types_of_Activity[Classification])=2,Term2_Special_Day_1[[#This Row],[Elapsed]],0))</f>
        <v/>
      </c>
      <c r="H112"/>
      <c r="I112" s="136"/>
      <c r="J112" s="136"/>
      <c r="K112" s="103"/>
      <c r="L112" s="106" t="str">
        <f>IF(OR(ISBLANK(Term2_Special_Day_2[[#This Row],[Start]]),ISBLANK(Term2_Special_Day_2[[#This Row],[End]])),"",(Term2_Special_Day_2[[#This Row],[End]]-Term2_Special_Day_2[[#This Row],[Start]])*1440)</f>
        <v/>
      </c>
      <c r="M112" s="106" t="str">
        <f>IF(ISBLANK(Term2_Special_Day_2[[#This Row],[Activity]]),"",IF(_xlfn.XLOOKUP(Term2_Special_Day_2[[#This Row],[Activity]],Types_of_Activity[Type of Activity],Types_of_Activity[Classification])=1,Term2_Special_Day_2[[#This Row],[Elapsed]],0))</f>
        <v/>
      </c>
      <c r="N112" s="106" t="str">
        <f>IF(ISBLANK(Term2_Special_Day_2[[#This Row],[Activity]]),"",IF(_xlfn.XLOOKUP(Term2_Special_Day_2[[#This Row],[Activity]],Types_of_Activity[Type of Activity],Types_of_Activity[Classification])=2,Term2_Special_Day_2[[#This Row],[Elapsed]],0))</f>
        <v/>
      </c>
      <c r="O112"/>
      <c r="P112" s="136"/>
      <c r="Q112" s="136"/>
      <c r="R112" s="103"/>
      <c r="S112" s="106" t="str">
        <f>IF(OR(ISBLANK(Term2_Special_Day_3[[#This Row],[Start]]),ISBLANK(Term2_Special_Day_3[[#This Row],[End]])),"",(Term2_Special_Day_3[[#This Row],[End]]-Term2_Special_Day_3[[#This Row],[Start]])*1440)</f>
        <v/>
      </c>
      <c r="T112" s="106" t="str">
        <f>IF(ISBLANK(Term2_Special_Day_3[[#This Row],[Activity]]),"",IF(_xlfn.XLOOKUP(Term2_Special_Day_3[[#This Row],[Activity]],Types_of_Activity[Type of Activity],Types_of_Activity[Classification])=1,Term2_Special_Day_3[[#This Row],[Elapsed]],0))</f>
        <v/>
      </c>
      <c r="U112" s="106" t="str">
        <f>IF(ISBLANK(Term2_Special_Day_3[[#This Row],[Activity]]),"",IF(_xlfn.XLOOKUP(Term2_Special_Day_3[[#This Row],[Activity]],Types_of_Activity[Type of Activity],Types_of_Activity[Classification])=2,Term2_Special_Day_3[[#This Row],[Elapsed]],0))</f>
        <v/>
      </c>
    </row>
    <row r="113" spans="2:21" x14ac:dyDescent="0.3">
      <c r="B113" s="136"/>
      <c r="C113" s="136"/>
      <c r="D113" s="103"/>
      <c r="E113" s="106" t="str">
        <f>IF(OR(ISBLANK(Term2_Special_Day_1[[#This Row],[Start]]),ISBLANK(Term2_Special_Day_1[[#This Row],[End]])),"",(Term2_Special_Day_1[[#This Row],[End]]-Term2_Special_Day_1[[#This Row],[Start]])*1440)</f>
        <v/>
      </c>
      <c r="F113" s="106" t="str">
        <f>IF(ISBLANK(Term2_Special_Day_1[[#This Row],[Activity]]),"",IF(_xlfn.XLOOKUP(Term2_Special_Day_1[[#This Row],[Activity]],Types_of_Activity[Type of Activity],Types_of_Activity[Classification])=1,Term2_Special_Day_1[[#This Row],[Elapsed]],0))</f>
        <v/>
      </c>
      <c r="G113" s="106" t="str">
        <f>IF(ISBLANK(Term2_Special_Day_1[[#This Row],[Activity]]),"",IF(_xlfn.XLOOKUP(Term2_Special_Day_1[[#This Row],[Activity]],Types_of_Activity[Type of Activity],Types_of_Activity[Classification])=2,Term2_Special_Day_1[[#This Row],[Elapsed]],0))</f>
        <v/>
      </c>
      <c r="H113"/>
      <c r="I113" s="136"/>
      <c r="J113" s="136"/>
      <c r="K113" s="103"/>
      <c r="L113" s="106" t="str">
        <f>IF(OR(ISBLANK(Term2_Special_Day_2[[#This Row],[Start]]),ISBLANK(Term2_Special_Day_2[[#This Row],[End]])),"",(Term2_Special_Day_2[[#This Row],[End]]-Term2_Special_Day_2[[#This Row],[Start]])*1440)</f>
        <v/>
      </c>
      <c r="M113" s="106" t="str">
        <f>IF(ISBLANK(Term2_Special_Day_2[[#This Row],[Activity]]),"",IF(_xlfn.XLOOKUP(Term2_Special_Day_2[[#This Row],[Activity]],Types_of_Activity[Type of Activity],Types_of_Activity[Classification])=1,Term2_Special_Day_2[[#This Row],[Elapsed]],0))</f>
        <v/>
      </c>
      <c r="N113" s="106" t="str">
        <f>IF(ISBLANK(Term2_Special_Day_2[[#This Row],[Activity]]),"",IF(_xlfn.XLOOKUP(Term2_Special_Day_2[[#This Row],[Activity]],Types_of_Activity[Type of Activity],Types_of_Activity[Classification])=2,Term2_Special_Day_2[[#This Row],[Elapsed]],0))</f>
        <v/>
      </c>
      <c r="O113"/>
      <c r="P113" s="136"/>
      <c r="Q113" s="136"/>
      <c r="R113" s="103"/>
      <c r="S113" s="106" t="str">
        <f>IF(OR(ISBLANK(Term2_Special_Day_3[[#This Row],[Start]]),ISBLANK(Term2_Special_Day_3[[#This Row],[End]])),"",(Term2_Special_Day_3[[#This Row],[End]]-Term2_Special_Day_3[[#This Row],[Start]])*1440)</f>
        <v/>
      </c>
      <c r="T113" s="106" t="str">
        <f>IF(ISBLANK(Term2_Special_Day_3[[#This Row],[Activity]]),"",IF(_xlfn.XLOOKUP(Term2_Special_Day_3[[#This Row],[Activity]],Types_of_Activity[Type of Activity],Types_of_Activity[Classification])=1,Term2_Special_Day_3[[#This Row],[Elapsed]],0))</f>
        <v/>
      </c>
      <c r="U113" s="106" t="str">
        <f>IF(ISBLANK(Term2_Special_Day_3[[#This Row],[Activity]]),"",IF(_xlfn.XLOOKUP(Term2_Special_Day_3[[#This Row],[Activity]],Types_of_Activity[Type of Activity],Types_of_Activity[Classification])=2,Term2_Special_Day_3[[#This Row],[Elapsed]],0))</f>
        <v/>
      </c>
    </row>
    <row r="114" spans="2:21" x14ac:dyDescent="0.3">
      <c r="B114" s="136"/>
      <c r="C114" s="136"/>
      <c r="D114" s="103"/>
      <c r="E114" s="106" t="str">
        <f>IF(OR(ISBLANK(Term2_Special_Day_1[[#This Row],[Start]]),ISBLANK(Term2_Special_Day_1[[#This Row],[End]])),"",(Term2_Special_Day_1[[#This Row],[End]]-Term2_Special_Day_1[[#This Row],[Start]])*1440)</f>
        <v/>
      </c>
      <c r="F114" s="106" t="str">
        <f>IF(ISBLANK(Term2_Special_Day_1[[#This Row],[Activity]]),"",IF(_xlfn.XLOOKUP(Term2_Special_Day_1[[#This Row],[Activity]],Types_of_Activity[Type of Activity],Types_of_Activity[Classification])=1,Term2_Special_Day_1[[#This Row],[Elapsed]],0))</f>
        <v/>
      </c>
      <c r="G114" s="106" t="str">
        <f>IF(ISBLANK(Term2_Special_Day_1[[#This Row],[Activity]]),"",IF(_xlfn.XLOOKUP(Term2_Special_Day_1[[#This Row],[Activity]],Types_of_Activity[Type of Activity],Types_of_Activity[Classification])=2,Term2_Special_Day_1[[#This Row],[Elapsed]],0))</f>
        <v/>
      </c>
      <c r="H114"/>
      <c r="I114" s="136"/>
      <c r="J114" s="136"/>
      <c r="K114" s="103"/>
      <c r="L114" s="106" t="str">
        <f>IF(OR(ISBLANK(Term2_Special_Day_2[[#This Row],[Start]]),ISBLANK(Term2_Special_Day_2[[#This Row],[End]])),"",(Term2_Special_Day_2[[#This Row],[End]]-Term2_Special_Day_2[[#This Row],[Start]])*1440)</f>
        <v/>
      </c>
      <c r="M114" s="106" t="str">
        <f>IF(ISBLANK(Term2_Special_Day_2[[#This Row],[Activity]]),"",IF(_xlfn.XLOOKUP(Term2_Special_Day_2[[#This Row],[Activity]],Types_of_Activity[Type of Activity],Types_of_Activity[Classification])=1,Term2_Special_Day_2[[#This Row],[Elapsed]],0))</f>
        <v/>
      </c>
      <c r="N114" s="106" t="str">
        <f>IF(ISBLANK(Term2_Special_Day_2[[#This Row],[Activity]]),"",IF(_xlfn.XLOOKUP(Term2_Special_Day_2[[#This Row],[Activity]],Types_of_Activity[Type of Activity],Types_of_Activity[Classification])=2,Term2_Special_Day_2[[#This Row],[Elapsed]],0))</f>
        <v/>
      </c>
      <c r="O114"/>
      <c r="P114" s="136"/>
      <c r="Q114" s="136"/>
      <c r="R114" s="103"/>
      <c r="S114" s="106" t="str">
        <f>IF(OR(ISBLANK(Term2_Special_Day_3[[#This Row],[Start]]),ISBLANK(Term2_Special_Day_3[[#This Row],[End]])),"",(Term2_Special_Day_3[[#This Row],[End]]-Term2_Special_Day_3[[#This Row],[Start]])*1440)</f>
        <v/>
      </c>
      <c r="T114" s="106" t="str">
        <f>IF(ISBLANK(Term2_Special_Day_3[[#This Row],[Activity]]),"",IF(_xlfn.XLOOKUP(Term2_Special_Day_3[[#This Row],[Activity]],Types_of_Activity[Type of Activity],Types_of_Activity[Classification])=1,Term2_Special_Day_3[[#This Row],[Elapsed]],0))</f>
        <v/>
      </c>
      <c r="U114" s="106" t="str">
        <f>IF(ISBLANK(Term2_Special_Day_3[[#This Row],[Activity]]),"",IF(_xlfn.XLOOKUP(Term2_Special_Day_3[[#This Row],[Activity]],Types_of_Activity[Type of Activity],Types_of_Activity[Classification])=2,Term2_Special_Day_3[[#This Row],[Elapsed]],0))</f>
        <v/>
      </c>
    </row>
    <row r="115" spans="2:21" x14ac:dyDescent="0.3">
      <c r="B115" s="136"/>
      <c r="C115" s="136"/>
      <c r="D115" s="103"/>
      <c r="E115" s="106" t="str">
        <f>IF(OR(ISBLANK(Term2_Special_Day_1[[#This Row],[Start]]),ISBLANK(Term2_Special_Day_1[[#This Row],[End]])),"",(Term2_Special_Day_1[[#This Row],[End]]-Term2_Special_Day_1[[#This Row],[Start]])*1440)</f>
        <v/>
      </c>
      <c r="F115" s="106" t="str">
        <f>IF(ISBLANK(Term2_Special_Day_1[[#This Row],[Activity]]),"",IF(_xlfn.XLOOKUP(Term2_Special_Day_1[[#This Row],[Activity]],Types_of_Activity[Type of Activity],Types_of_Activity[Classification])=1,Term2_Special_Day_1[[#This Row],[Elapsed]],0))</f>
        <v/>
      </c>
      <c r="G115" s="106" t="str">
        <f>IF(ISBLANK(Term2_Special_Day_1[[#This Row],[Activity]]),"",IF(_xlfn.XLOOKUP(Term2_Special_Day_1[[#This Row],[Activity]],Types_of_Activity[Type of Activity],Types_of_Activity[Classification])=2,Term2_Special_Day_1[[#This Row],[Elapsed]],0))</f>
        <v/>
      </c>
      <c r="H115"/>
      <c r="I115" s="136"/>
      <c r="J115" s="136"/>
      <c r="K115" s="103"/>
      <c r="L115" s="106" t="str">
        <f>IF(OR(ISBLANK(Term2_Special_Day_2[[#This Row],[Start]]),ISBLANK(Term2_Special_Day_2[[#This Row],[End]])),"",(Term2_Special_Day_2[[#This Row],[End]]-Term2_Special_Day_2[[#This Row],[Start]])*1440)</f>
        <v/>
      </c>
      <c r="M115" s="106" t="str">
        <f>IF(ISBLANK(Term2_Special_Day_2[[#This Row],[Activity]]),"",IF(_xlfn.XLOOKUP(Term2_Special_Day_2[[#This Row],[Activity]],Types_of_Activity[Type of Activity],Types_of_Activity[Classification])=1,Term2_Special_Day_2[[#This Row],[Elapsed]],0))</f>
        <v/>
      </c>
      <c r="N115" s="106" t="str">
        <f>IF(ISBLANK(Term2_Special_Day_2[[#This Row],[Activity]]),"",IF(_xlfn.XLOOKUP(Term2_Special_Day_2[[#This Row],[Activity]],Types_of_Activity[Type of Activity],Types_of_Activity[Classification])=2,Term2_Special_Day_2[[#This Row],[Elapsed]],0))</f>
        <v/>
      </c>
      <c r="O115"/>
      <c r="P115" s="136"/>
      <c r="Q115" s="136"/>
      <c r="R115" s="103"/>
      <c r="S115" s="106" t="str">
        <f>IF(OR(ISBLANK(Term2_Special_Day_3[[#This Row],[Start]]),ISBLANK(Term2_Special_Day_3[[#This Row],[End]])),"",(Term2_Special_Day_3[[#This Row],[End]]-Term2_Special_Day_3[[#This Row],[Start]])*1440)</f>
        <v/>
      </c>
      <c r="T115" s="106" t="str">
        <f>IF(ISBLANK(Term2_Special_Day_3[[#This Row],[Activity]]),"",IF(_xlfn.XLOOKUP(Term2_Special_Day_3[[#This Row],[Activity]],Types_of_Activity[Type of Activity],Types_of_Activity[Classification])=1,Term2_Special_Day_3[[#This Row],[Elapsed]],0))</f>
        <v/>
      </c>
      <c r="U115" s="106" t="str">
        <f>IF(ISBLANK(Term2_Special_Day_3[[#This Row],[Activity]]),"",IF(_xlfn.XLOOKUP(Term2_Special_Day_3[[#This Row],[Activity]],Types_of_Activity[Type of Activity],Types_of_Activity[Classification])=2,Term2_Special_Day_3[[#This Row],[Elapsed]],0))</f>
        <v/>
      </c>
    </row>
    <row r="116" spans="2:21" x14ac:dyDescent="0.3">
      <c r="B116" s="136"/>
      <c r="C116" s="136"/>
      <c r="D116" s="103"/>
      <c r="E116" s="106" t="str">
        <f>IF(OR(ISBLANK(Term2_Special_Day_1[[#This Row],[Start]]),ISBLANK(Term2_Special_Day_1[[#This Row],[End]])),"",(Term2_Special_Day_1[[#This Row],[End]]-Term2_Special_Day_1[[#This Row],[Start]])*1440)</f>
        <v/>
      </c>
      <c r="F116" s="106" t="str">
        <f>IF(ISBLANK(Term2_Special_Day_1[[#This Row],[Activity]]),"",IF(_xlfn.XLOOKUP(Term2_Special_Day_1[[#This Row],[Activity]],Types_of_Activity[Type of Activity],Types_of_Activity[Classification])=1,Term2_Special_Day_1[[#This Row],[Elapsed]],0))</f>
        <v/>
      </c>
      <c r="G116" s="106" t="str">
        <f>IF(ISBLANK(Term2_Special_Day_1[[#This Row],[Activity]]),"",IF(_xlfn.XLOOKUP(Term2_Special_Day_1[[#This Row],[Activity]],Types_of_Activity[Type of Activity],Types_of_Activity[Classification])=2,Term2_Special_Day_1[[#This Row],[Elapsed]],0))</f>
        <v/>
      </c>
      <c r="H116"/>
      <c r="I116" s="136"/>
      <c r="J116" s="136"/>
      <c r="K116" s="103"/>
      <c r="L116" s="106" t="str">
        <f>IF(OR(ISBLANK(Term2_Special_Day_2[[#This Row],[Start]]),ISBLANK(Term2_Special_Day_2[[#This Row],[End]])),"",(Term2_Special_Day_2[[#This Row],[End]]-Term2_Special_Day_2[[#This Row],[Start]])*1440)</f>
        <v/>
      </c>
      <c r="M116" s="106" t="str">
        <f>IF(ISBLANK(Term2_Special_Day_2[[#This Row],[Activity]]),"",IF(_xlfn.XLOOKUP(Term2_Special_Day_2[[#This Row],[Activity]],Types_of_Activity[Type of Activity],Types_of_Activity[Classification])=1,Term2_Special_Day_2[[#This Row],[Elapsed]],0))</f>
        <v/>
      </c>
      <c r="N116" s="106" t="str">
        <f>IF(ISBLANK(Term2_Special_Day_2[[#This Row],[Activity]]),"",IF(_xlfn.XLOOKUP(Term2_Special_Day_2[[#This Row],[Activity]],Types_of_Activity[Type of Activity],Types_of_Activity[Classification])=2,Term2_Special_Day_2[[#This Row],[Elapsed]],0))</f>
        <v/>
      </c>
      <c r="O116"/>
      <c r="P116" s="136"/>
      <c r="Q116" s="136"/>
      <c r="R116" s="103"/>
      <c r="S116" s="106" t="str">
        <f>IF(OR(ISBLANK(Term2_Special_Day_3[[#This Row],[Start]]),ISBLANK(Term2_Special_Day_3[[#This Row],[End]])),"",(Term2_Special_Day_3[[#This Row],[End]]-Term2_Special_Day_3[[#This Row],[Start]])*1440)</f>
        <v/>
      </c>
      <c r="T116" s="106" t="str">
        <f>IF(ISBLANK(Term2_Special_Day_3[[#This Row],[Activity]]),"",IF(_xlfn.XLOOKUP(Term2_Special_Day_3[[#This Row],[Activity]],Types_of_Activity[Type of Activity],Types_of_Activity[Classification])=1,Term2_Special_Day_3[[#This Row],[Elapsed]],0))</f>
        <v/>
      </c>
      <c r="U116" s="106" t="str">
        <f>IF(ISBLANK(Term2_Special_Day_3[[#This Row],[Activity]]),"",IF(_xlfn.XLOOKUP(Term2_Special_Day_3[[#This Row],[Activity]],Types_of_Activity[Type of Activity],Types_of_Activity[Classification])=2,Term2_Special_Day_3[[#This Row],[Elapsed]],0))</f>
        <v/>
      </c>
    </row>
    <row r="117" spans="2:21" x14ac:dyDescent="0.3">
      <c r="B117" s="136"/>
      <c r="C117" s="136"/>
      <c r="D117" s="103"/>
      <c r="E117" s="106" t="str">
        <f>IF(OR(ISBLANK(Term2_Special_Day_1[[#This Row],[Start]]),ISBLANK(Term2_Special_Day_1[[#This Row],[End]])),"",(Term2_Special_Day_1[[#This Row],[End]]-Term2_Special_Day_1[[#This Row],[Start]])*1440)</f>
        <v/>
      </c>
      <c r="F117" s="106" t="str">
        <f>IF(ISBLANK(Term2_Special_Day_1[[#This Row],[Activity]]),"",IF(_xlfn.XLOOKUP(Term2_Special_Day_1[[#This Row],[Activity]],Types_of_Activity[Type of Activity],Types_of_Activity[Classification])=1,Term2_Special_Day_1[[#This Row],[Elapsed]],0))</f>
        <v/>
      </c>
      <c r="G117" s="106" t="str">
        <f>IF(ISBLANK(Term2_Special_Day_1[[#This Row],[Activity]]),"",IF(_xlfn.XLOOKUP(Term2_Special_Day_1[[#This Row],[Activity]],Types_of_Activity[Type of Activity],Types_of_Activity[Classification])=2,Term2_Special_Day_1[[#This Row],[Elapsed]],0))</f>
        <v/>
      </c>
      <c r="H117"/>
      <c r="I117" s="136"/>
      <c r="J117" s="136"/>
      <c r="K117" s="103"/>
      <c r="L117" s="106" t="str">
        <f>IF(OR(ISBLANK(Term2_Special_Day_2[[#This Row],[Start]]),ISBLANK(Term2_Special_Day_2[[#This Row],[End]])),"",(Term2_Special_Day_2[[#This Row],[End]]-Term2_Special_Day_2[[#This Row],[Start]])*1440)</f>
        <v/>
      </c>
      <c r="M117" s="106" t="str">
        <f>IF(ISBLANK(Term2_Special_Day_2[[#This Row],[Activity]]),"",IF(_xlfn.XLOOKUP(Term2_Special_Day_2[[#This Row],[Activity]],Types_of_Activity[Type of Activity],Types_of_Activity[Classification])=1,Term2_Special_Day_2[[#This Row],[Elapsed]],0))</f>
        <v/>
      </c>
      <c r="N117" s="106" t="str">
        <f>IF(ISBLANK(Term2_Special_Day_2[[#This Row],[Activity]]),"",IF(_xlfn.XLOOKUP(Term2_Special_Day_2[[#This Row],[Activity]],Types_of_Activity[Type of Activity],Types_of_Activity[Classification])=2,Term2_Special_Day_2[[#This Row],[Elapsed]],0))</f>
        <v/>
      </c>
      <c r="O117"/>
      <c r="P117" s="136"/>
      <c r="Q117" s="136"/>
      <c r="R117" s="103"/>
      <c r="S117" s="106" t="str">
        <f>IF(OR(ISBLANK(Term2_Special_Day_3[[#This Row],[Start]]),ISBLANK(Term2_Special_Day_3[[#This Row],[End]])),"",(Term2_Special_Day_3[[#This Row],[End]]-Term2_Special_Day_3[[#This Row],[Start]])*1440)</f>
        <v/>
      </c>
      <c r="T117" s="106" t="str">
        <f>IF(ISBLANK(Term2_Special_Day_3[[#This Row],[Activity]]),"",IF(_xlfn.XLOOKUP(Term2_Special_Day_3[[#This Row],[Activity]],Types_of_Activity[Type of Activity],Types_of_Activity[Classification])=1,Term2_Special_Day_3[[#This Row],[Elapsed]],0))</f>
        <v/>
      </c>
      <c r="U117" s="106" t="str">
        <f>IF(ISBLANK(Term2_Special_Day_3[[#This Row],[Activity]]),"",IF(_xlfn.XLOOKUP(Term2_Special_Day_3[[#This Row],[Activity]],Types_of_Activity[Type of Activity],Types_of_Activity[Classification])=2,Term2_Special_Day_3[[#This Row],[Elapsed]],0))</f>
        <v/>
      </c>
    </row>
    <row r="118" spans="2:21" x14ac:dyDescent="0.3">
      <c r="B118" s="136"/>
      <c r="C118" s="136"/>
      <c r="D118" s="103"/>
      <c r="E118" s="106" t="str">
        <f>IF(OR(ISBLANK(Term2_Special_Day_1[[#This Row],[Start]]),ISBLANK(Term2_Special_Day_1[[#This Row],[End]])),"",(Term2_Special_Day_1[[#This Row],[End]]-Term2_Special_Day_1[[#This Row],[Start]])*1440)</f>
        <v/>
      </c>
      <c r="F118" s="106" t="str">
        <f>IF(ISBLANK(Term2_Special_Day_1[[#This Row],[Activity]]),"",IF(_xlfn.XLOOKUP(Term2_Special_Day_1[[#This Row],[Activity]],Types_of_Activity[Type of Activity],Types_of_Activity[Classification])=1,Term2_Special_Day_1[[#This Row],[Elapsed]],0))</f>
        <v/>
      </c>
      <c r="G118" s="106" t="str">
        <f>IF(ISBLANK(Term2_Special_Day_1[[#This Row],[Activity]]),"",IF(_xlfn.XLOOKUP(Term2_Special_Day_1[[#This Row],[Activity]],Types_of_Activity[Type of Activity],Types_of_Activity[Classification])=2,Term2_Special_Day_1[[#This Row],[Elapsed]],0))</f>
        <v/>
      </c>
      <c r="H118"/>
      <c r="I118" s="136"/>
      <c r="J118" s="136"/>
      <c r="K118" s="103"/>
      <c r="L118" s="106" t="str">
        <f>IF(OR(ISBLANK(Term2_Special_Day_2[[#This Row],[Start]]),ISBLANK(Term2_Special_Day_2[[#This Row],[End]])),"",(Term2_Special_Day_2[[#This Row],[End]]-Term2_Special_Day_2[[#This Row],[Start]])*1440)</f>
        <v/>
      </c>
      <c r="M118" s="106" t="str">
        <f>IF(ISBLANK(Term2_Special_Day_2[[#This Row],[Activity]]),"",IF(_xlfn.XLOOKUP(Term2_Special_Day_2[[#This Row],[Activity]],Types_of_Activity[Type of Activity],Types_of_Activity[Classification])=1,Term2_Special_Day_2[[#This Row],[Elapsed]],0))</f>
        <v/>
      </c>
      <c r="N118" s="106" t="str">
        <f>IF(ISBLANK(Term2_Special_Day_2[[#This Row],[Activity]]),"",IF(_xlfn.XLOOKUP(Term2_Special_Day_2[[#This Row],[Activity]],Types_of_Activity[Type of Activity],Types_of_Activity[Classification])=2,Term2_Special_Day_2[[#This Row],[Elapsed]],0))</f>
        <v/>
      </c>
      <c r="O118"/>
      <c r="P118" s="136"/>
      <c r="Q118" s="136"/>
      <c r="R118" s="103"/>
      <c r="S118" s="106" t="str">
        <f>IF(OR(ISBLANK(Term2_Special_Day_3[[#This Row],[Start]]),ISBLANK(Term2_Special_Day_3[[#This Row],[End]])),"",(Term2_Special_Day_3[[#This Row],[End]]-Term2_Special_Day_3[[#This Row],[Start]])*1440)</f>
        <v/>
      </c>
      <c r="T118" s="106" t="str">
        <f>IF(ISBLANK(Term2_Special_Day_3[[#This Row],[Activity]]),"",IF(_xlfn.XLOOKUP(Term2_Special_Day_3[[#This Row],[Activity]],Types_of_Activity[Type of Activity],Types_of_Activity[Classification])=1,Term2_Special_Day_3[[#This Row],[Elapsed]],0))</f>
        <v/>
      </c>
      <c r="U118" s="106" t="str">
        <f>IF(ISBLANK(Term2_Special_Day_3[[#This Row],[Activity]]),"",IF(_xlfn.XLOOKUP(Term2_Special_Day_3[[#This Row],[Activity]],Types_of_Activity[Type of Activity],Types_of_Activity[Classification])=2,Term2_Special_Day_3[[#This Row],[Elapsed]],0))</f>
        <v/>
      </c>
    </row>
    <row r="119" spans="2:21" x14ac:dyDescent="0.3">
      <c r="B119" s="136"/>
      <c r="C119" s="136"/>
      <c r="D119" s="103"/>
      <c r="E119" s="106" t="str">
        <f>IF(OR(ISBLANK(Term2_Special_Day_1[[#This Row],[Start]]),ISBLANK(Term2_Special_Day_1[[#This Row],[End]])),"",(Term2_Special_Day_1[[#This Row],[End]]-Term2_Special_Day_1[[#This Row],[Start]])*1440)</f>
        <v/>
      </c>
      <c r="F119" s="106" t="str">
        <f>IF(ISBLANK(Term2_Special_Day_1[[#This Row],[Activity]]),"",IF(_xlfn.XLOOKUP(Term2_Special_Day_1[[#This Row],[Activity]],Types_of_Activity[Type of Activity],Types_of_Activity[Classification])=1,Term2_Special_Day_1[[#This Row],[Elapsed]],0))</f>
        <v/>
      </c>
      <c r="G119" s="106" t="str">
        <f>IF(ISBLANK(Term2_Special_Day_1[[#This Row],[Activity]]),"",IF(_xlfn.XLOOKUP(Term2_Special_Day_1[[#This Row],[Activity]],Types_of_Activity[Type of Activity],Types_of_Activity[Classification])=2,Term2_Special_Day_1[[#This Row],[Elapsed]],0))</f>
        <v/>
      </c>
      <c r="H119"/>
      <c r="I119" s="136"/>
      <c r="J119" s="136"/>
      <c r="K119" s="103"/>
      <c r="L119" s="106" t="str">
        <f>IF(OR(ISBLANK(Term2_Special_Day_2[[#This Row],[Start]]),ISBLANK(Term2_Special_Day_2[[#This Row],[End]])),"",(Term2_Special_Day_2[[#This Row],[End]]-Term2_Special_Day_2[[#This Row],[Start]])*1440)</f>
        <v/>
      </c>
      <c r="M119" s="106" t="str">
        <f>IF(ISBLANK(Term2_Special_Day_2[[#This Row],[Activity]]),"",IF(_xlfn.XLOOKUP(Term2_Special_Day_2[[#This Row],[Activity]],Types_of_Activity[Type of Activity],Types_of_Activity[Classification])=1,Term2_Special_Day_2[[#This Row],[Elapsed]],0))</f>
        <v/>
      </c>
      <c r="N119" s="106" t="str">
        <f>IF(ISBLANK(Term2_Special_Day_2[[#This Row],[Activity]]),"",IF(_xlfn.XLOOKUP(Term2_Special_Day_2[[#This Row],[Activity]],Types_of_Activity[Type of Activity],Types_of_Activity[Classification])=2,Term2_Special_Day_2[[#This Row],[Elapsed]],0))</f>
        <v/>
      </c>
      <c r="O119"/>
      <c r="P119" s="136"/>
      <c r="Q119" s="136"/>
      <c r="R119" s="103"/>
      <c r="S119" s="106" t="str">
        <f>IF(OR(ISBLANK(Term2_Special_Day_3[[#This Row],[Start]]),ISBLANK(Term2_Special_Day_3[[#This Row],[End]])),"",(Term2_Special_Day_3[[#This Row],[End]]-Term2_Special_Day_3[[#This Row],[Start]])*1440)</f>
        <v/>
      </c>
      <c r="T119" s="106" t="str">
        <f>IF(ISBLANK(Term2_Special_Day_3[[#This Row],[Activity]]),"",IF(_xlfn.XLOOKUP(Term2_Special_Day_3[[#This Row],[Activity]],Types_of_Activity[Type of Activity],Types_of_Activity[Classification])=1,Term2_Special_Day_3[[#This Row],[Elapsed]],0))</f>
        <v/>
      </c>
      <c r="U119" s="106" t="str">
        <f>IF(ISBLANK(Term2_Special_Day_3[[#This Row],[Activity]]),"",IF(_xlfn.XLOOKUP(Term2_Special_Day_3[[#This Row],[Activity]],Types_of_Activity[Type of Activity],Types_of_Activity[Classification])=2,Term2_Special_Day_3[[#This Row],[Elapsed]],0))</f>
        <v/>
      </c>
    </row>
    <row r="120" spans="2:21" x14ac:dyDescent="0.3">
      <c r="B120" s="136"/>
      <c r="C120" s="136"/>
      <c r="D120" s="103"/>
      <c r="E120" s="106" t="str">
        <f>IF(OR(ISBLANK(Term2_Special_Day_1[[#This Row],[Start]]),ISBLANK(Term2_Special_Day_1[[#This Row],[End]])),"",(Term2_Special_Day_1[[#This Row],[End]]-Term2_Special_Day_1[[#This Row],[Start]])*1440)</f>
        <v/>
      </c>
      <c r="F120" s="106" t="str">
        <f>IF(ISBLANK(Term2_Special_Day_1[[#This Row],[Activity]]),"",IF(_xlfn.XLOOKUP(Term2_Special_Day_1[[#This Row],[Activity]],Types_of_Activity[Type of Activity],Types_of_Activity[Classification])=1,Term2_Special_Day_1[[#This Row],[Elapsed]],0))</f>
        <v/>
      </c>
      <c r="G120" s="106" t="str">
        <f>IF(ISBLANK(Term2_Special_Day_1[[#This Row],[Activity]]),"",IF(_xlfn.XLOOKUP(Term2_Special_Day_1[[#This Row],[Activity]],Types_of_Activity[Type of Activity],Types_of_Activity[Classification])=2,Term2_Special_Day_1[[#This Row],[Elapsed]],0))</f>
        <v/>
      </c>
      <c r="H120"/>
      <c r="I120" s="136"/>
      <c r="J120" s="136"/>
      <c r="K120" s="103"/>
      <c r="L120" s="106" t="str">
        <f>IF(OR(ISBLANK(Term2_Special_Day_2[[#This Row],[Start]]),ISBLANK(Term2_Special_Day_2[[#This Row],[End]])),"",(Term2_Special_Day_2[[#This Row],[End]]-Term2_Special_Day_2[[#This Row],[Start]])*1440)</f>
        <v/>
      </c>
      <c r="M120" s="106" t="str">
        <f>IF(ISBLANK(Term2_Special_Day_2[[#This Row],[Activity]]),"",IF(_xlfn.XLOOKUP(Term2_Special_Day_2[[#This Row],[Activity]],Types_of_Activity[Type of Activity],Types_of_Activity[Classification])=1,Term2_Special_Day_2[[#This Row],[Elapsed]],0))</f>
        <v/>
      </c>
      <c r="N120" s="106" t="str">
        <f>IF(ISBLANK(Term2_Special_Day_2[[#This Row],[Activity]]),"",IF(_xlfn.XLOOKUP(Term2_Special_Day_2[[#This Row],[Activity]],Types_of_Activity[Type of Activity],Types_of_Activity[Classification])=2,Term2_Special_Day_2[[#This Row],[Elapsed]],0))</f>
        <v/>
      </c>
      <c r="O120"/>
      <c r="P120" s="136"/>
      <c r="Q120" s="136"/>
      <c r="R120" s="103"/>
      <c r="S120" s="106" t="str">
        <f>IF(OR(ISBLANK(Term2_Special_Day_3[[#This Row],[Start]]),ISBLANK(Term2_Special_Day_3[[#This Row],[End]])),"",(Term2_Special_Day_3[[#This Row],[End]]-Term2_Special_Day_3[[#This Row],[Start]])*1440)</f>
        <v/>
      </c>
      <c r="T120" s="106" t="str">
        <f>IF(ISBLANK(Term2_Special_Day_3[[#This Row],[Activity]]),"",IF(_xlfn.XLOOKUP(Term2_Special_Day_3[[#This Row],[Activity]],Types_of_Activity[Type of Activity],Types_of_Activity[Classification])=1,Term2_Special_Day_3[[#This Row],[Elapsed]],0))</f>
        <v/>
      </c>
      <c r="U120" s="106" t="str">
        <f>IF(ISBLANK(Term2_Special_Day_3[[#This Row],[Activity]]),"",IF(_xlfn.XLOOKUP(Term2_Special_Day_3[[#This Row],[Activity]],Types_of_Activity[Type of Activity],Types_of_Activity[Classification])=2,Term2_Special_Day_3[[#This Row],[Elapsed]],0))</f>
        <v/>
      </c>
    </row>
    <row r="121" spans="2:21" x14ac:dyDescent="0.3">
      <c r="B121" s="136"/>
      <c r="C121" s="136"/>
      <c r="D121" s="103"/>
      <c r="E121" s="106" t="str">
        <f>IF(OR(ISBLANK(Term2_Special_Day_1[[#This Row],[Start]]),ISBLANK(Term2_Special_Day_1[[#This Row],[End]])),"",(Term2_Special_Day_1[[#This Row],[End]]-Term2_Special_Day_1[[#This Row],[Start]])*1440)</f>
        <v/>
      </c>
      <c r="F121" s="106" t="str">
        <f>IF(ISBLANK(Term2_Special_Day_1[[#This Row],[Activity]]),"",IF(_xlfn.XLOOKUP(Term2_Special_Day_1[[#This Row],[Activity]],Types_of_Activity[Type of Activity],Types_of_Activity[Classification])=1,Term2_Special_Day_1[[#This Row],[Elapsed]],0))</f>
        <v/>
      </c>
      <c r="G121" s="106" t="str">
        <f>IF(ISBLANK(Term2_Special_Day_1[[#This Row],[Activity]]),"",IF(_xlfn.XLOOKUP(Term2_Special_Day_1[[#This Row],[Activity]],Types_of_Activity[Type of Activity],Types_of_Activity[Classification])=2,Term2_Special_Day_1[[#This Row],[Elapsed]],0))</f>
        <v/>
      </c>
      <c r="H121"/>
      <c r="I121" s="136"/>
      <c r="J121" s="136"/>
      <c r="K121" s="103"/>
      <c r="L121" s="106" t="str">
        <f>IF(OR(ISBLANK(Term2_Special_Day_2[[#This Row],[Start]]),ISBLANK(Term2_Special_Day_2[[#This Row],[End]])),"",(Term2_Special_Day_2[[#This Row],[End]]-Term2_Special_Day_2[[#This Row],[Start]])*1440)</f>
        <v/>
      </c>
      <c r="M121" s="106" t="str">
        <f>IF(ISBLANK(Term2_Special_Day_2[[#This Row],[Activity]]),"",IF(_xlfn.XLOOKUP(Term2_Special_Day_2[[#This Row],[Activity]],Types_of_Activity[Type of Activity],Types_of_Activity[Classification])=1,Term2_Special_Day_2[[#This Row],[Elapsed]],0))</f>
        <v/>
      </c>
      <c r="N121" s="106" t="str">
        <f>IF(ISBLANK(Term2_Special_Day_2[[#This Row],[Activity]]),"",IF(_xlfn.XLOOKUP(Term2_Special_Day_2[[#This Row],[Activity]],Types_of_Activity[Type of Activity],Types_of_Activity[Classification])=2,Term2_Special_Day_2[[#This Row],[Elapsed]],0))</f>
        <v/>
      </c>
      <c r="O121"/>
      <c r="P121" s="136"/>
      <c r="Q121" s="136"/>
      <c r="R121" s="103"/>
      <c r="S121" s="106" t="str">
        <f>IF(OR(ISBLANK(Term2_Special_Day_3[[#This Row],[Start]]),ISBLANK(Term2_Special_Day_3[[#This Row],[End]])),"",(Term2_Special_Day_3[[#This Row],[End]]-Term2_Special_Day_3[[#This Row],[Start]])*1440)</f>
        <v/>
      </c>
      <c r="T121" s="106" t="str">
        <f>IF(ISBLANK(Term2_Special_Day_3[[#This Row],[Activity]]),"",IF(_xlfn.XLOOKUP(Term2_Special_Day_3[[#This Row],[Activity]],Types_of_Activity[Type of Activity],Types_of_Activity[Classification])=1,Term2_Special_Day_3[[#This Row],[Elapsed]],0))</f>
        <v/>
      </c>
      <c r="U121" s="106" t="str">
        <f>IF(ISBLANK(Term2_Special_Day_3[[#This Row],[Activity]]),"",IF(_xlfn.XLOOKUP(Term2_Special_Day_3[[#This Row],[Activity]],Types_of_Activity[Type of Activity],Types_of_Activity[Classification])=2,Term2_Special_Day_3[[#This Row],[Elapsed]],0))</f>
        <v/>
      </c>
    </row>
    <row r="122" spans="2:21" x14ac:dyDescent="0.3">
      <c r="B122" s="136"/>
      <c r="C122" s="136"/>
      <c r="D122" s="103"/>
      <c r="E122" s="106" t="str">
        <f>IF(OR(ISBLANK(Term2_Special_Day_1[[#This Row],[Start]]),ISBLANK(Term2_Special_Day_1[[#This Row],[End]])),"",(Term2_Special_Day_1[[#This Row],[End]]-Term2_Special_Day_1[[#This Row],[Start]])*1440)</f>
        <v/>
      </c>
      <c r="F122" s="106" t="str">
        <f>IF(ISBLANK(Term2_Special_Day_1[[#This Row],[Activity]]),"",IF(_xlfn.XLOOKUP(Term2_Special_Day_1[[#This Row],[Activity]],Types_of_Activity[Type of Activity],Types_of_Activity[Classification])=1,Term2_Special_Day_1[[#This Row],[Elapsed]],0))</f>
        <v/>
      </c>
      <c r="G122" s="106" t="str">
        <f>IF(ISBLANK(Term2_Special_Day_1[[#This Row],[Activity]]),"",IF(_xlfn.XLOOKUP(Term2_Special_Day_1[[#This Row],[Activity]],Types_of_Activity[Type of Activity],Types_of_Activity[Classification])=2,Term2_Special_Day_1[[#This Row],[Elapsed]],0))</f>
        <v/>
      </c>
      <c r="H122"/>
      <c r="I122" s="136"/>
      <c r="J122" s="136"/>
      <c r="K122" s="103"/>
      <c r="L122" s="106" t="str">
        <f>IF(OR(ISBLANK(Term2_Special_Day_2[[#This Row],[Start]]),ISBLANK(Term2_Special_Day_2[[#This Row],[End]])),"",(Term2_Special_Day_2[[#This Row],[End]]-Term2_Special_Day_2[[#This Row],[Start]])*1440)</f>
        <v/>
      </c>
      <c r="M122" s="106" t="str">
        <f>IF(ISBLANK(Term2_Special_Day_2[[#This Row],[Activity]]),"",IF(_xlfn.XLOOKUP(Term2_Special_Day_2[[#This Row],[Activity]],Types_of_Activity[Type of Activity],Types_of_Activity[Classification])=1,Term2_Special_Day_2[[#This Row],[Elapsed]],0))</f>
        <v/>
      </c>
      <c r="N122" s="106" t="str">
        <f>IF(ISBLANK(Term2_Special_Day_2[[#This Row],[Activity]]),"",IF(_xlfn.XLOOKUP(Term2_Special_Day_2[[#This Row],[Activity]],Types_of_Activity[Type of Activity],Types_of_Activity[Classification])=2,Term2_Special_Day_2[[#This Row],[Elapsed]],0))</f>
        <v/>
      </c>
      <c r="O122"/>
      <c r="P122" s="136"/>
      <c r="Q122" s="136"/>
      <c r="R122" s="103"/>
      <c r="S122" s="106" t="str">
        <f>IF(OR(ISBLANK(Term2_Special_Day_3[[#This Row],[Start]]),ISBLANK(Term2_Special_Day_3[[#This Row],[End]])),"",(Term2_Special_Day_3[[#This Row],[End]]-Term2_Special_Day_3[[#This Row],[Start]])*1440)</f>
        <v/>
      </c>
      <c r="T122" s="106" t="str">
        <f>IF(ISBLANK(Term2_Special_Day_3[[#This Row],[Activity]]),"",IF(_xlfn.XLOOKUP(Term2_Special_Day_3[[#This Row],[Activity]],Types_of_Activity[Type of Activity],Types_of_Activity[Classification])=1,Term2_Special_Day_3[[#This Row],[Elapsed]],0))</f>
        <v/>
      </c>
      <c r="U122" s="106" t="str">
        <f>IF(ISBLANK(Term2_Special_Day_3[[#This Row],[Activity]]),"",IF(_xlfn.XLOOKUP(Term2_Special_Day_3[[#This Row],[Activity]],Types_of_Activity[Type of Activity],Types_of_Activity[Classification])=2,Term2_Special_Day_3[[#This Row],[Elapsed]],0))</f>
        <v/>
      </c>
    </row>
    <row r="123" spans="2:21" x14ac:dyDescent="0.3">
      <c r="B123" s="136"/>
      <c r="C123" s="136"/>
      <c r="D123" s="103"/>
      <c r="E123" s="106" t="str">
        <f>IF(OR(ISBLANK(Term2_Special_Day_1[[#This Row],[Start]]),ISBLANK(Term2_Special_Day_1[[#This Row],[End]])),"",(Term2_Special_Day_1[[#This Row],[End]]-Term2_Special_Day_1[[#This Row],[Start]])*1440)</f>
        <v/>
      </c>
      <c r="F123" s="106" t="str">
        <f>IF(ISBLANK(Term2_Special_Day_1[[#This Row],[Activity]]),"",IF(_xlfn.XLOOKUP(Term2_Special_Day_1[[#This Row],[Activity]],Types_of_Activity[Type of Activity],Types_of_Activity[Classification])=1,Term2_Special_Day_1[[#This Row],[Elapsed]],0))</f>
        <v/>
      </c>
      <c r="G123" s="106" t="str">
        <f>IF(ISBLANK(Term2_Special_Day_1[[#This Row],[Activity]]),"",IF(_xlfn.XLOOKUP(Term2_Special_Day_1[[#This Row],[Activity]],Types_of_Activity[Type of Activity],Types_of_Activity[Classification])=2,Term2_Special_Day_1[[#This Row],[Elapsed]],0))</f>
        <v/>
      </c>
      <c r="H123"/>
      <c r="I123" s="136"/>
      <c r="J123" s="136"/>
      <c r="K123" s="103"/>
      <c r="L123" s="106" t="str">
        <f>IF(OR(ISBLANK(Term2_Special_Day_2[[#This Row],[Start]]),ISBLANK(Term2_Special_Day_2[[#This Row],[End]])),"",(Term2_Special_Day_2[[#This Row],[End]]-Term2_Special_Day_2[[#This Row],[Start]])*1440)</f>
        <v/>
      </c>
      <c r="M123" s="106" t="str">
        <f>IF(ISBLANK(Term2_Special_Day_2[[#This Row],[Activity]]),"",IF(_xlfn.XLOOKUP(Term2_Special_Day_2[[#This Row],[Activity]],Types_of_Activity[Type of Activity],Types_of_Activity[Classification])=1,Term2_Special_Day_2[[#This Row],[Elapsed]],0))</f>
        <v/>
      </c>
      <c r="N123" s="106" t="str">
        <f>IF(ISBLANK(Term2_Special_Day_2[[#This Row],[Activity]]),"",IF(_xlfn.XLOOKUP(Term2_Special_Day_2[[#This Row],[Activity]],Types_of_Activity[Type of Activity],Types_of_Activity[Classification])=2,Term2_Special_Day_2[[#This Row],[Elapsed]],0))</f>
        <v/>
      </c>
      <c r="O123"/>
      <c r="P123" s="136"/>
      <c r="Q123" s="136"/>
      <c r="R123" s="103"/>
      <c r="S123" s="106" t="str">
        <f>IF(OR(ISBLANK(Term2_Special_Day_3[[#This Row],[Start]]),ISBLANK(Term2_Special_Day_3[[#This Row],[End]])),"",(Term2_Special_Day_3[[#This Row],[End]]-Term2_Special_Day_3[[#This Row],[Start]])*1440)</f>
        <v/>
      </c>
      <c r="T123" s="106" t="str">
        <f>IF(ISBLANK(Term2_Special_Day_3[[#This Row],[Activity]]),"",IF(_xlfn.XLOOKUP(Term2_Special_Day_3[[#This Row],[Activity]],Types_of_Activity[Type of Activity],Types_of_Activity[Classification])=1,Term2_Special_Day_3[[#This Row],[Elapsed]],0))</f>
        <v/>
      </c>
      <c r="U123" s="106" t="str">
        <f>IF(ISBLANK(Term2_Special_Day_3[[#This Row],[Activity]]),"",IF(_xlfn.XLOOKUP(Term2_Special_Day_3[[#This Row],[Activity]],Types_of_Activity[Type of Activity],Types_of_Activity[Classification])=2,Term2_Special_Day_3[[#This Row],[Elapsed]],0))</f>
        <v/>
      </c>
    </row>
    <row r="124" spans="2:21" x14ac:dyDescent="0.3">
      <c r="B124" s="136"/>
      <c r="C124" s="136"/>
      <c r="D124" s="103"/>
      <c r="E124" s="106" t="str">
        <f>IF(OR(ISBLANK(Term2_Special_Day_1[[#This Row],[Start]]),ISBLANK(Term2_Special_Day_1[[#This Row],[End]])),"",(Term2_Special_Day_1[[#This Row],[End]]-Term2_Special_Day_1[[#This Row],[Start]])*1440)</f>
        <v/>
      </c>
      <c r="F124" s="106" t="str">
        <f>IF(ISBLANK(Term2_Special_Day_1[[#This Row],[Activity]]),"",IF(_xlfn.XLOOKUP(Term2_Special_Day_1[[#This Row],[Activity]],Types_of_Activity[Type of Activity],Types_of_Activity[Classification])=1,Term2_Special_Day_1[[#This Row],[Elapsed]],0))</f>
        <v/>
      </c>
      <c r="G124" s="106" t="str">
        <f>IF(ISBLANK(Term2_Special_Day_1[[#This Row],[Activity]]),"",IF(_xlfn.XLOOKUP(Term2_Special_Day_1[[#This Row],[Activity]],Types_of_Activity[Type of Activity],Types_of_Activity[Classification])=2,Term2_Special_Day_1[[#This Row],[Elapsed]],0))</f>
        <v/>
      </c>
      <c r="H124"/>
      <c r="I124" s="136"/>
      <c r="J124" s="136"/>
      <c r="K124" s="103"/>
      <c r="L124" s="106" t="str">
        <f>IF(OR(ISBLANK(Term2_Special_Day_2[[#This Row],[Start]]),ISBLANK(Term2_Special_Day_2[[#This Row],[End]])),"",(Term2_Special_Day_2[[#This Row],[End]]-Term2_Special_Day_2[[#This Row],[Start]])*1440)</f>
        <v/>
      </c>
      <c r="M124" s="106" t="str">
        <f>IF(ISBLANK(Term2_Special_Day_2[[#This Row],[Activity]]),"",IF(_xlfn.XLOOKUP(Term2_Special_Day_2[[#This Row],[Activity]],Types_of_Activity[Type of Activity],Types_of_Activity[Classification])=1,Term2_Special_Day_2[[#This Row],[Elapsed]],0))</f>
        <v/>
      </c>
      <c r="N124" s="106" t="str">
        <f>IF(ISBLANK(Term2_Special_Day_2[[#This Row],[Activity]]),"",IF(_xlfn.XLOOKUP(Term2_Special_Day_2[[#This Row],[Activity]],Types_of_Activity[Type of Activity],Types_of_Activity[Classification])=2,Term2_Special_Day_2[[#This Row],[Elapsed]],0))</f>
        <v/>
      </c>
      <c r="O124"/>
      <c r="P124" s="136"/>
      <c r="Q124" s="136"/>
      <c r="R124" s="103"/>
      <c r="S124" s="106" t="str">
        <f>IF(OR(ISBLANK(Term2_Special_Day_3[[#This Row],[Start]]),ISBLANK(Term2_Special_Day_3[[#This Row],[End]])),"",(Term2_Special_Day_3[[#This Row],[End]]-Term2_Special_Day_3[[#This Row],[Start]])*1440)</f>
        <v/>
      </c>
      <c r="T124" s="106" t="str">
        <f>IF(ISBLANK(Term2_Special_Day_3[[#This Row],[Activity]]),"",IF(_xlfn.XLOOKUP(Term2_Special_Day_3[[#This Row],[Activity]],Types_of_Activity[Type of Activity],Types_of_Activity[Classification])=1,Term2_Special_Day_3[[#This Row],[Elapsed]],0))</f>
        <v/>
      </c>
      <c r="U124" s="106" t="str">
        <f>IF(ISBLANK(Term2_Special_Day_3[[#This Row],[Activity]]),"",IF(_xlfn.XLOOKUP(Term2_Special_Day_3[[#This Row],[Activity]],Types_of_Activity[Type of Activity],Types_of_Activity[Classification])=2,Term2_Special_Day_3[[#This Row],[Elapsed]],0))</f>
        <v/>
      </c>
    </row>
    <row r="125" spans="2:21" x14ac:dyDescent="0.3">
      <c r="B125" s="136"/>
      <c r="C125" s="136"/>
      <c r="D125" s="103"/>
      <c r="E125" s="106" t="str">
        <f>IF(OR(ISBLANK(Term2_Special_Day_1[[#This Row],[Start]]),ISBLANK(Term2_Special_Day_1[[#This Row],[End]])),"",(Term2_Special_Day_1[[#This Row],[End]]-Term2_Special_Day_1[[#This Row],[Start]])*1440)</f>
        <v/>
      </c>
      <c r="F125" s="106" t="str">
        <f>IF(ISBLANK(Term2_Special_Day_1[[#This Row],[Activity]]),"",IF(_xlfn.XLOOKUP(Term2_Special_Day_1[[#This Row],[Activity]],Types_of_Activity[Type of Activity],Types_of_Activity[Classification])=1,Term2_Special_Day_1[[#This Row],[Elapsed]],0))</f>
        <v/>
      </c>
      <c r="G125" s="106" t="str">
        <f>IF(ISBLANK(Term2_Special_Day_1[[#This Row],[Activity]]),"",IF(_xlfn.XLOOKUP(Term2_Special_Day_1[[#This Row],[Activity]],Types_of_Activity[Type of Activity],Types_of_Activity[Classification])=2,Term2_Special_Day_1[[#This Row],[Elapsed]],0))</f>
        <v/>
      </c>
      <c r="H125"/>
      <c r="I125" s="136"/>
      <c r="J125" s="136"/>
      <c r="K125" s="103"/>
      <c r="L125" s="106" t="str">
        <f>IF(OR(ISBLANK(Term2_Special_Day_2[[#This Row],[Start]]),ISBLANK(Term2_Special_Day_2[[#This Row],[End]])),"",(Term2_Special_Day_2[[#This Row],[End]]-Term2_Special_Day_2[[#This Row],[Start]])*1440)</f>
        <v/>
      </c>
      <c r="M125" s="106" t="str">
        <f>IF(ISBLANK(Term2_Special_Day_2[[#This Row],[Activity]]),"",IF(_xlfn.XLOOKUP(Term2_Special_Day_2[[#This Row],[Activity]],Types_of_Activity[Type of Activity],Types_of_Activity[Classification])=1,Term2_Special_Day_2[[#This Row],[Elapsed]],0))</f>
        <v/>
      </c>
      <c r="N125" s="106" t="str">
        <f>IF(ISBLANK(Term2_Special_Day_2[[#This Row],[Activity]]),"",IF(_xlfn.XLOOKUP(Term2_Special_Day_2[[#This Row],[Activity]],Types_of_Activity[Type of Activity],Types_of_Activity[Classification])=2,Term2_Special_Day_2[[#This Row],[Elapsed]],0))</f>
        <v/>
      </c>
      <c r="O125"/>
      <c r="P125" s="136"/>
      <c r="Q125" s="136"/>
      <c r="R125" s="103"/>
      <c r="S125" s="106" t="str">
        <f>IF(OR(ISBLANK(Term2_Special_Day_3[[#This Row],[Start]]),ISBLANK(Term2_Special_Day_3[[#This Row],[End]])),"",(Term2_Special_Day_3[[#This Row],[End]]-Term2_Special_Day_3[[#This Row],[Start]])*1440)</f>
        <v/>
      </c>
      <c r="T125" s="106" t="str">
        <f>IF(ISBLANK(Term2_Special_Day_3[[#This Row],[Activity]]),"",IF(_xlfn.XLOOKUP(Term2_Special_Day_3[[#This Row],[Activity]],Types_of_Activity[Type of Activity],Types_of_Activity[Classification])=1,Term2_Special_Day_3[[#This Row],[Elapsed]],0))</f>
        <v/>
      </c>
      <c r="U125" s="106" t="str">
        <f>IF(ISBLANK(Term2_Special_Day_3[[#This Row],[Activity]]),"",IF(_xlfn.XLOOKUP(Term2_Special_Day_3[[#This Row],[Activity]],Types_of_Activity[Type of Activity],Types_of_Activity[Classification])=2,Term2_Special_Day_3[[#This Row],[Elapsed]],0))</f>
        <v/>
      </c>
    </row>
    <row r="126" spans="2:21" x14ac:dyDescent="0.3">
      <c r="B126" s="136"/>
      <c r="C126" s="136"/>
      <c r="D126" s="103"/>
      <c r="E126" s="106" t="str">
        <f>IF(OR(ISBLANK(Term2_Special_Day_1[[#This Row],[Start]]),ISBLANK(Term2_Special_Day_1[[#This Row],[End]])),"",(Term2_Special_Day_1[[#This Row],[End]]-Term2_Special_Day_1[[#This Row],[Start]])*1440)</f>
        <v/>
      </c>
      <c r="F126" s="106" t="str">
        <f>IF(ISBLANK(Term2_Special_Day_1[[#This Row],[Activity]]),"",IF(_xlfn.XLOOKUP(Term2_Special_Day_1[[#This Row],[Activity]],Types_of_Activity[Type of Activity],Types_of_Activity[Classification])=1,Term2_Special_Day_1[[#This Row],[Elapsed]],0))</f>
        <v/>
      </c>
      <c r="G126" s="106" t="str">
        <f>IF(ISBLANK(Term2_Special_Day_1[[#This Row],[Activity]]),"",IF(_xlfn.XLOOKUP(Term2_Special_Day_1[[#This Row],[Activity]],Types_of_Activity[Type of Activity],Types_of_Activity[Classification])=2,Term2_Special_Day_1[[#This Row],[Elapsed]],0))</f>
        <v/>
      </c>
      <c r="H126"/>
      <c r="I126" s="136"/>
      <c r="J126" s="136"/>
      <c r="K126" s="103"/>
      <c r="L126" s="106" t="str">
        <f>IF(OR(ISBLANK(Term2_Special_Day_2[[#This Row],[Start]]),ISBLANK(Term2_Special_Day_2[[#This Row],[End]])),"",(Term2_Special_Day_2[[#This Row],[End]]-Term2_Special_Day_2[[#This Row],[Start]])*1440)</f>
        <v/>
      </c>
      <c r="M126" s="106" t="str">
        <f>IF(ISBLANK(Term2_Special_Day_2[[#This Row],[Activity]]),"",IF(_xlfn.XLOOKUP(Term2_Special_Day_2[[#This Row],[Activity]],Types_of_Activity[Type of Activity],Types_of_Activity[Classification])=1,Term2_Special_Day_2[[#This Row],[Elapsed]],0))</f>
        <v/>
      </c>
      <c r="N126" s="106" t="str">
        <f>IF(ISBLANK(Term2_Special_Day_2[[#This Row],[Activity]]),"",IF(_xlfn.XLOOKUP(Term2_Special_Day_2[[#This Row],[Activity]],Types_of_Activity[Type of Activity],Types_of_Activity[Classification])=2,Term2_Special_Day_2[[#This Row],[Elapsed]],0))</f>
        <v/>
      </c>
      <c r="O126"/>
      <c r="P126" s="136"/>
      <c r="Q126" s="136"/>
      <c r="R126" s="103"/>
      <c r="S126" s="106" t="str">
        <f>IF(OR(ISBLANK(Term2_Special_Day_3[[#This Row],[Start]]),ISBLANK(Term2_Special_Day_3[[#This Row],[End]])),"",(Term2_Special_Day_3[[#This Row],[End]]-Term2_Special_Day_3[[#This Row],[Start]])*1440)</f>
        <v/>
      </c>
      <c r="T126" s="106" t="str">
        <f>IF(ISBLANK(Term2_Special_Day_3[[#This Row],[Activity]]),"",IF(_xlfn.XLOOKUP(Term2_Special_Day_3[[#This Row],[Activity]],Types_of_Activity[Type of Activity],Types_of_Activity[Classification])=1,Term2_Special_Day_3[[#This Row],[Elapsed]],0))</f>
        <v/>
      </c>
      <c r="U126" s="106" t="str">
        <f>IF(ISBLANK(Term2_Special_Day_3[[#This Row],[Activity]]),"",IF(_xlfn.XLOOKUP(Term2_Special_Day_3[[#This Row],[Activity]],Types_of_Activity[Type of Activity],Types_of_Activity[Classification])=2,Term2_Special_Day_3[[#This Row],[Elapsed]],0))</f>
        <v/>
      </c>
    </row>
    <row r="127" spans="2:21" x14ac:dyDescent="0.3">
      <c r="B127" s="136"/>
      <c r="C127" s="136"/>
      <c r="D127" s="103"/>
      <c r="E127" s="106" t="str">
        <f>IF(OR(ISBLANK(Term2_Special_Day_1[[#This Row],[Start]]),ISBLANK(Term2_Special_Day_1[[#This Row],[End]])),"",(Term2_Special_Day_1[[#This Row],[End]]-Term2_Special_Day_1[[#This Row],[Start]])*1440)</f>
        <v/>
      </c>
      <c r="F127" s="106" t="str">
        <f>IF(ISBLANK(Term2_Special_Day_1[[#This Row],[Activity]]),"",IF(_xlfn.XLOOKUP(Term2_Special_Day_1[[#This Row],[Activity]],Types_of_Activity[Type of Activity],Types_of_Activity[Classification])=1,Term2_Special_Day_1[[#This Row],[Elapsed]],0))</f>
        <v/>
      </c>
      <c r="G127" s="106" t="str">
        <f>IF(ISBLANK(Term2_Special_Day_1[[#This Row],[Activity]]),"",IF(_xlfn.XLOOKUP(Term2_Special_Day_1[[#This Row],[Activity]],Types_of_Activity[Type of Activity],Types_of_Activity[Classification])=2,Term2_Special_Day_1[[#This Row],[Elapsed]],0))</f>
        <v/>
      </c>
      <c r="H127"/>
      <c r="I127" s="136"/>
      <c r="J127" s="136"/>
      <c r="K127" s="103"/>
      <c r="L127" s="106" t="str">
        <f>IF(OR(ISBLANK(Term2_Special_Day_2[[#This Row],[Start]]),ISBLANK(Term2_Special_Day_2[[#This Row],[End]])),"",(Term2_Special_Day_2[[#This Row],[End]]-Term2_Special_Day_2[[#This Row],[Start]])*1440)</f>
        <v/>
      </c>
      <c r="M127" s="106" t="str">
        <f>IF(ISBLANK(Term2_Special_Day_2[[#This Row],[Activity]]),"",IF(_xlfn.XLOOKUP(Term2_Special_Day_2[[#This Row],[Activity]],Types_of_Activity[Type of Activity],Types_of_Activity[Classification])=1,Term2_Special_Day_2[[#This Row],[Elapsed]],0))</f>
        <v/>
      </c>
      <c r="N127" s="106" t="str">
        <f>IF(ISBLANK(Term2_Special_Day_2[[#This Row],[Activity]]),"",IF(_xlfn.XLOOKUP(Term2_Special_Day_2[[#This Row],[Activity]],Types_of_Activity[Type of Activity],Types_of_Activity[Classification])=2,Term2_Special_Day_2[[#This Row],[Elapsed]],0))</f>
        <v/>
      </c>
      <c r="O127"/>
      <c r="P127" s="136"/>
      <c r="Q127" s="136"/>
      <c r="R127" s="103"/>
      <c r="S127" s="106" t="str">
        <f>IF(OR(ISBLANK(Term2_Special_Day_3[[#This Row],[Start]]),ISBLANK(Term2_Special_Day_3[[#This Row],[End]])),"",(Term2_Special_Day_3[[#This Row],[End]]-Term2_Special_Day_3[[#This Row],[Start]])*1440)</f>
        <v/>
      </c>
      <c r="T127" s="106" t="str">
        <f>IF(ISBLANK(Term2_Special_Day_3[[#This Row],[Activity]]),"",IF(_xlfn.XLOOKUP(Term2_Special_Day_3[[#This Row],[Activity]],Types_of_Activity[Type of Activity],Types_of_Activity[Classification])=1,Term2_Special_Day_3[[#This Row],[Elapsed]],0))</f>
        <v/>
      </c>
      <c r="U127" s="106" t="str">
        <f>IF(ISBLANK(Term2_Special_Day_3[[#This Row],[Activity]]),"",IF(_xlfn.XLOOKUP(Term2_Special_Day_3[[#This Row],[Activity]],Types_of_Activity[Type of Activity],Types_of_Activity[Classification])=2,Term2_Special_Day_3[[#This Row],[Elapsed]],0))</f>
        <v/>
      </c>
    </row>
    <row r="128" spans="2:21" x14ac:dyDescent="0.3">
      <c r="B128" s="136"/>
      <c r="C128" s="136"/>
      <c r="D128" s="103"/>
      <c r="E128" s="106" t="str">
        <f>IF(OR(ISBLANK(Term2_Special_Day_1[[#This Row],[Start]]),ISBLANK(Term2_Special_Day_1[[#This Row],[End]])),"",(Term2_Special_Day_1[[#This Row],[End]]-Term2_Special_Day_1[[#This Row],[Start]])*1440)</f>
        <v/>
      </c>
      <c r="F128" s="106" t="str">
        <f>IF(ISBLANK(Term2_Special_Day_1[[#This Row],[Activity]]),"",IF(_xlfn.XLOOKUP(Term2_Special_Day_1[[#This Row],[Activity]],Types_of_Activity[Type of Activity],Types_of_Activity[Classification])=1,Term2_Special_Day_1[[#This Row],[Elapsed]],0))</f>
        <v/>
      </c>
      <c r="G128" s="106" t="str">
        <f>IF(ISBLANK(Term2_Special_Day_1[[#This Row],[Activity]]),"",IF(_xlfn.XLOOKUP(Term2_Special_Day_1[[#This Row],[Activity]],Types_of_Activity[Type of Activity],Types_of_Activity[Classification])=2,Term2_Special_Day_1[[#This Row],[Elapsed]],0))</f>
        <v/>
      </c>
      <c r="H128"/>
      <c r="I128" s="136"/>
      <c r="J128" s="136"/>
      <c r="K128" s="103"/>
      <c r="L128" s="106" t="str">
        <f>IF(OR(ISBLANK(Term2_Special_Day_2[[#This Row],[Start]]),ISBLANK(Term2_Special_Day_2[[#This Row],[End]])),"",(Term2_Special_Day_2[[#This Row],[End]]-Term2_Special_Day_2[[#This Row],[Start]])*1440)</f>
        <v/>
      </c>
      <c r="M128" s="106" t="str">
        <f>IF(ISBLANK(Term2_Special_Day_2[[#This Row],[Activity]]),"",IF(_xlfn.XLOOKUP(Term2_Special_Day_2[[#This Row],[Activity]],Types_of_Activity[Type of Activity],Types_of_Activity[Classification])=1,Term2_Special_Day_2[[#This Row],[Elapsed]],0))</f>
        <v/>
      </c>
      <c r="N128" s="106" t="str">
        <f>IF(ISBLANK(Term2_Special_Day_2[[#This Row],[Activity]]),"",IF(_xlfn.XLOOKUP(Term2_Special_Day_2[[#This Row],[Activity]],Types_of_Activity[Type of Activity],Types_of_Activity[Classification])=2,Term2_Special_Day_2[[#This Row],[Elapsed]],0))</f>
        <v/>
      </c>
      <c r="O128"/>
      <c r="P128" s="136"/>
      <c r="Q128" s="136"/>
      <c r="R128" s="103"/>
      <c r="S128" s="106" t="str">
        <f>IF(OR(ISBLANK(Term2_Special_Day_3[[#This Row],[Start]]),ISBLANK(Term2_Special_Day_3[[#This Row],[End]])),"",(Term2_Special_Day_3[[#This Row],[End]]-Term2_Special_Day_3[[#This Row],[Start]])*1440)</f>
        <v/>
      </c>
      <c r="T128" s="106" t="str">
        <f>IF(ISBLANK(Term2_Special_Day_3[[#This Row],[Activity]]),"",IF(_xlfn.XLOOKUP(Term2_Special_Day_3[[#This Row],[Activity]],Types_of_Activity[Type of Activity],Types_of_Activity[Classification])=1,Term2_Special_Day_3[[#This Row],[Elapsed]],0))</f>
        <v/>
      </c>
      <c r="U128" s="106" t="str">
        <f>IF(ISBLANK(Term2_Special_Day_3[[#This Row],[Activity]]),"",IF(_xlfn.XLOOKUP(Term2_Special_Day_3[[#This Row],[Activity]],Types_of_Activity[Type of Activity],Types_of_Activity[Classification])=2,Term2_Special_Day_3[[#This Row],[Elapsed]],0))</f>
        <v/>
      </c>
    </row>
    <row r="129" spans="2:21" x14ac:dyDescent="0.3">
      <c r="B129" s="136"/>
      <c r="C129" s="136"/>
      <c r="D129" s="103"/>
      <c r="E129" s="106" t="str">
        <f>IF(OR(ISBLANK(Term2_Special_Day_1[[#This Row],[Start]]),ISBLANK(Term2_Special_Day_1[[#This Row],[End]])),"",(Term2_Special_Day_1[[#This Row],[End]]-Term2_Special_Day_1[[#This Row],[Start]])*1440)</f>
        <v/>
      </c>
      <c r="F129" s="106" t="str">
        <f>IF(ISBLANK(Term2_Special_Day_1[[#This Row],[Activity]]),"",IF(_xlfn.XLOOKUP(Term2_Special_Day_1[[#This Row],[Activity]],Types_of_Activity[Type of Activity],Types_of_Activity[Classification])=1,Term2_Special_Day_1[[#This Row],[Elapsed]],0))</f>
        <v/>
      </c>
      <c r="G129" s="106" t="str">
        <f>IF(ISBLANK(Term2_Special_Day_1[[#This Row],[Activity]]),"",IF(_xlfn.XLOOKUP(Term2_Special_Day_1[[#This Row],[Activity]],Types_of_Activity[Type of Activity],Types_of_Activity[Classification])=2,Term2_Special_Day_1[[#This Row],[Elapsed]],0))</f>
        <v/>
      </c>
      <c r="H129"/>
      <c r="I129" s="136"/>
      <c r="J129" s="136"/>
      <c r="K129" s="103"/>
      <c r="L129" s="106" t="str">
        <f>IF(OR(ISBLANK(Term2_Special_Day_2[[#This Row],[Start]]),ISBLANK(Term2_Special_Day_2[[#This Row],[End]])),"",(Term2_Special_Day_2[[#This Row],[End]]-Term2_Special_Day_2[[#This Row],[Start]])*1440)</f>
        <v/>
      </c>
      <c r="M129" s="106" t="str">
        <f>IF(ISBLANK(Term2_Special_Day_2[[#This Row],[Activity]]),"",IF(_xlfn.XLOOKUP(Term2_Special_Day_2[[#This Row],[Activity]],Types_of_Activity[Type of Activity],Types_of_Activity[Classification])=1,Term2_Special_Day_2[[#This Row],[Elapsed]],0))</f>
        <v/>
      </c>
      <c r="N129" s="106" t="str">
        <f>IF(ISBLANK(Term2_Special_Day_2[[#This Row],[Activity]]),"",IF(_xlfn.XLOOKUP(Term2_Special_Day_2[[#This Row],[Activity]],Types_of_Activity[Type of Activity],Types_of_Activity[Classification])=2,Term2_Special_Day_2[[#This Row],[Elapsed]],0))</f>
        <v/>
      </c>
      <c r="O129"/>
      <c r="P129" s="136"/>
      <c r="Q129" s="136"/>
      <c r="R129" s="103"/>
      <c r="S129" s="106" t="str">
        <f>IF(OR(ISBLANK(Term2_Special_Day_3[[#This Row],[Start]]),ISBLANK(Term2_Special_Day_3[[#This Row],[End]])),"",(Term2_Special_Day_3[[#This Row],[End]]-Term2_Special_Day_3[[#This Row],[Start]])*1440)</f>
        <v/>
      </c>
      <c r="T129" s="106" t="str">
        <f>IF(ISBLANK(Term2_Special_Day_3[[#This Row],[Activity]]),"",IF(_xlfn.XLOOKUP(Term2_Special_Day_3[[#This Row],[Activity]],Types_of_Activity[Type of Activity],Types_of_Activity[Classification])=1,Term2_Special_Day_3[[#This Row],[Elapsed]],0))</f>
        <v/>
      </c>
      <c r="U129" s="106" t="str">
        <f>IF(ISBLANK(Term2_Special_Day_3[[#This Row],[Activity]]),"",IF(_xlfn.XLOOKUP(Term2_Special_Day_3[[#This Row],[Activity]],Types_of_Activity[Type of Activity],Types_of_Activity[Classification])=2,Term2_Special_Day_3[[#This Row],[Elapsed]],0))</f>
        <v/>
      </c>
    </row>
    <row r="130" spans="2:21" x14ac:dyDescent="0.3">
      <c r="B130" s="136"/>
      <c r="C130" s="136"/>
      <c r="D130" s="103"/>
      <c r="E130" s="106" t="str">
        <f>IF(OR(ISBLANK(Term2_Special_Day_1[[#This Row],[Start]]),ISBLANK(Term2_Special_Day_1[[#This Row],[End]])),"",(Term2_Special_Day_1[[#This Row],[End]]-Term2_Special_Day_1[[#This Row],[Start]])*1440)</f>
        <v/>
      </c>
      <c r="F130" s="106" t="str">
        <f>IF(ISBLANK(Term2_Special_Day_1[[#This Row],[Activity]]),"",IF(_xlfn.XLOOKUP(Term2_Special_Day_1[[#This Row],[Activity]],Types_of_Activity[Type of Activity],Types_of_Activity[Classification])=1,Term2_Special_Day_1[[#This Row],[Elapsed]],0))</f>
        <v/>
      </c>
      <c r="G130" s="106" t="str">
        <f>IF(ISBLANK(Term2_Special_Day_1[[#This Row],[Activity]]),"",IF(_xlfn.XLOOKUP(Term2_Special_Day_1[[#This Row],[Activity]],Types_of_Activity[Type of Activity],Types_of_Activity[Classification])=2,Term2_Special_Day_1[[#This Row],[Elapsed]],0))</f>
        <v/>
      </c>
      <c r="H130"/>
      <c r="I130" s="136"/>
      <c r="J130" s="136"/>
      <c r="K130" s="103"/>
      <c r="L130" s="106" t="str">
        <f>IF(OR(ISBLANK(Term2_Special_Day_2[[#This Row],[Start]]),ISBLANK(Term2_Special_Day_2[[#This Row],[End]])),"",(Term2_Special_Day_2[[#This Row],[End]]-Term2_Special_Day_2[[#This Row],[Start]])*1440)</f>
        <v/>
      </c>
      <c r="M130" s="106" t="str">
        <f>IF(ISBLANK(Term2_Special_Day_2[[#This Row],[Activity]]),"",IF(_xlfn.XLOOKUP(Term2_Special_Day_2[[#This Row],[Activity]],Types_of_Activity[Type of Activity],Types_of_Activity[Classification])=1,Term2_Special_Day_2[[#This Row],[Elapsed]],0))</f>
        <v/>
      </c>
      <c r="N130" s="106" t="str">
        <f>IF(ISBLANK(Term2_Special_Day_2[[#This Row],[Activity]]),"",IF(_xlfn.XLOOKUP(Term2_Special_Day_2[[#This Row],[Activity]],Types_of_Activity[Type of Activity],Types_of_Activity[Classification])=2,Term2_Special_Day_2[[#This Row],[Elapsed]],0))</f>
        <v/>
      </c>
      <c r="O130"/>
      <c r="P130" s="136"/>
      <c r="Q130" s="136"/>
      <c r="R130" s="103"/>
      <c r="S130" s="106" t="str">
        <f>IF(OR(ISBLANK(Term2_Special_Day_3[[#This Row],[Start]]),ISBLANK(Term2_Special_Day_3[[#This Row],[End]])),"",(Term2_Special_Day_3[[#This Row],[End]]-Term2_Special_Day_3[[#This Row],[Start]])*1440)</f>
        <v/>
      </c>
      <c r="T130" s="106" t="str">
        <f>IF(ISBLANK(Term2_Special_Day_3[[#This Row],[Activity]]),"",IF(_xlfn.XLOOKUP(Term2_Special_Day_3[[#This Row],[Activity]],Types_of_Activity[Type of Activity],Types_of_Activity[Classification])=1,Term2_Special_Day_3[[#This Row],[Elapsed]],0))</f>
        <v/>
      </c>
      <c r="U130" s="106" t="str">
        <f>IF(ISBLANK(Term2_Special_Day_3[[#This Row],[Activity]]),"",IF(_xlfn.XLOOKUP(Term2_Special_Day_3[[#This Row],[Activity]],Types_of_Activity[Type of Activity],Types_of_Activity[Classification])=2,Term2_Special_Day_3[[#This Row],[Elapsed]],0))</f>
        <v/>
      </c>
    </row>
    <row r="131" spans="2:21" x14ac:dyDescent="0.3">
      <c r="B131" s="136"/>
      <c r="C131" s="136"/>
      <c r="D131" s="103"/>
      <c r="E131" s="106" t="str">
        <f>IF(OR(ISBLANK(Term2_Special_Day_1[[#This Row],[Start]]),ISBLANK(Term2_Special_Day_1[[#This Row],[End]])),"",(Term2_Special_Day_1[[#This Row],[End]]-Term2_Special_Day_1[[#This Row],[Start]])*1440)</f>
        <v/>
      </c>
      <c r="F131" s="106" t="str">
        <f>IF(ISBLANK(Term2_Special_Day_1[[#This Row],[Activity]]),"",IF(_xlfn.XLOOKUP(Term2_Special_Day_1[[#This Row],[Activity]],Types_of_Activity[Type of Activity],Types_of_Activity[Classification])=1,Term2_Special_Day_1[[#This Row],[Elapsed]],0))</f>
        <v/>
      </c>
      <c r="G131" s="106" t="str">
        <f>IF(ISBLANK(Term2_Special_Day_1[[#This Row],[Activity]]),"",IF(_xlfn.XLOOKUP(Term2_Special_Day_1[[#This Row],[Activity]],Types_of_Activity[Type of Activity],Types_of_Activity[Classification])=2,Term2_Special_Day_1[[#This Row],[Elapsed]],0))</f>
        <v/>
      </c>
      <c r="H131"/>
      <c r="I131" s="136"/>
      <c r="J131" s="136"/>
      <c r="K131" s="103"/>
      <c r="L131" s="106" t="str">
        <f>IF(OR(ISBLANK(Term2_Special_Day_2[[#This Row],[Start]]),ISBLANK(Term2_Special_Day_2[[#This Row],[End]])),"",(Term2_Special_Day_2[[#This Row],[End]]-Term2_Special_Day_2[[#This Row],[Start]])*1440)</f>
        <v/>
      </c>
      <c r="M131" s="106" t="str">
        <f>IF(ISBLANK(Term2_Special_Day_2[[#This Row],[Activity]]),"",IF(_xlfn.XLOOKUP(Term2_Special_Day_2[[#This Row],[Activity]],Types_of_Activity[Type of Activity],Types_of_Activity[Classification])=1,Term2_Special_Day_2[[#This Row],[Elapsed]],0))</f>
        <v/>
      </c>
      <c r="N131" s="106" t="str">
        <f>IF(ISBLANK(Term2_Special_Day_2[[#This Row],[Activity]]),"",IF(_xlfn.XLOOKUP(Term2_Special_Day_2[[#This Row],[Activity]],Types_of_Activity[Type of Activity],Types_of_Activity[Classification])=2,Term2_Special_Day_2[[#This Row],[Elapsed]],0))</f>
        <v/>
      </c>
      <c r="O131"/>
      <c r="P131" s="136"/>
      <c r="Q131" s="136"/>
      <c r="R131" s="103"/>
      <c r="S131" s="106" t="str">
        <f>IF(OR(ISBLANK(Term2_Special_Day_3[[#This Row],[Start]]),ISBLANK(Term2_Special_Day_3[[#This Row],[End]])),"",(Term2_Special_Day_3[[#This Row],[End]]-Term2_Special_Day_3[[#This Row],[Start]])*1440)</f>
        <v/>
      </c>
      <c r="T131" s="106" t="str">
        <f>IF(ISBLANK(Term2_Special_Day_3[[#This Row],[Activity]]),"",IF(_xlfn.XLOOKUP(Term2_Special_Day_3[[#This Row],[Activity]],Types_of_Activity[Type of Activity],Types_of_Activity[Classification])=1,Term2_Special_Day_3[[#This Row],[Elapsed]],0))</f>
        <v/>
      </c>
      <c r="U131" s="106" t="str">
        <f>IF(ISBLANK(Term2_Special_Day_3[[#This Row],[Activity]]),"",IF(_xlfn.XLOOKUP(Term2_Special_Day_3[[#This Row],[Activity]],Types_of_Activity[Type of Activity],Types_of_Activity[Classification])=2,Term2_Special_Day_3[[#This Row],[Elapsed]],0))</f>
        <v/>
      </c>
    </row>
  </sheetData>
  <sheetProtection algorithmName="SHA-512" hashValue="jgGLZ9vc6GwQaRssTysvGhu2D5MW7dZV9g/tKVX+GLjjRDrY2oN3kS5ahuyrUSRQbhs8PXQqMUMKkvynG95xEg==" saltValue="Xi2nkHa96dowgQlnfmMI2Q==" spinCount="100000" sheet="1" selectLockedCells="1"/>
  <mergeCells count="1">
    <mergeCell ref="B14:N14"/>
  </mergeCells>
  <conditionalFormatting sqref="B14:N14">
    <cfRule type="expression" dxfId="5" priority="1">
      <formula>Num_Terms=1</formula>
    </cfRule>
  </conditionalFormatting>
  <dataValidations count="1">
    <dataValidation type="time" allowBlank="1" showInputMessage="1" showErrorMessage="1" sqref="B57:C69 AY18:AZ31 B18:C50 W18:X31 AD18:AE31 BF18:BG31 I18:J31 P18:Q31 AK18:AL31 AR18:AS31 BM18:BN31 W57:X69 AD57:AE69 AK57:AL69" xr:uid="{07D47637-A8C7-435A-A046-86ABD396F379}">
      <formula1>0.208333333333333</formula1>
      <formula2>0.999305555555556</formula2>
    </dataValidation>
  </dataValidations>
  <pageMargins left="0.7" right="0.7" top="0.75" bottom="0.75" header="0.3" footer="0.3"/>
  <pageSetup orientation="portrait" r:id="rId1"/>
  <drawing r:id="rId2"/>
  <tableParts count="19">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s>
  <extLst>
    <ext xmlns:x14="http://schemas.microsoft.com/office/spreadsheetml/2009/9/main" uri="{CCE6A557-97BC-4b89-ADB6-D9C93CAAB3DF}">
      <x14:dataValidations xmlns:xm="http://schemas.microsoft.com/office/excel/2006/main" count="1">
        <x14:dataValidation type="list" allowBlank="1" showInputMessage="1" showErrorMessage="1" xr:uid="{ECBB515C-3A8C-4E45-B60E-714460C78715}">
          <x14:formula1>
            <xm:f>_xlfn.ANCHORARRAY(Parameters!$F$25)</xm:f>
          </x14:formula1>
          <xm:sqref>BA18:BA50 R57:R89 D57:D89 Y18:Y50 AF18:AF50 BH18:BH50 D18:D50 K99:K131 R99:R131 K57:K89 R18:R50 K18:K50 D99:D131 AM18:AM50 AT18:AT50 BO18:BO50 Y57:Y89 AF57:AF89 AM57:AM89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92D6F-C9B1-435C-9F54-9EF5406AEEED}">
  <dimension ref="B14:BS131"/>
  <sheetViews>
    <sheetView showGridLines="0" showRowColHeaders="0" workbookViewId="0">
      <selection activeCell="C9" sqref="C9"/>
    </sheetView>
  </sheetViews>
  <sheetFormatPr defaultColWidth="9" defaultRowHeight="16.5" x14ac:dyDescent="0.3"/>
  <cols>
    <col min="1" max="1" width="9" style="104"/>
    <col min="2" max="3" width="12.75" style="104" customWidth="1"/>
    <col min="4" max="4" width="19.625" style="104" customWidth="1"/>
    <col min="5" max="5" width="12.625" style="104" customWidth="1"/>
    <col min="6" max="7" width="19.75" style="104" customWidth="1"/>
    <col min="8" max="8" width="9" style="104"/>
    <col min="9" max="10" width="12.75" style="104" customWidth="1"/>
    <col min="11" max="11" width="19.625" style="104" customWidth="1"/>
    <col min="12" max="12" width="12.625" style="104" customWidth="1"/>
    <col min="13" max="14" width="19.75" style="104" customWidth="1"/>
    <col min="15" max="15" width="9" style="104"/>
    <col min="16" max="17" width="12.75" style="104" customWidth="1"/>
    <col min="18" max="18" width="19.625" style="104" customWidth="1"/>
    <col min="19" max="19" width="12.625" style="104" customWidth="1"/>
    <col min="20" max="21" width="19.75" style="104" customWidth="1"/>
    <col min="22" max="22" width="10.375" style="104" customWidth="1"/>
    <col min="23" max="24" width="12.75" style="104" customWidth="1"/>
    <col min="25" max="25" width="19.625" style="104" customWidth="1"/>
    <col min="26" max="26" width="12.625" style="104" customWidth="1"/>
    <col min="27" max="28" width="19.75" style="104" customWidth="1"/>
    <col min="29" max="29" width="9" style="104"/>
    <col min="30" max="31" width="12.75" style="104" customWidth="1"/>
    <col min="32" max="32" width="19.625" style="104" customWidth="1"/>
    <col min="33" max="33" width="12.625" style="104" customWidth="1"/>
    <col min="34" max="35" width="19.75" style="104" customWidth="1"/>
    <col min="36" max="36" width="9" style="104" customWidth="1"/>
    <col min="37" max="38" width="12.75" style="104" customWidth="1"/>
    <col min="39" max="39" width="19.625" style="104" customWidth="1"/>
    <col min="40" max="40" width="12.625" style="104" customWidth="1"/>
    <col min="41" max="42" width="19.75" style="104" customWidth="1"/>
    <col min="43" max="43" width="9" style="104" customWidth="1"/>
    <col min="44" max="45" width="12.75" style="104" customWidth="1"/>
    <col min="46" max="46" width="19.75" style="104" customWidth="1"/>
    <col min="47" max="47" width="12.75" style="104" customWidth="1"/>
    <col min="48" max="49" width="19.75" style="104" customWidth="1"/>
    <col min="50" max="50" width="9" style="104" customWidth="1"/>
    <col min="51" max="52" width="12.75" style="104" customWidth="1"/>
    <col min="53" max="53" width="19.75" style="104" customWidth="1"/>
    <col min="54" max="54" width="12.75" style="104" customWidth="1"/>
    <col min="55" max="56" width="19.75" style="104" customWidth="1"/>
    <col min="57" max="57" width="9" style="104" customWidth="1"/>
    <col min="58" max="59" width="12.75" style="104" customWidth="1"/>
    <col min="60" max="60" width="19.75" style="104" customWidth="1"/>
    <col min="61" max="61" width="12.75" style="104" customWidth="1"/>
    <col min="62" max="63" width="19.75" style="104" customWidth="1"/>
    <col min="64" max="64" width="9" style="104" customWidth="1"/>
    <col min="65" max="66" width="12.75" style="104" customWidth="1"/>
    <col min="67" max="67" width="19.625" style="104" customWidth="1"/>
    <col min="68" max="68" width="12.625" style="104" customWidth="1"/>
    <col min="69" max="70" width="19.75" style="104" customWidth="1"/>
    <col min="71" max="71" width="9" style="104" customWidth="1"/>
    <col min="72" max="74" width="12.625" style="104" customWidth="1"/>
    <col min="75" max="75" width="18.625" style="104" customWidth="1"/>
    <col min="76" max="76" width="20.625" style="104" customWidth="1"/>
    <col min="77" max="77" width="18.5" style="104" customWidth="1"/>
    <col min="78" max="81" width="9" style="104"/>
    <col min="82" max="82" width="12.125" style="104" customWidth="1"/>
    <col min="83" max="83" width="16.25" style="104" customWidth="1"/>
    <col min="84" max="16384" width="9" style="104"/>
  </cols>
  <sheetData>
    <row r="14" spans="2:70" ht="27.75" customHeight="1" x14ac:dyDescent="0.45">
      <c r="B14" s="168" t="str">
        <f>IF(OR(Num_Terms=1,Num_Terms=2),_xlfn.CONCAT("STOP. You indicated that your calendar uses ",Num_Terms," term(s). If your calendar uses 3 terms, update the setting on the first page."),"")</f>
        <v/>
      </c>
      <c r="C14" s="168"/>
      <c r="D14" s="168"/>
      <c r="E14" s="168"/>
      <c r="F14" s="168"/>
      <c r="G14" s="168"/>
      <c r="H14" s="168"/>
      <c r="I14" s="168"/>
      <c r="J14" s="168"/>
      <c r="K14" s="168"/>
      <c r="L14" s="168"/>
      <c r="M14" s="168"/>
      <c r="N14" s="168"/>
    </row>
    <row r="16" spans="2:70" ht="30.75" x14ac:dyDescent="0.45">
      <c r="B16" s="105" t="s">
        <v>9</v>
      </c>
      <c r="F16" s="106"/>
      <c r="G16" s="106"/>
      <c r="I16" s="105" t="s">
        <v>10</v>
      </c>
      <c r="M16" s="106"/>
      <c r="N16" s="106"/>
      <c r="P16" s="105" t="s">
        <v>11</v>
      </c>
      <c r="T16" s="106"/>
      <c r="U16" s="106"/>
      <c r="W16" s="105" t="s">
        <v>12</v>
      </c>
      <c r="AA16" s="106"/>
      <c r="AB16" s="106"/>
      <c r="AD16" s="105" t="s">
        <v>13</v>
      </c>
      <c r="AH16" s="106"/>
      <c r="AI16" s="106"/>
      <c r="AK16" s="105" t="s">
        <v>14</v>
      </c>
      <c r="AO16" s="106"/>
      <c r="AP16" s="106"/>
      <c r="AR16" s="105" t="s">
        <v>4124</v>
      </c>
      <c r="AV16" s="106"/>
      <c r="AW16" s="106"/>
      <c r="AY16" s="105" t="s">
        <v>4125</v>
      </c>
      <c r="BC16" s="106"/>
      <c r="BD16" s="106"/>
      <c r="BF16" s="105" t="s">
        <v>4126</v>
      </c>
      <c r="BJ16" s="106"/>
      <c r="BK16" s="106"/>
      <c r="BM16" s="105" t="s">
        <v>15</v>
      </c>
      <c r="BQ16" s="106"/>
      <c r="BR16" s="106"/>
    </row>
    <row r="17" spans="2:71" ht="33" x14ac:dyDescent="0.3">
      <c r="B17" s="120" t="s">
        <v>16</v>
      </c>
      <c r="C17" s="120" t="s">
        <v>17</v>
      </c>
      <c r="D17" s="120" t="s">
        <v>19</v>
      </c>
      <c r="E17" s="120" t="s">
        <v>18</v>
      </c>
      <c r="F17" s="120" t="s">
        <v>20</v>
      </c>
      <c r="G17" s="121" t="s">
        <v>4100</v>
      </c>
      <c r="I17" s="120" t="s">
        <v>16</v>
      </c>
      <c r="J17" s="120" t="s">
        <v>17</v>
      </c>
      <c r="K17" s="120" t="s">
        <v>19</v>
      </c>
      <c r="L17" s="120" t="s">
        <v>18</v>
      </c>
      <c r="M17" s="120" t="s">
        <v>20</v>
      </c>
      <c r="N17" s="121" t="s">
        <v>4100</v>
      </c>
      <c r="P17" s="120" t="s">
        <v>16</v>
      </c>
      <c r="Q17" s="120" t="s">
        <v>17</v>
      </c>
      <c r="R17" s="120" t="s">
        <v>19</v>
      </c>
      <c r="S17" s="120" t="s">
        <v>18</v>
      </c>
      <c r="T17" s="120" t="s">
        <v>20</v>
      </c>
      <c r="U17" s="121" t="s">
        <v>4100</v>
      </c>
      <c r="W17" s="120" t="s">
        <v>16</v>
      </c>
      <c r="X17" s="120" t="s">
        <v>17</v>
      </c>
      <c r="Y17" s="120" t="s">
        <v>19</v>
      </c>
      <c r="Z17" s="120" t="s">
        <v>18</v>
      </c>
      <c r="AA17" s="120" t="s">
        <v>20</v>
      </c>
      <c r="AB17" s="121" t="s">
        <v>4100</v>
      </c>
      <c r="AD17" s="120" t="s">
        <v>16</v>
      </c>
      <c r="AE17" s="120" t="s">
        <v>17</v>
      </c>
      <c r="AF17" s="120" t="s">
        <v>19</v>
      </c>
      <c r="AG17" s="120" t="s">
        <v>18</v>
      </c>
      <c r="AH17" s="120" t="s">
        <v>20</v>
      </c>
      <c r="AI17" s="121" t="s">
        <v>4100</v>
      </c>
      <c r="AK17" s="120" t="s">
        <v>16</v>
      </c>
      <c r="AL17" s="120" t="s">
        <v>17</v>
      </c>
      <c r="AM17" s="120" t="s">
        <v>19</v>
      </c>
      <c r="AN17" s="120" t="s">
        <v>18</v>
      </c>
      <c r="AO17" s="120" t="s">
        <v>20</v>
      </c>
      <c r="AP17" s="121" t="s">
        <v>4100</v>
      </c>
      <c r="AR17" s="120" t="s">
        <v>16</v>
      </c>
      <c r="AS17" s="120" t="s">
        <v>17</v>
      </c>
      <c r="AT17" s="120" t="s">
        <v>19</v>
      </c>
      <c r="AU17" s="120" t="s">
        <v>18</v>
      </c>
      <c r="AV17" s="120" t="s">
        <v>20</v>
      </c>
      <c r="AW17" s="121" t="s">
        <v>4100</v>
      </c>
      <c r="AY17" s="120" t="s">
        <v>16</v>
      </c>
      <c r="AZ17" s="120" t="s">
        <v>17</v>
      </c>
      <c r="BA17" s="120" t="s">
        <v>19</v>
      </c>
      <c r="BB17" s="120" t="s">
        <v>18</v>
      </c>
      <c r="BC17" s="120" t="s">
        <v>20</v>
      </c>
      <c r="BD17" s="121" t="s">
        <v>4100</v>
      </c>
      <c r="BF17" s="120" t="s">
        <v>16</v>
      </c>
      <c r="BG17" s="120" t="s">
        <v>17</v>
      </c>
      <c r="BH17" s="120" t="s">
        <v>19</v>
      </c>
      <c r="BI17" s="120" t="s">
        <v>18</v>
      </c>
      <c r="BJ17" s="120" t="s">
        <v>20</v>
      </c>
      <c r="BK17" s="121" t="s">
        <v>4100</v>
      </c>
      <c r="BM17" s="120" t="s">
        <v>16</v>
      </c>
      <c r="BN17" s="120" t="s">
        <v>17</v>
      </c>
      <c r="BO17" s="120" t="s">
        <v>19</v>
      </c>
      <c r="BP17" s="120" t="s">
        <v>18</v>
      </c>
      <c r="BQ17" s="120" t="s">
        <v>20</v>
      </c>
      <c r="BR17" s="121" t="s">
        <v>4100</v>
      </c>
    </row>
    <row r="18" spans="2:71" x14ac:dyDescent="0.3">
      <c r="B18" s="136"/>
      <c r="C18" s="136"/>
      <c r="D18" s="103"/>
      <c r="E18" s="106" t="str">
        <f>IF(OR(ISBLANK(Term3_Day_1[[#This Row],[Start]]),ISBLANK(Term3_Day_1[[#This Row],[End]])),"",(Term3_Day_1[[#This Row],[End]]-Term3_Day_1[[#This Row],[Start]])*1440)</f>
        <v/>
      </c>
      <c r="F18" s="106" t="str">
        <f>IF(ISBLANK(Term3_Day_1[[#This Row],[Activity]]),"",IF(_xlfn.XLOOKUP(Term3_Day_1[[#This Row],[Activity]],Types_of_Activity[Type of Activity],Types_of_Activity[Classification])=1,Term3_Day_1[[#This Row],[Elapsed]],0))</f>
        <v/>
      </c>
      <c r="G18" s="106" t="str">
        <f>IF(ISBLANK(Term3_Day_1[[#This Row],[Activity]]),"",IF(_xlfn.XLOOKUP(Term3_Day_1[[#This Row],[Activity]],Types_of_Activity[Type of Activity],Types_of_Activity[Classification])=2,Term3_Day_1[[#This Row],[Elapsed]],0))</f>
        <v/>
      </c>
      <c r="I18" s="136"/>
      <c r="J18" s="136"/>
      <c r="K18" s="103"/>
      <c r="L18" s="106" t="str">
        <f>IF(OR(ISBLANK(Term3_Day_2[[#This Row],[Start]]),ISBLANK(Term3_Day_2[[#This Row],[End]])),"",(Term3_Day_2[[#This Row],[End]]-Term3_Day_2[[#This Row],[Start]])*1440)</f>
        <v/>
      </c>
      <c r="M18" s="106" t="str">
        <f>IF(ISBLANK(Term3_Day_2[[#This Row],[Activity]]),"",IF(_xlfn.XLOOKUP(Term3_Day_2[[#This Row],[Activity]],Types_of_Activity[Type of Activity],Types_of_Activity[Classification])=1,Term3_Day_2[[#This Row],[Elapsed]],0))</f>
        <v/>
      </c>
      <c r="N18" s="106" t="str">
        <f>IF(ISBLANK(Term3_Day_2[[#This Row],[Activity]]),"",IF(_xlfn.XLOOKUP(Term3_Day_2[[#This Row],[Activity]],Types_of_Activity[Type of Activity],Types_of_Activity[Classification])=2,Term3_Day_2[[#This Row],[Elapsed]],0))</f>
        <v/>
      </c>
      <c r="P18" s="136"/>
      <c r="Q18" s="136"/>
      <c r="R18" s="103"/>
      <c r="S18" s="106" t="str">
        <f>IF(OR(ISBLANK(Term3_Day_3[[#This Row],[Start]]),ISBLANK(Term3_Day_3[[#This Row],[End]])),"",(Term3_Day_3[[#This Row],[End]]-Term3_Day_3[[#This Row],[Start]])*1440)</f>
        <v/>
      </c>
      <c r="T18" s="106" t="str">
        <f>IF(ISBLANK(Term3_Day_3[[#This Row],[Activity]]),"",IF(_xlfn.XLOOKUP(Term3_Day_3[[#This Row],[Activity]],Types_of_Activity[Type of Activity],Types_of_Activity[Classification])=1,Term3_Day_3[[#This Row],[Elapsed]],0))</f>
        <v/>
      </c>
      <c r="U18" s="106" t="str">
        <f>IF(ISBLANK(Term3_Day_3[[#This Row],[Activity]]),"",IF(_xlfn.XLOOKUP(Term3_Day_3[[#This Row],[Activity]],Types_of_Activity[Type of Activity],Types_of_Activity[Classification])=2,Term3_Day_3[[#This Row],[Elapsed]],0))</f>
        <v/>
      </c>
      <c r="W18" s="136"/>
      <c r="X18" s="136"/>
      <c r="Y18" s="103"/>
      <c r="Z18" s="106" t="str">
        <f>IF(OR(ISBLANK(Term3_Day_4[[#This Row],[Start]]),ISBLANK(Term3_Day_4[[#This Row],[End]])),"",(Term3_Day_4[[#This Row],[End]]-Term3_Day_4[[#This Row],[Start]])*1440)</f>
        <v/>
      </c>
      <c r="AA18" s="106" t="str">
        <f>IF(ISBLANK(Term3_Day_4[[#This Row],[Activity]]),"",IF(_xlfn.XLOOKUP(Term3_Day_4[[#This Row],[Activity]],Types_of_Activity[Type of Activity],Types_of_Activity[Classification])=1,Term3_Day_4[[#This Row],[Elapsed]],0))</f>
        <v/>
      </c>
      <c r="AB18" s="106" t="str">
        <f>IF(ISBLANK(Term3_Day_4[[#This Row],[Activity]]),"",IF(_xlfn.XLOOKUP(Term3_Day_4[[#This Row],[Activity]],Types_of_Activity[Type of Activity],Types_of_Activity[Classification])=2,Term3_Day_4[[#This Row],[Elapsed]],0))</f>
        <v/>
      </c>
      <c r="AD18" s="136"/>
      <c r="AE18" s="136"/>
      <c r="AF18" s="103"/>
      <c r="AG18" s="106" t="str">
        <f>IF(OR(ISBLANK(Term3_Day_5[[#This Row],[Start]]),ISBLANK(Term3_Day_5[[#This Row],[End]])),"",(Term3_Day_5[[#This Row],[End]]-Term3_Day_5[[#This Row],[Start]])*1440)</f>
        <v/>
      </c>
      <c r="AH18" s="106" t="str">
        <f>IF(ISBLANK(Term3_Day_5[[#This Row],[Activity]]),"",IF(_xlfn.XLOOKUP(Term3_Day_5[[#This Row],[Activity]],Types_of_Activity[Type of Activity],Types_of_Activity[Classification])=1,Term3_Day_5[[#This Row],[Elapsed]],0))</f>
        <v/>
      </c>
      <c r="AI18" s="106" t="str">
        <f>IF(ISBLANK(Term3_Day_5[[#This Row],[Activity]]),"",IF(_xlfn.XLOOKUP(Term3_Day_5[[#This Row],[Activity]],Types_of_Activity[Type of Activity],Types_of_Activity[Classification])=2,Term3_Day_5[[#This Row],[Elapsed]],0))</f>
        <v/>
      </c>
      <c r="AK18" s="136"/>
      <c r="AL18" s="136"/>
      <c r="AM18" s="103"/>
      <c r="AN18" s="106" t="str">
        <f>IF(OR(ISBLANK(Term3_Day_6[[#This Row],[Start]]),ISBLANK(Term3_Day_6[[#This Row],[End]])),"",(Term3_Day_6[[#This Row],[End]]-Term3_Day_6[[#This Row],[Start]])*1440)</f>
        <v/>
      </c>
      <c r="AO18" s="106" t="str">
        <f>IF(ISBLANK(Term3_Day_6[[#This Row],[Activity]]),"",IF(_xlfn.XLOOKUP(Term3_Day_6[[#This Row],[Activity]],Types_of_Activity[Type of Activity],Types_of_Activity[Classification])=1,Term3_Day_6[[#This Row],[Elapsed]],0))</f>
        <v/>
      </c>
      <c r="AP18" s="106" t="str">
        <f>IF(ISBLANK(Term3_Day_6[[#This Row],[Activity]]),"",IF(_xlfn.XLOOKUP(Term3_Day_6[[#This Row],[Activity]],Types_of_Activity[Type of Activity],Types_of_Activity[Classification])=2,Term3_Day_6[[#This Row],[Elapsed]],0))</f>
        <v/>
      </c>
      <c r="AR18" s="136"/>
      <c r="AS18" s="136"/>
      <c r="AT18" s="103"/>
      <c r="AU18" s="106" t="str">
        <f>IF(OR(ISBLANK(Term3_Day_7[[#This Row],[Start]]),ISBLANK(Term3_Day_7[[#This Row],[End]])),"",(Term3_Day_7[[#This Row],[End]]-Term3_Day_7[[#This Row],[Start]])*1440)</f>
        <v/>
      </c>
      <c r="AV18" s="106" t="str">
        <f>IF(ISBLANK(Term3_Day_7[[#This Row],[Activity]]),"",IF(_xlfn.XLOOKUP(Term3_Day_7[[#This Row],[Activity]],Types_of_Activity[Type of Activity],Types_of_Activity[Classification])=1,Term3_Day_7[[#This Row],[Elapsed]],0))</f>
        <v/>
      </c>
      <c r="AW18" s="106" t="str">
        <f>IF(ISBLANK(Term3_Day_7[[#This Row],[Activity]]),"",IF(_xlfn.XLOOKUP(Term3_Day_7[[#This Row],[Activity]],Types_of_Activity[Type of Activity],Types_of_Activity[Classification])=2,Term3_Day_7[[#This Row],[Elapsed]],0))</f>
        <v/>
      </c>
      <c r="AY18" s="136"/>
      <c r="AZ18" s="136"/>
      <c r="BA18" s="103"/>
      <c r="BB18" s="106" t="str">
        <f>IF(OR(ISBLANK(Term3_Day_8[[#This Row],[Start]]),ISBLANK(Term3_Day_8[[#This Row],[End]])),"",(Term3_Day_8[[#This Row],[End]]-Term3_Day_8[[#This Row],[Start]])*1440)</f>
        <v/>
      </c>
      <c r="BC18" s="106" t="str">
        <f>IF(ISBLANK(Term3_Day_8[[#This Row],[Activity]]),"",IF(_xlfn.XLOOKUP(Term3_Day_8[[#This Row],[Activity]],Types_of_Activity[Type of Activity],Types_of_Activity[Classification])=1,Term3_Day_8[[#This Row],[Elapsed]],0))</f>
        <v/>
      </c>
      <c r="BD18" s="106" t="str">
        <f>IF(ISBLANK(Term3_Day_8[[#This Row],[Activity]]),"",IF(_xlfn.XLOOKUP(Term3_Day_8[[#This Row],[Activity]],Types_of_Activity[Type of Activity],Types_of_Activity[Classification])=2,Term3_Day_8[[#This Row],[Elapsed]],0))</f>
        <v/>
      </c>
      <c r="BF18" s="136"/>
      <c r="BG18" s="136"/>
      <c r="BH18" s="103"/>
      <c r="BI18" s="106" t="str">
        <f>IF(OR(ISBLANK(Term3_Day_9[[#This Row],[Start]]),ISBLANK(Term3_Day_9[[#This Row],[End]])),"",(Term3_Day_9[[#This Row],[End]]-Term3_Day_9[[#This Row],[Start]])*1440)</f>
        <v/>
      </c>
      <c r="BJ18" s="106" t="str">
        <f>IF(ISBLANK(Term3_Day_9[[#This Row],[Activity]]),"",IF(_xlfn.XLOOKUP(Term3_Day_9[[#This Row],[Activity]],Types_of_Activity[Type of Activity],Types_of_Activity[Classification])=1,Term3_Day_9[[#This Row],[Elapsed]],0))</f>
        <v/>
      </c>
      <c r="BK18" s="106" t="str">
        <f>IF(ISBLANK(Term3_Day_9[[#This Row],[Activity]]),"",IF(_xlfn.XLOOKUP(Term3_Day_9[[#This Row],[Activity]],Types_of_Activity[Type of Activity],Types_of_Activity[Classification])=2,Term3_Day_9[[#This Row],[Elapsed]],0))</f>
        <v/>
      </c>
      <c r="BM18" s="136"/>
      <c r="BN18" s="136"/>
      <c r="BO18" s="103"/>
      <c r="BP18" s="106" t="str">
        <f>IF(OR(ISBLANK(Term3_Day_10[[#This Row],[Start]]),ISBLANK(Term3_Day_10[[#This Row],[End]])),"",(Term3_Day_10[[#This Row],[End]]-Term3_Day_10[[#This Row],[Start]])*1440)</f>
        <v/>
      </c>
      <c r="BQ18" s="106" t="str">
        <f>IF(ISBLANK(Term3_Day_10[[#This Row],[Activity]]),"",IF(_xlfn.XLOOKUP(Term3_Day_10[[#This Row],[Activity]],Types_of_Activity[Type of Activity],Types_of_Activity[Classification])=1,Term3_Day_10[[#This Row],[Elapsed]],0))</f>
        <v/>
      </c>
      <c r="BR18" s="106" t="str">
        <f>IF(ISBLANK(Term3_Day_10[[#This Row],[Activity]]),"",IF(_xlfn.XLOOKUP(Term3_Day_10[[#This Row],[Activity]],Types_of_Activity[Type of Activity],Types_of_Activity[Classification])=2,Term3_Day_10[[#This Row],[Elapsed]],0))</f>
        <v/>
      </c>
    </row>
    <row r="19" spans="2:71" x14ac:dyDescent="0.3">
      <c r="B19" s="136"/>
      <c r="C19" s="136"/>
      <c r="D19" s="103"/>
      <c r="E19" s="106" t="str">
        <f>IF(OR(ISBLANK(Term3_Day_1[[#This Row],[Start]]),ISBLANK(Term3_Day_1[[#This Row],[End]])),"",(Term3_Day_1[[#This Row],[End]]-Term3_Day_1[[#This Row],[Start]])*1440)</f>
        <v/>
      </c>
      <c r="F19" s="106" t="str">
        <f>IF(ISBLANK(Term3_Day_1[[#This Row],[Activity]]),"",IF(_xlfn.XLOOKUP(Term3_Day_1[[#This Row],[Activity]],Types_of_Activity[Type of Activity],Types_of_Activity[Classification])=1,Term3_Day_1[[#This Row],[Elapsed]],0))</f>
        <v/>
      </c>
      <c r="G19" s="106" t="str">
        <f>IF(ISBLANK(Term3_Day_1[[#This Row],[Activity]]),"",IF(_xlfn.XLOOKUP(Term3_Day_1[[#This Row],[Activity]],Types_of_Activity[Type of Activity],Types_of_Activity[Classification])=2,Term3_Day_1[[#This Row],[Elapsed]],0))</f>
        <v/>
      </c>
      <c r="I19" s="136"/>
      <c r="J19" s="136"/>
      <c r="K19" s="103"/>
      <c r="L19" s="106" t="str">
        <f>IF(OR(ISBLANK(Term3_Day_2[[#This Row],[Start]]),ISBLANK(Term3_Day_2[[#This Row],[End]])),"",(Term3_Day_2[[#This Row],[End]]-Term3_Day_2[[#This Row],[Start]])*1440)</f>
        <v/>
      </c>
      <c r="M19" s="106" t="str">
        <f>IF(ISBLANK(Term3_Day_2[[#This Row],[Activity]]),"",IF(_xlfn.XLOOKUP(Term3_Day_2[[#This Row],[Activity]],Types_of_Activity[Type of Activity],Types_of_Activity[Classification])=1,Term3_Day_2[[#This Row],[Elapsed]],0))</f>
        <v/>
      </c>
      <c r="N19" s="106" t="str">
        <f>IF(ISBLANK(Term3_Day_2[[#This Row],[Activity]]),"",IF(_xlfn.XLOOKUP(Term3_Day_2[[#This Row],[Activity]],Types_of_Activity[Type of Activity],Types_of_Activity[Classification])=2,Term3_Day_2[[#This Row],[Elapsed]],0))</f>
        <v/>
      </c>
      <c r="P19" s="136"/>
      <c r="Q19" s="136"/>
      <c r="R19" s="103"/>
      <c r="S19" s="106" t="str">
        <f>IF(OR(ISBLANK(Term3_Day_3[[#This Row],[Start]]),ISBLANK(Term3_Day_3[[#This Row],[End]])),"",(Term3_Day_3[[#This Row],[End]]-Term3_Day_3[[#This Row],[Start]])*1440)</f>
        <v/>
      </c>
      <c r="T19" s="106" t="str">
        <f>IF(ISBLANK(Term3_Day_3[[#This Row],[Activity]]),"",IF(_xlfn.XLOOKUP(Term3_Day_3[[#This Row],[Activity]],Types_of_Activity[Type of Activity],Types_of_Activity[Classification])=1,Term3_Day_3[[#This Row],[Elapsed]],0))</f>
        <v/>
      </c>
      <c r="U19" s="106" t="str">
        <f>IF(ISBLANK(Term3_Day_3[[#This Row],[Activity]]),"",IF(_xlfn.XLOOKUP(Term3_Day_3[[#This Row],[Activity]],Types_of_Activity[Type of Activity],Types_of_Activity[Classification])=2,Term3_Day_3[[#This Row],[Elapsed]],0))</f>
        <v/>
      </c>
      <c r="W19" s="136"/>
      <c r="X19" s="136"/>
      <c r="Y19" s="103"/>
      <c r="Z19" s="106" t="str">
        <f>IF(OR(ISBLANK(Term3_Day_4[[#This Row],[Start]]),ISBLANK(Term3_Day_4[[#This Row],[End]])),"",(Term3_Day_4[[#This Row],[End]]-Term3_Day_4[[#This Row],[Start]])*1440)</f>
        <v/>
      </c>
      <c r="AA19" s="106" t="str">
        <f>IF(ISBLANK(Term3_Day_4[[#This Row],[Activity]]),"",IF(_xlfn.XLOOKUP(Term3_Day_4[[#This Row],[Activity]],Types_of_Activity[Type of Activity],Types_of_Activity[Classification])=1,Term3_Day_4[[#This Row],[Elapsed]],0))</f>
        <v/>
      </c>
      <c r="AB19" s="106" t="str">
        <f>IF(ISBLANK(Term3_Day_4[[#This Row],[Activity]]),"",IF(_xlfn.XLOOKUP(Term3_Day_4[[#This Row],[Activity]],Types_of_Activity[Type of Activity],Types_of_Activity[Classification])=2,Term3_Day_4[[#This Row],[Elapsed]],0))</f>
        <v/>
      </c>
      <c r="AD19" s="136"/>
      <c r="AE19" s="136"/>
      <c r="AF19" s="103"/>
      <c r="AG19" s="106" t="str">
        <f>IF(OR(ISBLANK(Term3_Day_5[[#This Row],[Start]]),ISBLANK(Term3_Day_5[[#This Row],[End]])),"",(Term3_Day_5[[#This Row],[End]]-Term3_Day_5[[#This Row],[Start]])*1440)</f>
        <v/>
      </c>
      <c r="AH19" s="106" t="str">
        <f>IF(ISBLANK(Term3_Day_5[[#This Row],[Activity]]),"",IF(_xlfn.XLOOKUP(Term3_Day_5[[#This Row],[Activity]],Types_of_Activity[Type of Activity],Types_of_Activity[Classification])=1,Term3_Day_5[[#This Row],[Elapsed]],0))</f>
        <v/>
      </c>
      <c r="AI19" s="106" t="str">
        <f>IF(ISBLANK(Term3_Day_5[[#This Row],[Activity]]),"",IF(_xlfn.XLOOKUP(Term3_Day_5[[#This Row],[Activity]],Types_of_Activity[Type of Activity],Types_of_Activity[Classification])=2,Term3_Day_5[[#This Row],[Elapsed]],0))</f>
        <v/>
      </c>
      <c r="AK19" s="136"/>
      <c r="AL19" s="136"/>
      <c r="AM19" s="103"/>
      <c r="AN19" s="106" t="str">
        <f>IF(OR(ISBLANK(Term3_Day_6[[#This Row],[Start]]),ISBLANK(Term3_Day_6[[#This Row],[End]])),"",(Term3_Day_6[[#This Row],[End]]-Term3_Day_6[[#This Row],[Start]])*1440)</f>
        <v/>
      </c>
      <c r="AO19" s="106" t="str">
        <f>IF(ISBLANK(Term3_Day_6[[#This Row],[Activity]]),"",IF(_xlfn.XLOOKUP(Term3_Day_6[[#This Row],[Activity]],Types_of_Activity[Type of Activity],Types_of_Activity[Classification])=1,Term3_Day_6[[#This Row],[Elapsed]],0))</f>
        <v/>
      </c>
      <c r="AP19" s="106" t="str">
        <f>IF(ISBLANK(Term3_Day_6[[#This Row],[Activity]]),"",IF(_xlfn.XLOOKUP(Term3_Day_6[[#This Row],[Activity]],Types_of_Activity[Type of Activity],Types_of_Activity[Classification])=2,Term3_Day_6[[#This Row],[Elapsed]],0))</f>
        <v/>
      </c>
      <c r="AR19" s="136"/>
      <c r="AS19" s="136"/>
      <c r="AT19" s="103"/>
      <c r="AU19" s="106" t="str">
        <f>IF(OR(ISBLANK(Term3_Day_7[[#This Row],[Start]]),ISBLANK(Term3_Day_7[[#This Row],[End]])),"",(Term3_Day_7[[#This Row],[End]]-Term3_Day_7[[#This Row],[Start]])*1440)</f>
        <v/>
      </c>
      <c r="AV19" s="106" t="str">
        <f>IF(ISBLANK(Term3_Day_7[[#This Row],[Activity]]),"",IF(_xlfn.XLOOKUP(Term3_Day_7[[#This Row],[Activity]],Types_of_Activity[Type of Activity],Types_of_Activity[Classification])=1,Term3_Day_7[[#This Row],[Elapsed]],0))</f>
        <v/>
      </c>
      <c r="AW19" s="106" t="str">
        <f>IF(ISBLANK(Term3_Day_7[[#This Row],[Activity]]),"",IF(_xlfn.XLOOKUP(Term3_Day_7[[#This Row],[Activity]],Types_of_Activity[Type of Activity],Types_of_Activity[Classification])=2,Term3_Day_7[[#This Row],[Elapsed]],0))</f>
        <v/>
      </c>
      <c r="AY19" s="136"/>
      <c r="AZ19" s="136"/>
      <c r="BA19" s="103"/>
      <c r="BB19" s="106" t="str">
        <f>IF(OR(ISBLANK(Term3_Day_8[[#This Row],[Start]]),ISBLANK(Term3_Day_8[[#This Row],[End]])),"",(Term3_Day_8[[#This Row],[End]]-Term3_Day_8[[#This Row],[Start]])*1440)</f>
        <v/>
      </c>
      <c r="BC19" s="106" t="str">
        <f>IF(ISBLANK(Term3_Day_8[[#This Row],[Activity]]),"",IF(_xlfn.XLOOKUP(Term3_Day_8[[#This Row],[Activity]],Types_of_Activity[Type of Activity],Types_of_Activity[Classification])=1,Term3_Day_8[[#This Row],[Elapsed]],0))</f>
        <v/>
      </c>
      <c r="BD19" s="106" t="str">
        <f>IF(ISBLANK(Term3_Day_8[[#This Row],[Activity]]),"",IF(_xlfn.XLOOKUP(Term3_Day_8[[#This Row],[Activity]],Types_of_Activity[Type of Activity],Types_of_Activity[Classification])=2,Term3_Day_8[[#This Row],[Elapsed]],0))</f>
        <v/>
      </c>
      <c r="BF19" s="136"/>
      <c r="BG19" s="136"/>
      <c r="BH19" s="103"/>
      <c r="BI19" s="106" t="str">
        <f>IF(OR(ISBLANK(Term3_Day_9[[#This Row],[Start]]),ISBLANK(Term3_Day_9[[#This Row],[End]])),"",(Term3_Day_9[[#This Row],[End]]-Term3_Day_9[[#This Row],[Start]])*1440)</f>
        <v/>
      </c>
      <c r="BJ19" s="106" t="str">
        <f>IF(ISBLANK(Term3_Day_9[[#This Row],[Activity]]),"",IF(_xlfn.XLOOKUP(Term3_Day_9[[#This Row],[Activity]],Types_of_Activity[Type of Activity],Types_of_Activity[Classification])=1,Term3_Day_9[[#This Row],[Elapsed]],0))</f>
        <v/>
      </c>
      <c r="BK19" s="106" t="str">
        <f>IF(ISBLANK(Term3_Day_9[[#This Row],[Activity]]),"",IF(_xlfn.XLOOKUP(Term3_Day_9[[#This Row],[Activity]],Types_of_Activity[Type of Activity],Types_of_Activity[Classification])=2,Term3_Day_9[[#This Row],[Elapsed]],0))</f>
        <v/>
      </c>
      <c r="BM19" s="136"/>
      <c r="BN19" s="136"/>
      <c r="BO19" s="103"/>
      <c r="BP19" s="106" t="str">
        <f>IF(OR(ISBLANK(Term3_Day_10[[#This Row],[Start]]),ISBLANK(Term3_Day_10[[#This Row],[End]])),"",(Term3_Day_10[[#This Row],[End]]-Term3_Day_10[[#This Row],[Start]])*1440)</f>
        <v/>
      </c>
      <c r="BQ19" s="106" t="str">
        <f>IF(ISBLANK(Term3_Day_10[[#This Row],[Activity]]),"",IF(_xlfn.XLOOKUP(Term3_Day_10[[#This Row],[Activity]],Types_of_Activity[Type of Activity],Types_of_Activity[Classification])=1,Term3_Day_10[[#This Row],[Elapsed]],0))</f>
        <v/>
      </c>
      <c r="BR19" s="106" t="str">
        <f>IF(ISBLANK(Term3_Day_10[[#This Row],[Activity]]),"",IF(_xlfn.XLOOKUP(Term3_Day_10[[#This Row],[Activity]],Types_of_Activity[Type of Activity],Types_of_Activity[Classification])=2,Term3_Day_10[[#This Row],[Elapsed]],0))</f>
        <v/>
      </c>
    </row>
    <row r="20" spans="2:71" x14ac:dyDescent="0.3">
      <c r="B20" s="136"/>
      <c r="C20" s="136"/>
      <c r="D20" s="103"/>
      <c r="E20" s="106" t="str">
        <f>IF(OR(ISBLANK(Term3_Day_1[[#This Row],[Start]]),ISBLANK(Term3_Day_1[[#This Row],[End]])),"",(Term3_Day_1[[#This Row],[End]]-Term3_Day_1[[#This Row],[Start]])*1440)</f>
        <v/>
      </c>
      <c r="F20" s="106" t="str">
        <f>IF(ISBLANK(Term3_Day_1[[#This Row],[Activity]]),"",IF(_xlfn.XLOOKUP(Term3_Day_1[[#This Row],[Activity]],Types_of_Activity[Type of Activity],Types_of_Activity[Classification])=1,Term3_Day_1[[#This Row],[Elapsed]],0))</f>
        <v/>
      </c>
      <c r="G20" s="106" t="str">
        <f>IF(ISBLANK(Term3_Day_1[[#This Row],[Activity]]),"",IF(_xlfn.XLOOKUP(Term3_Day_1[[#This Row],[Activity]],Types_of_Activity[Type of Activity],Types_of_Activity[Classification])=2,Term3_Day_1[[#This Row],[Elapsed]],0))</f>
        <v/>
      </c>
      <c r="I20" s="136"/>
      <c r="J20" s="136"/>
      <c r="K20" s="103"/>
      <c r="L20" s="106" t="str">
        <f>IF(OR(ISBLANK(Term3_Day_2[[#This Row],[Start]]),ISBLANK(Term3_Day_2[[#This Row],[End]])),"",(Term3_Day_2[[#This Row],[End]]-Term3_Day_2[[#This Row],[Start]])*1440)</f>
        <v/>
      </c>
      <c r="M20" s="106" t="str">
        <f>IF(ISBLANK(Term3_Day_2[[#This Row],[Activity]]),"",IF(_xlfn.XLOOKUP(Term3_Day_2[[#This Row],[Activity]],Types_of_Activity[Type of Activity],Types_of_Activity[Classification])=1,Term3_Day_2[[#This Row],[Elapsed]],0))</f>
        <v/>
      </c>
      <c r="N20" s="106" t="str">
        <f>IF(ISBLANK(Term3_Day_2[[#This Row],[Activity]]),"",IF(_xlfn.XLOOKUP(Term3_Day_2[[#This Row],[Activity]],Types_of_Activity[Type of Activity],Types_of_Activity[Classification])=2,Term3_Day_2[[#This Row],[Elapsed]],0))</f>
        <v/>
      </c>
      <c r="P20" s="136"/>
      <c r="Q20" s="136"/>
      <c r="R20" s="103"/>
      <c r="S20" s="106" t="str">
        <f>IF(OR(ISBLANK(Term3_Day_3[[#This Row],[Start]]),ISBLANK(Term3_Day_3[[#This Row],[End]])),"",(Term3_Day_3[[#This Row],[End]]-Term3_Day_3[[#This Row],[Start]])*1440)</f>
        <v/>
      </c>
      <c r="T20" s="106" t="str">
        <f>IF(ISBLANK(Term3_Day_3[[#This Row],[Activity]]),"",IF(_xlfn.XLOOKUP(Term3_Day_3[[#This Row],[Activity]],Types_of_Activity[Type of Activity],Types_of_Activity[Classification])=1,Term3_Day_3[[#This Row],[Elapsed]],0))</f>
        <v/>
      </c>
      <c r="U20" s="106" t="str">
        <f>IF(ISBLANK(Term3_Day_3[[#This Row],[Activity]]),"",IF(_xlfn.XLOOKUP(Term3_Day_3[[#This Row],[Activity]],Types_of_Activity[Type of Activity],Types_of_Activity[Classification])=2,Term3_Day_3[[#This Row],[Elapsed]],0))</f>
        <v/>
      </c>
      <c r="W20" s="136"/>
      <c r="X20" s="136"/>
      <c r="Y20" s="103"/>
      <c r="Z20" s="106" t="str">
        <f>IF(OR(ISBLANK(Term3_Day_4[[#This Row],[Start]]),ISBLANK(Term3_Day_4[[#This Row],[End]])),"",(Term3_Day_4[[#This Row],[End]]-Term3_Day_4[[#This Row],[Start]])*1440)</f>
        <v/>
      </c>
      <c r="AA20" s="106" t="str">
        <f>IF(ISBLANK(Term3_Day_4[[#This Row],[Activity]]),"",IF(_xlfn.XLOOKUP(Term3_Day_4[[#This Row],[Activity]],Types_of_Activity[Type of Activity],Types_of_Activity[Classification])=1,Term3_Day_4[[#This Row],[Elapsed]],0))</f>
        <v/>
      </c>
      <c r="AB20" s="106" t="str">
        <f>IF(ISBLANK(Term3_Day_4[[#This Row],[Activity]]),"",IF(_xlfn.XLOOKUP(Term3_Day_4[[#This Row],[Activity]],Types_of_Activity[Type of Activity],Types_of_Activity[Classification])=2,Term3_Day_4[[#This Row],[Elapsed]],0))</f>
        <v/>
      </c>
      <c r="AD20" s="136"/>
      <c r="AE20" s="136"/>
      <c r="AF20" s="103"/>
      <c r="AG20" s="106" t="str">
        <f>IF(OR(ISBLANK(Term3_Day_5[[#This Row],[Start]]),ISBLANK(Term3_Day_5[[#This Row],[End]])),"",(Term3_Day_5[[#This Row],[End]]-Term3_Day_5[[#This Row],[Start]])*1440)</f>
        <v/>
      </c>
      <c r="AH20" s="106" t="str">
        <f>IF(ISBLANK(Term3_Day_5[[#This Row],[Activity]]),"",IF(_xlfn.XLOOKUP(Term3_Day_5[[#This Row],[Activity]],Types_of_Activity[Type of Activity],Types_of_Activity[Classification])=1,Term3_Day_5[[#This Row],[Elapsed]],0))</f>
        <v/>
      </c>
      <c r="AI20" s="106" t="str">
        <f>IF(ISBLANK(Term3_Day_5[[#This Row],[Activity]]),"",IF(_xlfn.XLOOKUP(Term3_Day_5[[#This Row],[Activity]],Types_of_Activity[Type of Activity],Types_of_Activity[Classification])=2,Term3_Day_5[[#This Row],[Elapsed]],0))</f>
        <v/>
      </c>
      <c r="AJ20" s="107"/>
      <c r="AK20" s="136"/>
      <c r="AL20" s="136"/>
      <c r="AM20" s="103"/>
      <c r="AN20" s="106" t="str">
        <f>IF(OR(ISBLANK(Term3_Day_6[[#This Row],[Start]]),ISBLANK(Term3_Day_6[[#This Row],[End]])),"",(Term3_Day_6[[#This Row],[End]]-Term3_Day_6[[#This Row],[Start]])*1440)</f>
        <v/>
      </c>
      <c r="AO20" s="106" t="str">
        <f>IF(ISBLANK(Term3_Day_6[[#This Row],[Activity]]),"",IF(_xlfn.XLOOKUP(Term3_Day_6[[#This Row],[Activity]],Types_of_Activity[Type of Activity],Types_of_Activity[Classification])=1,Term3_Day_6[[#This Row],[Elapsed]],0))</f>
        <v/>
      </c>
      <c r="AP20" s="106" t="str">
        <f>IF(ISBLANK(Term3_Day_6[[#This Row],[Activity]]),"",IF(_xlfn.XLOOKUP(Term3_Day_6[[#This Row],[Activity]],Types_of_Activity[Type of Activity],Types_of_Activity[Classification])=2,Term3_Day_6[[#This Row],[Elapsed]],0))</f>
        <v/>
      </c>
      <c r="AQ20" s="107"/>
      <c r="AR20" s="136"/>
      <c r="AS20" s="136"/>
      <c r="AT20" s="103"/>
      <c r="AU20" s="106" t="str">
        <f>IF(OR(ISBLANK(Term3_Day_7[[#This Row],[Start]]),ISBLANK(Term3_Day_7[[#This Row],[End]])),"",(Term3_Day_7[[#This Row],[End]]-Term3_Day_7[[#This Row],[Start]])*1440)</f>
        <v/>
      </c>
      <c r="AV20" s="106" t="str">
        <f>IF(ISBLANK(Term3_Day_7[[#This Row],[Activity]]),"",IF(_xlfn.XLOOKUP(Term3_Day_7[[#This Row],[Activity]],Types_of_Activity[Type of Activity],Types_of_Activity[Classification])=1,Term3_Day_7[[#This Row],[Elapsed]],0))</f>
        <v/>
      </c>
      <c r="AW20" s="106" t="str">
        <f>IF(ISBLANK(Term3_Day_7[[#This Row],[Activity]]),"",IF(_xlfn.XLOOKUP(Term3_Day_7[[#This Row],[Activity]],Types_of_Activity[Type of Activity],Types_of_Activity[Classification])=2,Term3_Day_7[[#This Row],[Elapsed]],0))</f>
        <v/>
      </c>
      <c r="AX20" s="107"/>
      <c r="AY20" s="136"/>
      <c r="AZ20" s="136"/>
      <c r="BA20" s="103"/>
      <c r="BB20" s="106" t="str">
        <f>IF(OR(ISBLANK(Term3_Day_8[[#This Row],[Start]]),ISBLANK(Term3_Day_8[[#This Row],[End]])),"",(Term3_Day_8[[#This Row],[End]]-Term3_Day_8[[#This Row],[Start]])*1440)</f>
        <v/>
      </c>
      <c r="BC20" s="106" t="str">
        <f>IF(ISBLANK(Term3_Day_8[[#This Row],[Activity]]),"",IF(_xlfn.XLOOKUP(Term3_Day_8[[#This Row],[Activity]],Types_of_Activity[Type of Activity],Types_of_Activity[Classification])=1,Term3_Day_8[[#This Row],[Elapsed]],0))</f>
        <v/>
      </c>
      <c r="BD20" s="106" t="str">
        <f>IF(ISBLANK(Term3_Day_8[[#This Row],[Activity]]),"",IF(_xlfn.XLOOKUP(Term3_Day_8[[#This Row],[Activity]],Types_of_Activity[Type of Activity],Types_of_Activity[Classification])=2,Term3_Day_8[[#This Row],[Elapsed]],0))</f>
        <v/>
      </c>
      <c r="BE20" s="107"/>
      <c r="BF20" s="136"/>
      <c r="BG20" s="136"/>
      <c r="BH20" s="103"/>
      <c r="BI20" s="106" t="str">
        <f>IF(OR(ISBLANK(Term3_Day_9[[#This Row],[Start]]),ISBLANK(Term3_Day_9[[#This Row],[End]])),"",(Term3_Day_9[[#This Row],[End]]-Term3_Day_9[[#This Row],[Start]])*1440)</f>
        <v/>
      </c>
      <c r="BJ20" s="106" t="str">
        <f>IF(ISBLANK(Term3_Day_9[[#This Row],[Activity]]),"",IF(_xlfn.XLOOKUP(Term3_Day_9[[#This Row],[Activity]],Types_of_Activity[Type of Activity],Types_of_Activity[Classification])=1,Term3_Day_9[[#This Row],[Elapsed]],0))</f>
        <v/>
      </c>
      <c r="BK20" s="106" t="str">
        <f>IF(ISBLANK(Term3_Day_9[[#This Row],[Activity]]),"",IF(_xlfn.XLOOKUP(Term3_Day_9[[#This Row],[Activity]],Types_of_Activity[Type of Activity],Types_of_Activity[Classification])=2,Term3_Day_9[[#This Row],[Elapsed]],0))</f>
        <v/>
      </c>
      <c r="BL20" s="107"/>
      <c r="BM20" s="136"/>
      <c r="BN20" s="136"/>
      <c r="BO20" s="103"/>
      <c r="BP20" s="106" t="str">
        <f>IF(OR(ISBLANK(Term3_Day_10[[#This Row],[Start]]),ISBLANK(Term3_Day_10[[#This Row],[End]])),"",(Term3_Day_10[[#This Row],[End]]-Term3_Day_10[[#This Row],[Start]])*1440)</f>
        <v/>
      </c>
      <c r="BQ20" s="106" t="str">
        <f>IF(ISBLANK(Term3_Day_10[[#This Row],[Activity]]),"",IF(_xlfn.XLOOKUP(Term3_Day_10[[#This Row],[Activity]],Types_of_Activity[Type of Activity],Types_of_Activity[Classification])=1,Term3_Day_10[[#This Row],[Elapsed]],0))</f>
        <v/>
      </c>
      <c r="BR20" s="106" t="str">
        <f>IF(ISBLANK(Term3_Day_10[[#This Row],[Activity]]),"",IF(_xlfn.XLOOKUP(Term3_Day_10[[#This Row],[Activity]],Types_of_Activity[Type of Activity],Types_of_Activity[Classification])=2,Term3_Day_10[[#This Row],[Elapsed]],0))</f>
        <v/>
      </c>
      <c r="BS20" s="107"/>
    </row>
    <row r="21" spans="2:71" x14ac:dyDescent="0.3">
      <c r="B21" s="136"/>
      <c r="C21" s="136"/>
      <c r="D21" s="103"/>
      <c r="E21" s="106" t="str">
        <f>IF(OR(ISBLANK(Term3_Day_1[[#This Row],[Start]]),ISBLANK(Term3_Day_1[[#This Row],[End]])),"",(Term3_Day_1[[#This Row],[End]]-Term3_Day_1[[#This Row],[Start]])*1440)</f>
        <v/>
      </c>
      <c r="F21" s="106" t="str">
        <f>IF(ISBLANK(Term3_Day_1[[#This Row],[Activity]]),"",IF(_xlfn.XLOOKUP(Term3_Day_1[[#This Row],[Activity]],Types_of_Activity[Type of Activity],Types_of_Activity[Classification])=1,Term3_Day_1[[#This Row],[Elapsed]],0))</f>
        <v/>
      </c>
      <c r="G21" s="106" t="str">
        <f>IF(ISBLANK(Term3_Day_1[[#This Row],[Activity]]),"",IF(_xlfn.XLOOKUP(Term3_Day_1[[#This Row],[Activity]],Types_of_Activity[Type of Activity],Types_of_Activity[Classification])=2,Term3_Day_1[[#This Row],[Elapsed]],0))</f>
        <v/>
      </c>
      <c r="I21" s="136"/>
      <c r="J21" s="136"/>
      <c r="K21" s="103"/>
      <c r="L21" s="106" t="str">
        <f>IF(OR(ISBLANK(Term3_Day_2[[#This Row],[Start]]),ISBLANK(Term3_Day_2[[#This Row],[End]])),"",(Term3_Day_2[[#This Row],[End]]-Term3_Day_2[[#This Row],[Start]])*1440)</f>
        <v/>
      </c>
      <c r="M21" s="106" t="str">
        <f>IF(ISBLANK(Term3_Day_2[[#This Row],[Activity]]),"",IF(_xlfn.XLOOKUP(Term3_Day_2[[#This Row],[Activity]],Types_of_Activity[Type of Activity],Types_of_Activity[Classification])=1,Term3_Day_2[[#This Row],[Elapsed]],0))</f>
        <v/>
      </c>
      <c r="N21" s="106" t="str">
        <f>IF(ISBLANK(Term3_Day_2[[#This Row],[Activity]]),"",IF(_xlfn.XLOOKUP(Term3_Day_2[[#This Row],[Activity]],Types_of_Activity[Type of Activity],Types_of_Activity[Classification])=2,Term3_Day_2[[#This Row],[Elapsed]],0))</f>
        <v/>
      </c>
      <c r="P21" s="136"/>
      <c r="Q21" s="136"/>
      <c r="R21" s="103"/>
      <c r="S21" s="106" t="str">
        <f>IF(OR(ISBLANK(Term3_Day_3[[#This Row],[Start]]),ISBLANK(Term3_Day_3[[#This Row],[End]])),"",(Term3_Day_3[[#This Row],[End]]-Term3_Day_3[[#This Row],[Start]])*1440)</f>
        <v/>
      </c>
      <c r="T21" s="106" t="str">
        <f>IF(ISBLANK(Term3_Day_3[[#This Row],[Activity]]),"",IF(_xlfn.XLOOKUP(Term3_Day_3[[#This Row],[Activity]],Types_of_Activity[Type of Activity],Types_of_Activity[Classification])=1,Term3_Day_3[[#This Row],[Elapsed]],0))</f>
        <v/>
      </c>
      <c r="U21" s="106" t="str">
        <f>IF(ISBLANK(Term3_Day_3[[#This Row],[Activity]]),"",IF(_xlfn.XLOOKUP(Term3_Day_3[[#This Row],[Activity]],Types_of_Activity[Type of Activity],Types_of_Activity[Classification])=2,Term3_Day_3[[#This Row],[Elapsed]],0))</f>
        <v/>
      </c>
      <c r="W21" s="136"/>
      <c r="X21" s="136"/>
      <c r="Y21" s="103"/>
      <c r="Z21" s="106" t="str">
        <f>IF(OR(ISBLANK(Term3_Day_4[[#This Row],[Start]]),ISBLANK(Term3_Day_4[[#This Row],[End]])),"",(Term3_Day_4[[#This Row],[End]]-Term3_Day_4[[#This Row],[Start]])*1440)</f>
        <v/>
      </c>
      <c r="AA21" s="106" t="str">
        <f>IF(ISBLANK(Term3_Day_4[[#This Row],[Activity]]),"",IF(_xlfn.XLOOKUP(Term3_Day_4[[#This Row],[Activity]],Types_of_Activity[Type of Activity],Types_of_Activity[Classification])=1,Term3_Day_4[[#This Row],[Elapsed]],0))</f>
        <v/>
      </c>
      <c r="AB21" s="106" t="str">
        <f>IF(ISBLANK(Term3_Day_4[[#This Row],[Activity]]),"",IF(_xlfn.XLOOKUP(Term3_Day_4[[#This Row],[Activity]],Types_of_Activity[Type of Activity],Types_of_Activity[Classification])=2,Term3_Day_4[[#This Row],[Elapsed]],0))</f>
        <v/>
      </c>
      <c r="AD21" s="136"/>
      <c r="AE21" s="136"/>
      <c r="AF21" s="103"/>
      <c r="AG21" s="106" t="str">
        <f>IF(OR(ISBLANK(Term3_Day_5[[#This Row],[Start]]),ISBLANK(Term3_Day_5[[#This Row],[End]])),"",(Term3_Day_5[[#This Row],[End]]-Term3_Day_5[[#This Row],[Start]])*1440)</f>
        <v/>
      </c>
      <c r="AH21" s="106" t="str">
        <f>IF(ISBLANK(Term3_Day_5[[#This Row],[Activity]]),"",IF(_xlfn.XLOOKUP(Term3_Day_5[[#This Row],[Activity]],Types_of_Activity[Type of Activity],Types_of_Activity[Classification])=1,Term3_Day_5[[#This Row],[Elapsed]],0))</f>
        <v/>
      </c>
      <c r="AI21" s="106" t="str">
        <f>IF(ISBLANK(Term3_Day_5[[#This Row],[Activity]]),"",IF(_xlfn.XLOOKUP(Term3_Day_5[[#This Row],[Activity]],Types_of_Activity[Type of Activity],Types_of_Activity[Classification])=2,Term3_Day_5[[#This Row],[Elapsed]],0))</f>
        <v/>
      </c>
      <c r="AJ21" s="107"/>
      <c r="AK21" s="136"/>
      <c r="AL21" s="136"/>
      <c r="AM21" s="103"/>
      <c r="AN21" s="106" t="str">
        <f>IF(OR(ISBLANK(Term3_Day_6[[#This Row],[Start]]),ISBLANK(Term3_Day_6[[#This Row],[End]])),"",(Term3_Day_6[[#This Row],[End]]-Term3_Day_6[[#This Row],[Start]])*1440)</f>
        <v/>
      </c>
      <c r="AO21" s="106" t="str">
        <f>IF(ISBLANK(Term3_Day_6[[#This Row],[Activity]]),"",IF(_xlfn.XLOOKUP(Term3_Day_6[[#This Row],[Activity]],Types_of_Activity[Type of Activity],Types_of_Activity[Classification])=1,Term3_Day_6[[#This Row],[Elapsed]],0))</f>
        <v/>
      </c>
      <c r="AP21" s="106" t="str">
        <f>IF(ISBLANK(Term3_Day_6[[#This Row],[Activity]]),"",IF(_xlfn.XLOOKUP(Term3_Day_6[[#This Row],[Activity]],Types_of_Activity[Type of Activity],Types_of_Activity[Classification])=2,Term3_Day_6[[#This Row],[Elapsed]],0))</f>
        <v/>
      </c>
      <c r="AQ21" s="107"/>
      <c r="AR21" s="136"/>
      <c r="AS21" s="136"/>
      <c r="AT21" s="103"/>
      <c r="AU21" s="106" t="str">
        <f>IF(OR(ISBLANK(Term3_Day_7[[#This Row],[Start]]),ISBLANK(Term3_Day_7[[#This Row],[End]])),"",(Term3_Day_7[[#This Row],[End]]-Term3_Day_7[[#This Row],[Start]])*1440)</f>
        <v/>
      </c>
      <c r="AV21" s="106" t="str">
        <f>IF(ISBLANK(Term3_Day_7[[#This Row],[Activity]]),"",IF(_xlfn.XLOOKUP(Term3_Day_7[[#This Row],[Activity]],Types_of_Activity[Type of Activity],Types_of_Activity[Classification])=1,Term3_Day_7[[#This Row],[Elapsed]],0))</f>
        <v/>
      </c>
      <c r="AW21" s="106" t="str">
        <f>IF(ISBLANK(Term3_Day_7[[#This Row],[Activity]]),"",IF(_xlfn.XLOOKUP(Term3_Day_7[[#This Row],[Activity]],Types_of_Activity[Type of Activity],Types_of_Activity[Classification])=2,Term3_Day_7[[#This Row],[Elapsed]],0))</f>
        <v/>
      </c>
      <c r="AX21" s="107"/>
      <c r="AY21" s="136"/>
      <c r="AZ21" s="136"/>
      <c r="BA21" s="103"/>
      <c r="BB21" s="106" t="str">
        <f>IF(OR(ISBLANK(Term3_Day_8[[#This Row],[Start]]),ISBLANK(Term3_Day_8[[#This Row],[End]])),"",(Term3_Day_8[[#This Row],[End]]-Term3_Day_8[[#This Row],[Start]])*1440)</f>
        <v/>
      </c>
      <c r="BC21" s="106" t="str">
        <f>IF(ISBLANK(Term3_Day_8[[#This Row],[Activity]]),"",IF(_xlfn.XLOOKUP(Term3_Day_8[[#This Row],[Activity]],Types_of_Activity[Type of Activity],Types_of_Activity[Classification])=1,Term3_Day_8[[#This Row],[Elapsed]],0))</f>
        <v/>
      </c>
      <c r="BD21" s="106" t="str">
        <f>IF(ISBLANK(Term3_Day_8[[#This Row],[Activity]]),"",IF(_xlfn.XLOOKUP(Term3_Day_8[[#This Row],[Activity]],Types_of_Activity[Type of Activity],Types_of_Activity[Classification])=2,Term3_Day_8[[#This Row],[Elapsed]],0))</f>
        <v/>
      </c>
      <c r="BE21" s="107"/>
      <c r="BF21" s="136"/>
      <c r="BG21" s="136"/>
      <c r="BH21" s="103"/>
      <c r="BI21" s="106" t="str">
        <f>IF(OR(ISBLANK(Term3_Day_9[[#This Row],[Start]]),ISBLANK(Term3_Day_9[[#This Row],[End]])),"",(Term3_Day_9[[#This Row],[End]]-Term3_Day_9[[#This Row],[Start]])*1440)</f>
        <v/>
      </c>
      <c r="BJ21" s="106" t="str">
        <f>IF(ISBLANK(Term3_Day_9[[#This Row],[Activity]]),"",IF(_xlfn.XLOOKUP(Term3_Day_9[[#This Row],[Activity]],Types_of_Activity[Type of Activity],Types_of_Activity[Classification])=1,Term3_Day_9[[#This Row],[Elapsed]],0))</f>
        <v/>
      </c>
      <c r="BK21" s="106" t="str">
        <f>IF(ISBLANK(Term3_Day_9[[#This Row],[Activity]]),"",IF(_xlfn.XLOOKUP(Term3_Day_9[[#This Row],[Activity]],Types_of_Activity[Type of Activity],Types_of_Activity[Classification])=2,Term3_Day_9[[#This Row],[Elapsed]],0))</f>
        <v/>
      </c>
      <c r="BL21" s="107"/>
      <c r="BM21" s="136"/>
      <c r="BN21" s="136"/>
      <c r="BO21" s="103"/>
      <c r="BP21" s="106" t="str">
        <f>IF(OR(ISBLANK(Term3_Day_10[[#This Row],[Start]]),ISBLANK(Term3_Day_10[[#This Row],[End]])),"",(Term3_Day_10[[#This Row],[End]]-Term3_Day_10[[#This Row],[Start]])*1440)</f>
        <v/>
      </c>
      <c r="BQ21" s="106" t="str">
        <f>IF(ISBLANK(Term3_Day_10[[#This Row],[Activity]]),"",IF(_xlfn.XLOOKUP(Term3_Day_10[[#This Row],[Activity]],Types_of_Activity[Type of Activity],Types_of_Activity[Classification])=1,Term3_Day_10[[#This Row],[Elapsed]],0))</f>
        <v/>
      </c>
      <c r="BR21" s="106" t="str">
        <f>IF(ISBLANK(Term3_Day_10[[#This Row],[Activity]]),"",IF(_xlfn.XLOOKUP(Term3_Day_10[[#This Row],[Activity]],Types_of_Activity[Type of Activity],Types_of_Activity[Classification])=2,Term3_Day_10[[#This Row],[Elapsed]],0))</f>
        <v/>
      </c>
      <c r="BS21" s="107"/>
    </row>
    <row r="22" spans="2:71" x14ac:dyDescent="0.3">
      <c r="B22" s="136"/>
      <c r="C22" s="136"/>
      <c r="D22" s="103"/>
      <c r="E22" s="106" t="str">
        <f>IF(OR(ISBLANK(Term3_Day_1[[#This Row],[Start]]),ISBLANK(Term3_Day_1[[#This Row],[End]])),"",(Term3_Day_1[[#This Row],[End]]-Term3_Day_1[[#This Row],[Start]])*1440)</f>
        <v/>
      </c>
      <c r="F22" s="106" t="str">
        <f>IF(ISBLANK(Term3_Day_1[[#This Row],[Activity]]),"",IF(_xlfn.XLOOKUP(Term3_Day_1[[#This Row],[Activity]],Types_of_Activity[Type of Activity],Types_of_Activity[Classification])=1,Term3_Day_1[[#This Row],[Elapsed]],0))</f>
        <v/>
      </c>
      <c r="G22" s="106" t="str">
        <f>IF(ISBLANK(Term3_Day_1[[#This Row],[Activity]]),"",IF(_xlfn.XLOOKUP(Term3_Day_1[[#This Row],[Activity]],Types_of_Activity[Type of Activity],Types_of_Activity[Classification])=2,Term3_Day_1[[#This Row],[Elapsed]],0))</f>
        <v/>
      </c>
      <c r="I22" s="136"/>
      <c r="J22" s="136"/>
      <c r="K22" s="103"/>
      <c r="L22" s="106" t="str">
        <f>IF(OR(ISBLANK(Term3_Day_2[[#This Row],[Start]]),ISBLANK(Term3_Day_2[[#This Row],[End]])),"",(Term3_Day_2[[#This Row],[End]]-Term3_Day_2[[#This Row],[Start]])*1440)</f>
        <v/>
      </c>
      <c r="M22" s="106" t="str">
        <f>IF(ISBLANK(Term3_Day_2[[#This Row],[Activity]]),"",IF(_xlfn.XLOOKUP(Term3_Day_2[[#This Row],[Activity]],Types_of_Activity[Type of Activity],Types_of_Activity[Classification])=1,Term3_Day_2[[#This Row],[Elapsed]],0))</f>
        <v/>
      </c>
      <c r="N22" s="106" t="str">
        <f>IF(ISBLANK(Term3_Day_2[[#This Row],[Activity]]),"",IF(_xlfn.XLOOKUP(Term3_Day_2[[#This Row],[Activity]],Types_of_Activity[Type of Activity],Types_of_Activity[Classification])=2,Term3_Day_2[[#This Row],[Elapsed]],0))</f>
        <v/>
      </c>
      <c r="P22" s="136"/>
      <c r="Q22" s="136"/>
      <c r="R22" s="103"/>
      <c r="S22" s="106" t="str">
        <f>IF(OR(ISBLANK(Term3_Day_3[[#This Row],[Start]]),ISBLANK(Term3_Day_3[[#This Row],[End]])),"",(Term3_Day_3[[#This Row],[End]]-Term3_Day_3[[#This Row],[Start]])*1440)</f>
        <v/>
      </c>
      <c r="T22" s="106" t="str">
        <f>IF(ISBLANK(Term3_Day_3[[#This Row],[Activity]]),"",IF(_xlfn.XLOOKUP(Term3_Day_3[[#This Row],[Activity]],Types_of_Activity[Type of Activity],Types_of_Activity[Classification])=1,Term3_Day_3[[#This Row],[Elapsed]],0))</f>
        <v/>
      </c>
      <c r="U22" s="106" t="str">
        <f>IF(ISBLANK(Term3_Day_3[[#This Row],[Activity]]),"",IF(_xlfn.XLOOKUP(Term3_Day_3[[#This Row],[Activity]],Types_of_Activity[Type of Activity],Types_of_Activity[Classification])=2,Term3_Day_3[[#This Row],[Elapsed]],0))</f>
        <v/>
      </c>
      <c r="W22" s="136"/>
      <c r="X22" s="136"/>
      <c r="Y22" s="103"/>
      <c r="Z22" s="106" t="str">
        <f>IF(OR(ISBLANK(Term3_Day_4[[#This Row],[Start]]),ISBLANK(Term3_Day_4[[#This Row],[End]])),"",(Term3_Day_4[[#This Row],[End]]-Term3_Day_4[[#This Row],[Start]])*1440)</f>
        <v/>
      </c>
      <c r="AA22" s="106" t="str">
        <f>IF(ISBLANK(Term3_Day_4[[#This Row],[Activity]]),"",IF(_xlfn.XLOOKUP(Term3_Day_4[[#This Row],[Activity]],Types_of_Activity[Type of Activity],Types_of_Activity[Classification])=1,Term3_Day_4[[#This Row],[Elapsed]],0))</f>
        <v/>
      </c>
      <c r="AB22" s="106" t="str">
        <f>IF(ISBLANK(Term3_Day_4[[#This Row],[Activity]]),"",IF(_xlfn.XLOOKUP(Term3_Day_4[[#This Row],[Activity]],Types_of_Activity[Type of Activity],Types_of_Activity[Classification])=2,Term3_Day_4[[#This Row],[Elapsed]],0))</f>
        <v/>
      </c>
      <c r="AD22" s="136"/>
      <c r="AE22" s="136"/>
      <c r="AF22" s="103"/>
      <c r="AG22" s="106" t="str">
        <f>IF(OR(ISBLANK(Term3_Day_5[[#This Row],[Start]]),ISBLANK(Term3_Day_5[[#This Row],[End]])),"",(Term3_Day_5[[#This Row],[End]]-Term3_Day_5[[#This Row],[Start]])*1440)</f>
        <v/>
      </c>
      <c r="AH22" s="106" t="str">
        <f>IF(ISBLANK(Term3_Day_5[[#This Row],[Activity]]),"",IF(_xlfn.XLOOKUP(Term3_Day_5[[#This Row],[Activity]],Types_of_Activity[Type of Activity],Types_of_Activity[Classification])=1,Term3_Day_5[[#This Row],[Elapsed]],0))</f>
        <v/>
      </c>
      <c r="AI22" s="106" t="str">
        <f>IF(ISBLANK(Term3_Day_5[[#This Row],[Activity]]),"",IF(_xlfn.XLOOKUP(Term3_Day_5[[#This Row],[Activity]],Types_of_Activity[Type of Activity],Types_of_Activity[Classification])=2,Term3_Day_5[[#This Row],[Elapsed]],0))</f>
        <v/>
      </c>
      <c r="AJ22" s="107"/>
      <c r="AK22" s="136"/>
      <c r="AL22" s="136"/>
      <c r="AM22" s="103"/>
      <c r="AN22" s="106" t="str">
        <f>IF(OR(ISBLANK(Term3_Day_6[[#This Row],[Start]]),ISBLANK(Term3_Day_6[[#This Row],[End]])),"",(Term3_Day_6[[#This Row],[End]]-Term3_Day_6[[#This Row],[Start]])*1440)</f>
        <v/>
      </c>
      <c r="AO22" s="106" t="str">
        <f>IF(ISBLANK(Term3_Day_6[[#This Row],[Activity]]),"",IF(_xlfn.XLOOKUP(Term3_Day_6[[#This Row],[Activity]],Types_of_Activity[Type of Activity],Types_of_Activity[Classification])=1,Term3_Day_6[[#This Row],[Elapsed]],0))</f>
        <v/>
      </c>
      <c r="AP22" s="106" t="str">
        <f>IF(ISBLANK(Term3_Day_6[[#This Row],[Activity]]),"",IF(_xlfn.XLOOKUP(Term3_Day_6[[#This Row],[Activity]],Types_of_Activity[Type of Activity],Types_of_Activity[Classification])=2,Term3_Day_6[[#This Row],[Elapsed]],0))</f>
        <v/>
      </c>
      <c r="AQ22" s="107"/>
      <c r="AR22" s="136"/>
      <c r="AS22" s="136"/>
      <c r="AT22" s="103"/>
      <c r="AU22" s="106" t="str">
        <f>IF(OR(ISBLANK(Term3_Day_7[[#This Row],[Start]]),ISBLANK(Term3_Day_7[[#This Row],[End]])),"",(Term3_Day_7[[#This Row],[End]]-Term3_Day_7[[#This Row],[Start]])*1440)</f>
        <v/>
      </c>
      <c r="AV22" s="106" t="str">
        <f>IF(ISBLANK(Term3_Day_7[[#This Row],[Activity]]),"",IF(_xlfn.XLOOKUP(Term3_Day_7[[#This Row],[Activity]],Types_of_Activity[Type of Activity],Types_of_Activity[Classification])=1,Term3_Day_7[[#This Row],[Elapsed]],0))</f>
        <v/>
      </c>
      <c r="AW22" s="106" t="str">
        <f>IF(ISBLANK(Term3_Day_7[[#This Row],[Activity]]),"",IF(_xlfn.XLOOKUP(Term3_Day_7[[#This Row],[Activity]],Types_of_Activity[Type of Activity],Types_of_Activity[Classification])=2,Term3_Day_7[[#This Row],[Elapsed]],0))</f>
        <v/>
      </c>
      <c r="AX22" s="107"/>
      <c r="AY22" s="136"/>
      <c r="AZ22" s="136"/>
      <c r="BA22" s="103"/>
      <c r="BB22" s="106" t="str">
        <f>IF(OR(ISBLANK(Term3_Day_8[[#This Row],[Start]]),ISBLANK(Term3_Day_8[[#This Row],[End]])),"",(Term3_Day_8[[#This Row],[End]]-Term3_Day_8[[#This Row],[Start]])*1440)</f>
        <v/>
      </c>
      <c r="BC22" s="106" t="str">
        <f>IF(ISBLANK(Term3_Day_8[[#This Row],[Activity]]),"",IF(_xlfn.XLOOKUP(Term3_Day_8[[#This Row],[Activity]],Types_of_Activity[Type of Activity],Types_of_Activity[Classification])=1,Term3_Day_8[[#This Row],[Elapsed]],0))</f>
        <v/>
      </c>
      <c r="BD22" s="106" t="str">
        <f>IF(ISBLANK(Term3_Day_8[[#This Row],[Activity]]),"",IF(_xlfn.XLOOKUP(Term3_Day_8[[#This Row],[Activity]],Types_of_Activity[Type of Activity],Types_of_Activity[Classification])=2,Term3_Day_8[[#This Row],[Elapsed]],0))</f>
        <v/>
      </c>
      <c r="BE22" s="107"/>
      <c r="BF22" s="136"/>
      <c r="BG22" s="136"/>
      <c r="BH22" s="103"/>
      <c r="BI22" s="106" t="str">
        <f>IF(OR(ISBLANK(Term3_Day_9[[#This Row],[Start]]),ISBLANK(Term3_Day_9[[#This Row],[End]])),"",(Term3_Day_9[[#This Row],[End]]-Term3_Day_9[[#This Row],[Start]])*1440)</f>
        <v/>
      </c>
      <c r="BJ22" s="106" t="str">
        <f>IF(ISBLANK(Term3_Day_9[[#This Row],[Activity]]),"",IF(_xlfn.XLOOKUP(Term3_Day_9[[#This Row],[Activity]],Types_of_Activity[Type of Activity],Types_of_Activity[Classification])=1,Term3_Day_9[[#This Row],[Elapsed]],0))</f>
        <v/>
      </c>
      <c r="BK22" s="106" t="str">
        <f>IF(ISBLANK(Term3_Day_9[[#This Row],[Activity]]),"",IF(_xlfn.XLOOKUP(Term3_Day_9[[#This Row],[Activity]],Types_of_Activity[Type of Activity],Types_of_Activity[Classification])=2,Term3_Day_9[[#This Row],[Elapsed]],0))</f>
        <v/>
      </c>
      <c r="BL22" s="107"/>
      <c r="BM22" s="136"/>
      <c r="BN22" s="136"/>
      <c r="BO22" s="103"/>
      <c r="BP22" s="106" t="str">
        <f>IF(OR(ISBLANK(Term3_Day_10[[#This Row],[Start]]),ISBLANK(Term3_Day_10[[#This Row],[End]])),"",(Term3_Day_10[[#This Row],[End]]-Term3_Day_10[[#This Row],[Start]])*1440)</f>
        <v/>
      </c>
      <c r="BQ22" s="106" t="str">
        <f>IF(ISBLANK(Term3_Day_10[[#This Row],[Activity]]),"",IF(_xlfn.XLOOKUP(Term3_Day_10[[#This Row],[Activity]],Types_of_Activity[Type of Activity],Types_of_Activity[Classification])=1,Term3_Day_10[[#This Row],[Elapsed]],0))</f>
        <v/>
      </c>
      <c r="BR22" s="106" t="str">
        <f>IF(ISBLANK(Term3_Day_10[[#This Row],[Activity]]),"",IF(_xlfn.XLOOKUP(Term3_Day_10[[#This Row],[Activity]],Types_of_Activity[Type of Activity],Types_of_Activity[Classification])=2,Term3_Day_10[[#This Row],[Elapsed]],0))</f>
        <v/>
      </c>
      <c r="BS22" s="107"/>
    </row>
    <row r="23" spans="2:71" x14ac:dyDescent="0.3">
      <c r="B23" s="136"/>
      <c r="C23" s="136"/>
      <c r="D23" s="103"/>
      <c r="E23" s="106" t="str">
        <f>IF(OR(ISBLANK(Term3_Day_1[[#This Row],[Start]]),ISBLANK(Term3_Day_1[[#This Row],[End]])),"",(Term3_Day_1[[#This Row],[End]]-Term3_Day_1[[#This Row],[Start]])*1440)</f>
        <v/>
      </c>
      <c r="F23" s="106" t="str">
        <f>IF(ISBLANK(Term3_Day_1[[#This Row],[Activity]]),"",IF(_xlfn.XLOOKUP(Term3_Day_1[[#This Row],[Activity]],Types_of_Activity[Type of Activity],Types_of_Activity[Classification])=1,Term3_Day_1[[#This Row],[Elapsed]],0))</f>
        <v/>
      </c>
      <c r="G23" s="106" t="str">
        <f>IF(ISBLANK(Term3_Day_1[[#This Row],[Activity]]),"",IF(_xlfn.XLOOKUP(Term3_Day_1[[#This Row],[Activity]],Types_of_Activity[Type of Activity],Types_of_Activity[Classification])=2,Term3_Day_1[[#This Row],[Elapsed]],0))</f>
        <v/>
      </c>
      <c r="I23" s="136"/>
      <c r="J23" s="136"/>
      <c r="K23" s="103"/>
      <c r="L23" s="106" t="str">
        <f>IF(OR(ISBLANK(Term3_Day_2[[#This Row],[Start]]),ISBLANK(Term3_Day_2[[#This Row],[End]])),"",(Term3_Day_2[[#This Row],[End]]-Term3_Day_2[[#This Row],[Start]])*1440)</f>
        <v/>
      </c>
      <c r="M23" s="106" t="str">
        <f>IF(ISBLANK(Term3_Day_2[[#This Row],[Activity]]),"",IF(_xlfn.XLOOKUP(Term3_Day_2[[#This Row],[Activity]],Types_of_Activity[Type of Activity],Types_of_Activity[Classification])=1,Term3_Day_2[[#This Row],[Elapsed]],0))</f>
        <v/>
      </c>
      <c r="N23" s="106" t="str">
        <f>IF(ISBLANK(Term3_Day_2[[#This Row],[Activity]]),"",IF(_xlfn.XLOOKUP(Term3_Day_2[[#This Row],[Activity]],Types_of_Activity[Type of Activity],Types_of_Activity[Classification])=2,Term3_Day_2[[#This Row],[Elapsed]],0))</f>
        <v/>
      </c>
      <c r="P23" s="136"/>
      <c r="Q23" s="136"/>
      <c r="R23" s="103"/>
      <c r="S23" s="106" t="str">
        <f>IF(OR(ISBLANK(Term3_Day_3[[#This Row],[Start]]),ISBLANK(Term3_Day_3[[#This Row],[End]])),"",(Term3_Day_3[[#This Row],[End]]-Term3_Day_3[[#This Row],[Start]])*1440)</f>
        <v/>
      </c>
      <c r="T23" s="106" t="str">
        <f>IF(ISBLANK(Term3_Day_3[[#This Row],[Activity]]),"",IF(_xlfn.XLOOKUP(Term3_Day_3[[#This Row],[Activity]],Types_of_Activity[Type of Activity],Types_of_Activity[Classification])=1,Term3_Day_3[[#This Row],[Elapsed]],0))</f>
        <v/>
      </c>
      <c r="U23" s="106" t="str">
        <f>IF(ISBLANK(Term3_Day_3[[#This Row],[Activity]]),"",IF(_xlfn.XLOOKUP(Term3_Day_3[[#This Row],[Activity]],Types_of_Activity[Type of Activity],Types_of_Activity[Classification])=2,Term3_Day_3[[#This Row],[Elapsed]],0))</f>
        <v/>
      </c>
      <c r="W23" s="136"/>
      <c r="X23" s="136"/>
      <c r="Y23" s="103"/>
      <c r="Z23" s="106" t="str">
        <f>IF(OR(ISBLANK(Term3_Day_4[[#This Row],[Start]]),ISBLANK(Term3_Day_4[[#This Row],[End]])),"",(Term3_Day_4[[#This Row],[End]]-Term3_Day_4[[#This Row],[Start]])*1440)</f>
        <v/>
      </c>
      <c r="AA23" s="106" t="str">
        <f>IF(ISBLANK(Term3_Day_4[[#This Row],[Activity]]),"",IF(_xlfn.XLOOKUP(Term3_Day_4[[#This Row],[Activity]],Types_of_Activity[Type of Activity],Types_of_Activity[Classification])=1,Term3_Day_4[[#This Row],[Elapsed]],0))</f>
        <v/>
      </c>
      <c r="AB23" s="106" t="str">
        <f>IF(ISBLANK(Term3_Day_4[[#This Row],[Activity]]),"",IF(_xlfn.XLOOKUP(Term3_Day_4[[#This Row],[Activity]],Types_of_Activity[Type of Activity],Types_of_Activity[Classification])=2,Term3_Day_4[[#This Row],[Elapsed]],0))</f>
        <v/>
      </c>
      <c r="AD23" s="136"/>
      <c r="AE23" s="136"/>
      <c r="AF23" s="103"/>
      <c r="AG23" s="106" t="str">
        <f>IF(OR(ISBLANK(Term3_Day_5[[#This Row],[Start]]),ISBLANK(Term3_Day_5[[#This Row],[End]])),"",(Term3_Day_5[[#This Row],[End]]-Term3_Day_5[[#This Row],[Start]])*1440)</f>
        <v/>
      </c>
      <c r="AH23" s="106" t="str">
        <f>IF(ISBLANK(Term3_Day_5[[#This Row],[Activity]]),"",IF(_xlfn.XLOOKUP(Term3_Day_5[[#This Row],[Activity]],Types_of_Activity[Type of Activity],Types_of_Activity[Classification])=1,Term3_Day_5[[#This Row],[Elapsed]],0))</f>
        <v/>
      </c>
      <c r="AI23" s="106" t="str">
        <f>IF(ISBLANK(Term3_Day_5[[#This Row],[Activity]]),"",IF(_xlfn.XLOOKUP(Term3_Day_5[[#This Row],[Activity]],Types_of_Activity[Type of Activity],Types_of_Activity[Classification])=2,Term3_Day_5[[#This Row],[Elapsed]],0))</f>
        <v/>
      </c>
      <c r="AJ23" s="107"/>
      <c r="AK23" s="136"/>
      <c r="AL23" s="136"/>
      <c r="AM23" s="103"/>
      <c r="AN23" s="106" t="str">
        <f>IF(OR(ISBLANK(Term3_Day_6[[#This Row],[Start]]),ISBLANK(Term3_Day_6[[#This Row],[End]])),"",(Term3_Day_6[[#This Row],[End]]-Term3_Day_6[[#This Row],[Start]])*1440)</f>
        <v/>
      </c>
      <c r="AO23" s="106" t="str">
        <f>IF(ISBLANK(Term3_Day_6[[#This Row],[Activity]]),"",IF(_xlfn.XLOOKUP(Term3_Day_6[[#This Row],[Activity]],Types_of_Activity[Type of Activity],Types_of_Activity[Classification])=1,Term3_Day_6[[#This Row],[Elapsed]],0))</f>
        <v/>
      </c>
      <c r="AP23" s="106" t="str">
        <f>IF(ISBLANK(Term3_Day_6[[#This Row],[Activity]]),"",IF(_xlfn.XLOOKUP(Term3_Day_6[[#This Row],[Activity]],Types_of_Activity[Type of Activity],Types_of_Activity[Classification])=2,Term3_Day_6[[#This Row],[Elapsed]],0))</f>
        <v/>
      </c>
      <c r="AQ23" s="107"/>
      <c r="AR23" s="136"/>
      <c r="AS23" s="136"/>
      <c r="AT23" s="103"/>
      <c r="AU23" s="106" t="str">
        <f>IF(OR(ISBLANK(Term3_Day_7[[#This Row],[Start]]),ISBLANK(Term3_Day_7[[#This Row],[End]])),"",(Term3_Day_7[[#This Row],[End]]-Term3_Day_7[[#This Row],[Start]])*1440)</f>
        <v/>
      </c>
      <c r="AV23" s="106" t="str">
        <f>IF(ISBLANK(Term3_Day_7[[#This Row],[Activity]]),"",IF(_xlfn.XLOOKUP(Term3_Day_7[[#This Row],[Activity]],Types_of_Activity[Type of Activity],Types_of_Activity[Classification])=1,Term3_Day_7[[#This Row],[Elapsed]],0))</f>
        <v/>
      </c>
      <c r="AW23" s="106" t="str">
        <f>IF(ISBLANK(Term3_Day_7[[#This Row],[Activity]]),"",IF(_xlfn.XLOOKUP(Term3_Day_7[[#This Row],[Activity]],Types_of_Activity[Type of Activity],Types_of_Activity[Classification])=2,Term3_Day_7[[#This Row],[Elapsed]],0))</f>
        <v/>
      </c>
      <c r="AX23" s="107"/>
      <c r="AY23" s="136"/>
      <c r="AZ23" s="136"/>
      <c r="BA23" s="103"/>
      <c r="BB23" s="106" t="str">
        <f>IF(OR(ISBLANK(Term3_Day_8[[#This Row],[Start]]),ISBLANK(Term3_Day_8[[#This Row],[End]])),"",(Term3_Day_8[[#This Row],[End]]-Term3_Day_8[[#This Row],[Start]])*1440)</f>
        <v/>
      </c>
      <c r="BC23" s="106" t="str">
        <f>IF(ISBLANK(Term3_Day_8[[#This Row],[Activity]]),"",IF(_xlfn.XLOOKUP(Term3_Day_8[[#This Row],[Activity]],Types_of_Activity[Type of Activity],Types_of_Activity[Classification])=1,Term3_Day_8[[#This Row],[Elapsed]],0))</f>
        <v/>
      </c>
      <c r="BD23" s="106" t="str">
        <f>IF(ISBLANK(Term3_Day_8[[#This Row],[Activity]]),"",IF(_xlfn.XLOOKUP(Term3_Day_8[[#This Row],[Activity]],Types_of_Activity[Type of Activity],Types_of_Activity[Classification])=2,Term3_Day_8[[#This Row],[Elapsed]],0))</f>
        <v/>
      </c>
      <c r="BE23" s="107"/>
      <c r="BF23" s="136"/>
      <c r="BG23" s="136"/>
      <c r="BH23" s="103"/>
      <c r="BI23" s="106" t="str">
        <f>IF(OR(ISBLANK(Term3_Day_9[[#This Row],[Start]]),ISBLANK(Term3_Day_9[[#This Row],[End]])),"",(Term3_Day_9[[#This Row],[End]]-Term3_Day_9[[#This Row],[Start]])*1440)</f>
        <v/>
      </c>
      <c r="BJ23" s="106" t="str">
        <f>IF(ISBLANK(Term3_Day_9[[#This Row],[Activity]]),"",IF(_xlfn.XLOOKUP(Term3_Day_9[[#This Row],[Activity]],Types_of_Activity[Type of Activity],Types_of_Activity[Classification])=1,Term3_Day_9[[#This Row],[Elapsed]],0))</f>
        <v/>
      </c>
      <c r="BK23" s="106" t="str">
        <f>IF(ISBLANK(Term3_Day_9[[#This Row],[Activity]]),"",IF(_xlfn.XLOOKUP(Term3_Day_9[[#This Row],[Activity]],Types_of_Activity[Type of Activity],Types_of_Activity[Classification])=2,Term3_Day_9[[#This Row],[Elapsed]],0))</f>
        <v/>
      </c>
      <c r="BL23" s="107"/>
      <c r="BM23" s="136"/>
      <c r="BN23" s="136"/>
      <c r="BO23" s="103"/>
      <c r="BP23" s="106" t="str">
        <f>IF(OR(ISBLANK(Term3_Day_10[[#This Row],[Start]]),ISBLANK(Term3_Day_10[[#This Row],[End]])),"",(Term3_Day_10[[#This Row],[End]]-Term3_Day_10[[#This Row],[Start]])*1440)</f>
        <v/>
      </c>
      <c r="BQ23" s="106" t="str">
        <f>IF(ISBLANK(Term3_Day_10[[#This Row],[Activity]]),"",IF(_xlfn.XLOOKUP(Term3_Day_10[[#This Row],[Activity]],Types_of_Activity[Type of Activity],Types_of_Activity[Classification])=1,Term3_Day_10[[#This Row],[Elapsed]],0))</f>
        <v/>
      </c>
      <c r="BR23" s="106" t="str">
        <f>IF(ISBLANK(Term3_Day_10[[#This Row],[Activity]]),"",IF(_xlfn.XLOOKUP(Term3_Day_10[[#This Row],[Activity]],Types_of_Activity[Type of Activity],Types_of_Activity[Classification])=2,Term3_Day_10[[#This Row],[Elapsed]],0))</f>
        <v/>
      </c>
      <c r="BS23" s="107"/>
    </row>
    <row r="24" spans="2:71" x14ac:dyDescent="0.3">
      <c r="B24" s="136"/>
      <c r="C24" s="136"/>
      <c r="D24" s="103"/>
      <c r="E24" s="106" t="str">
        <f>IF(OR(ISBLANK(Term3_Day_1[[#This Row],[Start]]),ISBLANK(Term3_Day_1[[#This Row],[End]])),"",(Term3_Day_1[[#This Row],[End]]-Term3_Day_1[[#This Row],[Start]])*1440)</f>
        <v/>
      </c>
      <c r="F24" s="106" t="str">
        <f>IF(ISBLANK(Term3_Day_1[[#This Row],[Activity]]),"",IF(_xlfn.XLOOKUP(Term3_Day_1[[#This Row],[Activity]],Types_of_Activity[Type of Activity],Types_of_Activity[Classification])=1,Term3_Day_1[[#This Row],[Elapsed]],0))</f>
        <v/>
      </c>
      <c r="G24" s="106" t="str">
        <f>IF(ISBLANK(Term3_Day_1[[#This Row],[Activity]]),"",IF(_xlfn.XLOOKUP(Term3_Day_1[[#This Row],[Activity]],Types_of_Activity[Type of Activity],Types_of_Activity[Classification])=2,Term3_Day_1[[#This Row],[Elapsed]],0))</f>
        <v/>
      </c>
      <c r="I24" s="136"/>
      <c r="J24" s="136"/>
      <c r="K24" s="103"/>
      <c r="L24" s="106" t="str">
        <f>IF(OR(ISBLANK(Term3_Day_2[[#This Row],[Start]]),ISBLANK(Term3_Day_2[[#This Row],[End]])),"",(Term3_Day_2[[#This Row],[End]]-Term3_Day_2[[#This Row],[Start]])*1440)</f>
        <v/>
      </c>
      <c r="M24" s="106" t="str">
        <f>IF(ISBLANK(Term3_Day_2[[#This Row],[Activity]]),"",IF(_xlfn.XLOOKUP(Term3_Day_2[[#This Row],[Activity]],Types_of_Activity[Type of Activity],Types_of_Activity[Classification])=1,Term3_Day_2[[#This Row],[Elapsed]],0))</f>
        <v/>
      </c>
      <c r="N24" s="106" t="str">
        <f>IF(ISBLANK(Term3_Day_2[[#This Row],[Activity]]),"",IF(_xlfn.XLOOKUP(Term3_Day_2[[#This Row],[Activity]],Types_of_Activity[Type of Activity],Types_of_Activity[Classification])=2,Term3_Day_2[[#This Row],[Elapsed]],0))</f>
        <v/>
      </c>
      <c r="P24" s="136"/>
      <c r="Q24" s="136"/>
      <c r="R24" s="103"/>
      <c r="S24" s="106" t="str">
        <f>IF(OR(ISBLANK(Term3_Day_3[[#This Row],[Start]]),ISBLANK(Term3_Day_3[[#This Row],[End]])),"",(Term3_Day_3[[#This Row],[End]]-Term3_Day_3[[#This Row],[Start]])*1440)</f>
        <v/>
      </c>
      <c r="T24" s="106" t="str">
        <f>IF(ISBLANK(Term3_Day_3[[#This Row],[Activity]]),"",IF(_xlfn.XLOOKUP(Term3_Day_3[[#This Row],[Activity]],Types_of_Activity[Type of Activity],Types_of_Activity[Classification])=1,Term3_Day_3[[#This Row],[Elapsed]],0))</f>
        <v/>
      </c>
      <c r="U24" s="106" t="str">
        <f>IF(ISBLANK(Term3_Day_3[[#This Row],[Activity]]),"",IF(_xlfn.XLOOKUP(Term3_Day_3[[#This Row],[Activity]],Types_of_Activity[Type of Activity],Types_of_Activity[Classification])=2,Term3_Day_3[[#This Row],[Elapsed]],0))</f>
        <v/>
      </c>
      <c r="W24" s="136"/>
      <c r="X24" s="136"/>
      <c r="Y24" s="103"/>
      <c r="Z24" s="106" t="str">
        <f>IF(OR(ISBLANK(Term3_Day_4[[#This Row],[Start]]),ISBLANK(Term3_Day_4[[#This Row],[End]])),"",(Term3_Day_4[[#This Row],[End]]-Term3_Day_4[[#This Row],[Start]])*1440)</f>
        <v/>
      </c>
      <c r="AA24" s="106" t="str">
        <f>IF(ISBLANK(Term3_Day_4[[#This Row],[Activity]]),"",IF(_xlfn.XLOOKUP(Term3_Day_4[[#This Row],[Activity]],Types_of_Activity[Type of Activity],Types_of_Activity[Classification])=1,Term3_Day_4[[#This Row],[Elapsed]],0))</f>
        <v/>
      </c>
      <c r="AB24" s="106" t="str">
        <f>IF(ISBLANK(Term3_Day_4[[#This Row],[Activity]]),"",IF(_xlfn.XLOOKUP(Term3_Day_4[[#This Row],[Activity]],Types_of_Activity[Type of Activity],Types_of_Activity[Classification])=2,Term3_Day_4[[#This Row],[Elapsed]],0))</f>
        <v/>
      </c>
      <c r="AD24" s="136"/>
      <c r="AE24" s="136"/>
      <c r="AF24" s="103"/>
      <c r="AG24" s="106" t="str">
        <f>IF(OR(ISBLANK(Term3_Day_5[[#This Row],[Start]]),ISBLANK(Term3_Day_5[[#This Row],[End]])),"",(Term3_Day_5[[#This Row],[End]]-Term3_Day_5[[#This Row],[Start]])*1440)</f>
        <v/>
      </c>
      <c r="AH24" s="106" t="str">
        <f>IF(ISBLANK(Term3_Day_5[[#This Row],[Activity]]),"",IF(_xlfn.XLOOKUP(Term3_Day_5[[#This Row],[Activity]],Types_of_Activity[Type of Activity],Types_of_Activity[Classification])=1,Term3_Day_5[[#This Row],[Elapsed]],0))</f>
        <v/>
      </c>
      <c r="AI24" s="106" t="str">
        <f>IF(ISBLANK(Term3_Day_5[[#This Row],[Activity]]),"",IF(_xlfn.XLOOKUP(Term3_Day_5[[#This Row],[Activity]],Types_of_Activity[Type of Activity],Types_of_Activity[Classification])=2,Term3_Day_5[[#This Row],[Elapsed]],0))</f>
        <v/>
      </c>
      <c r="AJ24" s="107"/>
      <c r="AK24" s="136"/>
      <c r="AL24" s="136"/>
      <c r="AM24" s="103"/>
      <c r="AN24" s="106" t="str">
        <f>IF(OR(ISBLANK(Term3_Day_6[[#This Row],[Start]]),ISBLANK(Term3_Day_6[[#This Row],[End]])),"",(Term3_Day_6[[#This Row],[End]]-Term3_Day_6[[#This Row],[Start]])*1440)</f>
        <v/>
      </c>
      <c r="AO24" s="106" t="str">
        <f>IF(ISBLANK(Term3_Day_6[[#This Row],[Activity]]),"",IF(_xlfn.XLOOKUP(Term3_Day_6[[#This Row],[Activity]],Types_of_Activity[Type of Activity],Types_of_Activity[Classification])=1,Term3_Day_6[[#This Row],[Elapsed]],0))</f>
        <v/>
      </c>
      <c r="AP24" s="106" t="str">
        <f>IF(ISBLANK(Term3_Day_6[[#This Row],[Activity]]),"",IF(_xlfn.XLOOKUP(Term3_Day_6[[#This Row],[Activity]],Types_of_Activity[Type of Activity],Types_of_Activity[Classification])=2,Term3_Day_6[[#This Row],[Elapsed]],0))</f>
        <v/>
      </c>
      <c r="AQ24" s="107"/>
      <c r="AR24" s="136"/>
      <c r="AS24" s="136"/>
      <c r="AT24" s="103"/>
      <c r="AU24" s="106" t="str">
        <f>IF(OR(ISBLANK(Term3_Day_7[[#This Row],[Start]]),ISBLANK(Term3_Day_7[[#This Row],[End]])),"",(Term3_Day_7[[#This Row],[End]]-Term3_Day_7[[#This Row],[Start]])*1440)</f>
        <v/>
      </c>
      <c r="AV24" s="106" t="str">
        <f>IF(ISBLANK(Term3_Day_7[[#This Row],[Activity]]),"",IF(_xlfn.XLOOKUP(Term3_Day_7[[#This Row],[Activity]],Types_of_Activity[Type of Activity],Types_of_Activity[Classification])=1,Term3_Day_7[[#This Row],[Elapsed]],0))</f>
        <v/>
      </c>
      <c r="AW24" s="106" t="str">
        <f>IF(ISBLANK(Term3_Day_7[[#This Row],[Activity]]),"",IF(_xlfn.XLOOKUP(Term3_Day_7[[#This Row],[Activity]],Types_of_Activity[Type of Activity],Types_of_Activity[Classification])=2,Term3_Day_7[[#This Row],[Elapsed]],0))</f>
        <v/>
      </c>
      <c r="AX24" s="107"/>
      <c r="AY24" s="136"/>
      <c r="AZ24" s="136"/>
      <c r="BA24" s="103"/>
      <c r="BB24" s="106" t="str">
        <f>IF(OR(ISBLANK(Term3_Day_8[[#This Row],[Start]]),ISBLANK(Term3_Day_8[[#This Row],[End]])),"",(Term3_Day_8[[#This Row],[End]]-Term3_Day_8[[#This Row],[Start]])*1440)</f>
        <v/>
      </c>
      <c r="BC24" s="106" t="str">
        <f>IF(ISBLANK(Term3_Day_8[[#This Row],[Activity]]),"",IF(_xlfn.XLOOKUP(Term3_Day_8[[#This Row],[Activity]],Types_of_Activity[Type of Activity],Types_of_Activity[Classification])=1,Term3_Day_8[[#This Row],[Elapsed]],0))</f>
        <v/>
      </c>
      <c r="BD24" s="106" t="str">
        <f>IF(ISBLANK(Term3_Day_8[[#This Row],[Activity]]),"",IF(_xlfn.XLOOKUP(Term3_Day_8[[#This Row],[Activity]],Types_of_Activity[Type of Activity],Types_of_Activity[Classification])=2,Term3_Day_8[[#This Row],[Elapsed]],0))</f>
        <v/>
      </c>
      <c r="BE24" s="107"/>
      <c r="BF24" s="136"/>
      <c r="BG24" s="136"/>
      <c r="BH24" s="103"/>
      <c r="BI24" s="106" t="str">
        <f>IF(OR(ISBLANK(Term3_Day_9[[#This Row],[Start]]),ISBLANK(Term3_Day_9[[#This Row],[End]])),"",(Term3_Day_9[[#This Row],[End]]-Term3_Day_9[[#This Row],[Start]])*1440)</f>
        <v/>
      </c>
      <c r="BJ24" s="106" t="str">
        <f>IF(ISBLANK(Term3_Day_9[[#This Row],[Activity]]),"",IF(_xlfn.XLOOKUP(Term3_Day_9[[#This Row],[Activity]],Types_of_Activity[Type of Activity],Types_of_Activity[Classification])=1,Term3_Day_9[[#This Row],[Elapsed]],0))</f>
        <v/>
      </c>
      <c r="BK24" s="106" t="str">
        <f>IF(ISBLANK(Term3_Day_9[[#This Row],[Activity]]),"",IF(_xlfn.XLOOKUP(Term3_Day_9[[#This Row],[Activity]],Types_of_Activity[Type of Activity],Types_of_Activity[Classification])=2,Term3_Day_9[[#This Row],[Elapsed]],0))</f>
        <v/>
      </c>
      <c r="BL24" s="107"/>
      <c r="BM24" s="136"/>
      <c r="BN24" s="136"/>
      <c r="BO24" s="103"/>
      <c r="BP24" s="106" t="str">
        <f>IF(OR(ISBLANK(Term3_Day_10[[#This Row],[Start]]),ISBLANK(Term3_Day_10[[#This Row],[End]])),"",(Term3_Day_10[[#This Row],[End]]-Term3_Day_10[[#This Row],[Start]])*1440)</f>
        <v/>
      </c>
      <c r="BQ24" s="106" t="str">
        <f>IF(ISBLANK(Term3_Day_10[[#This Row],[Activity]]),"",IF(_xlfn.XLOOKUP(Term3_Day_10[[#This Row],[Activity]],Types_of_Activity[Type of Activity],Types_of_Activity[Classification])=1,Term3_Day_10[[#This Row],[Elapsed]],0))</f>
        <v/>
      </c>
      <c r="BR24" s="106" t="str">
        <f>IF(ISBLANK(Term3_Day_10[[#This Row],[Activity]]),"",IF(_xlfn.XLOOKUP(Term3_Day_10[[#This Row],[Activity]],Types_of_Activity[Type of Activity],Types_of_Activity[Classification])=2,Term3_Day_10[[#This Row],[Elapsed]],0))</f>
        <v/>
      </c>
      <c r="BS24" s="107"/>
    </row>
    <row r="25" spans="2:71" x14ac:dyDescent="0.3">
      <c r="B25" s="136"/>
      <c r="C25" s="136"/>
      <c r="D25" s="103"/>
      <c r="E25" s="106" t="str">
        <f>IF(OR(ISBLANK(Term3_Day_1[[#This Row],[Start]]),ISBLANK(Term3_Day_1[[#This Row],[End]])),"",(Term3_Day_1[[#This Row],[End]]-Term3_Day_1[[#This Row],[Start]])*1440)</f>
        <v/>
      </c>
      <c r="F25" s="106" t="str">
        <f>IF(ISBLANK(Term3_Day_1[[#This Row],[Activity]]),"",IF(_xlfn.XLOOKUP(Term3_Day_1[[#This Row],[Activity]],Types_of_Activity[Type of Activity],Types_of_Activity[Classification])=1,Term3_Day_1[[#This Row],[Elapsed]],0))</f>
        <v/>
      </c>
      <c r="G25" s="106" t="str">
        <f>IF(ISBLANK(Term3_Day_1[[#This Row],[Activity]]),"",IF(_xlfn.XLOOKUP(Term3_Day_1[[#This Row],[Activity]],Types_of_Activity[Type of Activity],Types_of_Activity[Classification])=2,Term3_Day_1[[#This Row],[Elapsed]],0))</f>
        <v/>
      </c>
      <c r="I25" s="136"/>
      <c r="J25" s="136"/>
      <c r="K25" s="103"/>
      <c r="L25" s="106" t="str">
        <f>IF(OR(ISBLANK(Term3_Day_2[[#This Row],[Start]]),ISBLANK(Term3_Day_2[[#This Row],[End]])),"",(Term3_Day_2[[#This Row],[End]]-Term3_Day_2[[#This Row],[Start]])*1440)</f>
        <v/>
      </c>
      <c r="M25" s="106" t="str">
        <f>IF(ISBLANK(Term3_Day_2[[#This Row],[Activity]]),"",IF(_xlfn.XLOOKUP(Term3_Day_2[[#This Row],[Activity]],Types_of_Activity[Type of Activity],Types_of_Activity[Classification])=1,Term3_Day_2[[#This Row],[Elapsed]],0))</f>
        <v/>
      </c>
      <c r="N25" s="106" t="str">
        <f>IF(ISBLANK(Term3_Day_2[[#This Row],[Activity]]),"",IF(_xlfn.XLOOKUP(Term3_Day_2[[#This Row],[Activity]],Types_of_Activity[Type of Activity],Types_of_Activity[Classification])=2,Term3_Day_2[[#This Row],[Elapsed]],0))</f>
        <v/>
      </c>
      <c r="P25" s="136"/>
      <c r="Q25" s="136"/>
      <c r="R25" s="103"/>
      <c r="S25" s="106" t="str">
        <f>IF(OR(ISBLANK(Term3_Day_3[[#This Row],[Start]]),ISBLANK(Term3_Day_3[[#This Row],[End]])),"",(Term3_Day_3[[#This Row],[End]]-Term3_Day_3[[#This Row],[Start]])*1440)</f>
        <v/>
      </c>
      <c r="T25" s="106" t="str">
        <f>IF(ISBLANK(Term3_Day_3[[#This Row],[Activity]]),"",IF(_xlfn.XLOOKUP(Term3_Day_3[[#This Row],[Activity]],Types_of_Activity[Type of Activity],Types_of_Activity[Classification])=1,Term3_Day_3[[#This Row],[Elapsed]],0))</f>
        <v/>
      </c>
      <c r="U25" s="106" t="str">
        <f>IF(ISBLANK(Term3_Day_3[[#This Row],[Activity]]),"",IF(_xlfn.XLOOKUP(Term3_Day_3[[#This Row],[Activity]],Types_of_Activity[Type of Activity],Types_of_Activity[Classification])=2,Term3_Day_3[[#This Row],[Elapsed]],0))</f>
        <v/>
      </c>
      <c r="W25" s="136"/>
      <c r="X25" s="136"/>
      <c r="Y25" s="103"/>
      <c r="Z25" s="106" t="str">
        <f>IF(OR(ISBLANK(Term3_Day_4[[#This Row],[Start]]),ISBLANK(Term3_Day_4[[#This Row],[End]])),"",(Term3_Day_4[[#This Row],[End]]-Term3_Day_4[[#This Row],[Start]])*1440)</f>
        <v/>
      </c>
      <c r="AA25" s="106" t="str">
        <f>IF(ISBLANK(Term3_Day_4[[#This Row],[Activity]]),"",IF(_xlfn.XLOOKUP(Term3_Day_4[[#This Row],[Activity]],Types_of_Activity[Type of Activity],Types_of_Activity[Classification])=1,Term3_Day_4[[#This Row],[Elapsed]],0))</f>
        <v/>
      </c>
      <c r="AB25" s="106" t="str">
        <f>IF(ISBLANK(Term3_Day_4[[#This Row],[Activity]]),"",IF(_xlfn.XLOOKUP(Term3_Day_4[[#This Row],[Activity]],Types_of_Activity[Type of Activity],Types_of_Activity[Classification])=2,Term3_Day_4[[#This Row],[Elapsed]],0))</f>
        <v/>
      </c>
      <c r="AD25" s="136"/>
      <c r="AE25" s="136"/>
      <c r="AF25" s="103"/>
      <c r="AG25" s="106" t="str">
        <f>IF(OR(ISBLANK(Term3_Day_5[[#This Row],[Start]]),ISBLANK(Term3_Day_5[[#This Row],[End]])),"",(Term3_Day_5[[#This Row],[End]]-Term3_Day_5[[#This Row],[Start]])*1440)</f>
        <v/>
      </c>
      <c r="AH25" s="106" t="str">
        <f>IF(ISBLANK(Term3_Day_5[[#This Row],[Activity]]),"",IF(_xlfn.XLOOKUP(Term3_Day_5[[#This Row],[Activity]],Types_of_Activity[Type of Activity],Types_of_Activity[Classification])=1,Term3_Day_5[[#This Row],[Elapsed]],0))</f>
        <v/>
      </c>
      <c r="AI25" s="106" t="str">
        <f>IF(ISBLANK(Term3_Day_5[[#This Row],[Activity]]),"",IF(_xlfn.XLOOKUP(Term3_Day_5[[#This Row],[Activity]],Types_of_Activity[Type of Activity],Types_of_Activity[Classification])=2,Term3_Day_5[[#This Row],[Elapsed]],0))</f>
        <v/>
      </c>
      <c r="AJ25" s="107"/>
      <c r="AK25" s="136"/>
      <c r="AL25" s="136"/>
      <c r="AM25" s="103"/>
      <c r="AN25" s="106" t="str">
        <f>IF(OR(ISBLANK(Term3_Day_6[[#This Row],[Start]]),ISBLANK(Term3_Day_6[[#This Row],[End]])),"",(Term3_Day_6[[#This Row],[End]]-Term3_Day_6[[#This Row],[Start]])*1440)</f>
        <v/>
      </c>
      <c r="AO25" s="106" t="str">
        <f>IF(ISBLANK(Term3_Day_6[[#This Row],[Activity]]),"",IF(_xlfn.XLOOKUP(Term3_Day_6[[#This Row],[Activity]],Types_of_Activity[Type of Activity],Types_of_Activity[Classification])=1,Term3_Day_6[[#This Row],[Elapsed]],0))</f>
        <v/>
      </c>
      <c r="AP25" s="106" t="str">
        <f>IF(ISBLANK(Term3_Day_6[[#This Row],[Activity]]),"",IF(_xlfn.XLOOKUP(Term3_Day_6[[#This Row],[Activity]],Types_of_Activity[Type of Activity],Types_of_Activity[Classification])=2,Term3_Day_6[[#This Row],[Elapsed]],0))</f>
        <v/>
      </c>
      <c r="AQ25" s="107"/>
      <c r="AR25" s="136"/>
      <c r="AS25" s="136"/>
      <c r="AT25" s="103"/>
      <c r="AU25" s="106" t="str">
        <f>IF(OR(ISBLANK(Term3_Day_7[[#This Row],[Start]]),ISBLANK(Term3_Day_7[[#This Row],[End]])),"",(Term3_Day_7[[#This Row],[End]]-Term3_Day_7[[#This Row],[Start]])*1440)</f>
        <v/>
      </c>
      <c r="AV25" s="106" t="str">
        <f>IF(ISBLANK(Term3_Day_7[[#This Row],[Activity]]),"",IF(_xlfn.XLOOKUP(Term3_Day_7[[#This Row],[Activity]],Types_of_Activity[Type of Activity],Types_of_Activity[Classification])=1,Term3_Day_7[[#This Row],[Elapsed]],0))</f>
        <v/>
      </c>
      <c r="AW25" s="106" t="str">
        <f>IF(ISBLANK(Term3_Day_7[[#This Row],[Activity]]),"",IF(_xlfn.XLOOKUP(Term3_Day_7[[#This Row],[Activity]],Types_of_Activity[Type of Activity],Types_of_Activity[Classification])=2,Term3_Day_7[[#This Row],[Elapsed]],0))</f>
        <v/>
      </c>
      <c r="AX25" s="107"/>
      <c r="AY25" s="136"/>
      <c r="AZ25" s="136"/>
      <c r="BA25" s="103"/>
      <c r="BB25" s="106" t="str">
        <f>IF(OR(ISBLANK(Term3_Day_8[[#This Row],[Start]]),ISBLANK(Term3_Day_8[[#This Row],[End]])),"",(Term3_Day_8[[#This Row],[End]]-Term3_Day_8[[#This Row],[Start]])*1440)</f>
        <v/>
      </c>
      <c r="BC25" s="106" t="str">
        <f>IF(ISBLANK(Term3_Day_8[[#This Row],[Activity]]),"",IF(_xlfn.XLOOKUP(Term3_Day_8[[#This Row],[Activity]],Types_of_Activity[Type of Activity],Types_of_Activity[Classification])=1,Term3_Day_8[[#This Row],[Elapsed]],0))</f>
        <v/>
      </c>
      <c r="BD25" s="106" t="str">
        <f>IF(ISBLANK(Term3_Day_8[[#This Row],[Activity]]),"",IF(_xlfn.XLOOKUP(Term3_Day_8[[#This Row],[Activity]],Types_of_Activity[Type of Activity],Types_of_Activity[Classification])=2,Term3_Day_8[[#This Row],[Elapsed]],0))</f>
        <v/>
      </c>
      <c r="BE25" s="107"/>
      <c r="BF25" s="136"/>
      <c r="BG25" s="136"/>
      <c r="BH25" s="103"/>
      <c r="BI25" s="106" t="str">
        <f>IF(OR(ISBLANK(Term3_Day_9[[#This Row],[Start]]),ISBLANK(Term3_Day_9[[#This Row],[End]])),"",(Term3_Day_9[[#This Row],[End]]-Term3_Day_9[[#This Row],[Start]])*1440)</f>
        <v/>
      </c>
      <c r="BJ25" s="106" t="str">
        <f>IF(ISBLANK(Term3_Day_9[[#This Row],[Activity]]),"",IF(_xlfn.XLOOKUP(Term3_Day_9[[#This Row],[Activity]],Types_of_Activity[Type of Activity],Types_of_Activity[Classification])=1,Term3_Day_9[[#This Row],[Elapsed]],0))</f>
        <v/>
      </c>
      <c r="BK25" s="106" t="str">
        <f>IF(ISBLANK(Term3_Day_9[[#This Row],[Activity]]),"",IF(_xlfn.XLOOKUP(Term3_Day_9[[#This Row],[Activity]],Types_of_Activity[Type of Activity],Types_of_Activity[Classification])=2,Term3_Day_9[[#This Row],[Elapsed]],0))</f>
        <v/>
      </c>
      <c r="BL25" s="107"/>
      <c r="BM25" s="136"/>
      <c r="BN25" s="136"/>
      <c r="BO25" s="103"/>
      <c r="BP25" s="106" t="str">
        <f>IF(OR(ISBLANK(Term3_Day_10[[#This Row],[Start]]),ISBLANK(Term3_Day_10[[#This Row],[End]])),"",(Term3_Day_10[[#This Row],[End]]-Term3_Day_10[[#This Row],[Start]])*1440)</f>
        <v/>
      </c>
      <c r="BQ25" s="106" t="str">
        <f>IF(ISBLANK(Term3_Day_10[[#This Row],[Activity]]),"",IF(_xlfn.XLOOKUP(Term3_Day_10[[#This Row],[Activity]],Types_of_Activity[Type of Activity],Types_of_Activity[Classification])=1,Term3_Day_10[[#This Row],[Elapsed]],0))</f>
        <v/>
      </c>
      <c r="BR25" s="106" t="str">
        <f>IF(ISBLANK(Term3_Day_10[[#This Row],[Activity]]),"",IF(_xlfn.XLOOKUP(Term3_Day_10[[#This Row],[Activity]],Types_of_Activity[Type of Activity],Types_of_Activity[Classification])=2,Term3_Day_10[[#This Row],[Elapsed]],0))</f>
        <v/>
      </c>
      <c r="BS25" s="107"/>
    </row>
    <row r="26" spans="2:71" x14ac:dyDescent="0.3">
      <c r="B26" s="136"/>
      <c r="C26" s="136"/>
      <c r="D26" s="103"/>
      <c r="E26" s="106" t="str">
        <f>IF(OR(ISBLANK(Term3_Day_1[[#This Row],[Start]]),ISBLANK(Term3_Day_1[[#This Row],[End]])),"",(Term3_Day_1[[#This Row],[End]]-Term3_Day_1[[#This Row],[Start]])*1440)</f>
        <v/>
      </c>
      <c r="F26" s="106" t="str">
        <f>IF(ISBLANK(Term3_Day_1[[#This Row],[Activity]]),"",IF(_xlfn.XLOOKUP(Term3_Day_1[[#This Row],[Activity]],Types_of_Activity[Type of Activity],Types_of_Activity[Classification])=1,Term3_Day_1[[#This Row],[Elapsed]],0))</f>
        <v/>
      </c>
      <c r="G26" s="106" t="str">
        <f>IF(ISBLANK(Term3_Day_1[[#This Row],[Activity]]),"",IF(_xlfn.XLOOKUP(Term3_Day_1[[#This Row],[Activity]],Types_of_Activity[Type of Activity],Types_of_Activity[Classification])=2,Term3_Day_1[[#This Row],[Elapsed]],0))</f>
        <v/>
      </c>
      <c r="I26" s="136"/>
      <c r="J26" s="136"/>
      <c r="K26" s="103"/>
      <c r="L26" s="106" t="str">
        <f>IF(OR(ISBLANK(Term3_Day_2[[#This Row],[Start]]),ISBLANK(Term3_Day_2[[#This Row],[End]])),"",(Term3_Day_2[[#This Row],[End]]-Term3_Day_2[[#This Row],[Start]])*1440)</f>
        <v/>
      </c>
      <c r="M26" s="106" t="str">
        <f>IF(ISBLANK(Term3_Day_2[[#This Row],[Activity]]),"",IF(_xlfn.XLOOKUP(Term3_Day_2[[#This Row],[Activity]],Types_of_Activity[Type of Activity],Types_of_Activity[Classification])=1,Term3_Day_2[[#This Row],[Elapsed]],0))</f>
        <v/>
      </c>
      <c r="N26" s="106" t="str">
        <f>IF(ISBLANK(Term3_Day_2[[#This Row],[Activity]]),"",IF(_xlfn.XLOOKUP(Term3_Day_2[[#This Row],[Activity]],Types_of_Activity[Type of Activity],Types_of_Activity[Classification])=2,Term3_Day_2[[#This Row],[Elapsed]],0))</f>
        <v/>
      </c>
      <c r="P26" s="136"/>
      <c r="Q26" s="136"/>
      <c r="R26" s="103"/>
      <c r="S26" s="106" t="str">
        <f>IF(OR(ISBLANK(Term3_Day_3[[#This Row],[Start]]),ISBLANK(Term3_Day_3[[#This Row],[End]])),"",(Term3_Day_3[[#This Row],[End]]-Term3_Day_3[[#This Row],[Start]])*1440)</f>
        <v/>
      </c>
      <c r="T26" s="106" t="str">
        <f>IF(ISBLANK(Term3_Day_3[[#This Row],[Activity]]),"",IF(_xlfn.XLOOKUP(Term3_Day_3[[#This Row],[Activity]],Types_of_Activity[Type of Activity],Types_of_Activity[Classification])=1,Term3_Day_3[[#This Row],[Elapsed]],0))</f>
        <v/>
      </c>
      <c r="U26" s="106" t="str">
        <f>IF(ISBLANK(Term3_Day_3[[#This Row],[Activity]]),"",IF(_xlfn.XLOOKUP(Term3_Day_3[[#This Row],[Activity]],Types_of_Activity[Type of Activity],Types_of_Activity[Classification])=2,Term3_Day_3[[#This Row],[Elapsed]],0))</f>
        <v/>
      </c>
      <c r="W26" s="136"/>
      <c r="X26" s="136"/>
      <c r="Y26" s="103"/>
      <c r="Z26" s="106" t="str">
        <f>IF(OR(ISBLANK(Term3_Day_4[[#This Row],[Start]]),ISBLANK(Term3_Day_4[[#This Row],[End]])),"",(Term3_Day_4[[#This Row],[End]]-Term3_Day_4[[#This Row],[Start]])*1440)</f>
        <v/>
      </c>
      <c r="AA26" s="106" t="str">
        <f>IF(ISBLANK(Term3_Day_4[[#This Row],[Activity]]),"",IF(_xlfn.XLOOKUP(Term3_Day_4[[#This Row],[Activity]],Types_of_Activity[Type of Activity],Types_of_Activity[Classification])=1,Term3_Day_4[[#This Row],[Elapsed]],0))</f>
        <v/>
      </c>
      <c r="AB26" s="106" t="str">
        <f>IF(ISBLANK(Term3_Day_4[[#This Row],[Activity]]),"",IF(_xlfn.XLOOKUP(Term3_Day_4[[#This Row],[Activity]],Types_of_Activity[Type of Activity],Types_of_Activity[Classification])=2,Term3_Day_4[[#This Row],[Elapsed]],0))</f>
        <v/>
      </c>
      <c r="AD26" s="136"/>
      <c r="AE26" s="136"/>
      <c r="AF26" s="103"/>
      <c r="AG26" s="106" t="str">
        <f>IF(OR(ISBLANK(Term3_Day_5[[#This Row],[Start]]),ISBLANK(Term3_Day_5[[#This Row],[End]])),"",(Term3_Day_5[[#This Row],[End]]-Term3_Day_5[[#This Row],[Start]])*1440)</f>
        <v/>
      </c>
      <c r="AH26" s="106" t="str">
        <f>IF(ISBLANK(Term3_Day_5[[#This Row],[Activity]]),"",IF(_xlfn.XLOOKUP(Term3_Day_5[[#This Row],[Activity]],Types_of_Activity[Type of Activity],Types_of_Activity[Classification])=1,Term3_Day_5[[#This Row],[Elapsed]],0))</f>
        <v/>
      </c>
      <c r="AI26" s="106" t="str">
        <f>IF(ISBLANK(Term3_Day_5[[#This Row],[Activity]]),"",IF(_xlfn.XLOOKUP(Term3_Day_5[[#This Row],[Activity]],Types_of_Activity[Type of Activity],Types_of_Activity[Classification])=2,Term3_Day_5[[#This Row],[Elapsed]],0))</f>
        <v/>
      </c>
      <c r="AJ26" s="107"/>
      <c r="AK26" s="136"/>
      <c r="AL26" s="136"/>
      <c r="AM26" s="103"/>
      <c r="AN26" s="106" t="str">
        <f>IF(OR(ISBLANK(Term3_Day_6[[#This Row],[Start]]),ISBLANK(Term3_Day_6[[#This Row],[End]])),"",(Term3_Day_6[[#This Row],[End]]-Term3_Day_6[[#This Row],[Start]])*1440)</f>
        <v/>
      </c>
      <c r="AO26" s="106" t="str">
        <f>IF(ISBLANK(Term3_Day_6[[#This Row],[Activity]]),"",IF(_xlfn.XLOOKUP(Term3_Day_6[[#This Row],[Activity]],Types_of_Activity[Type of Activity],Types_of_Activity[Classification])=1,Term3_Day_6[[#This Row],[Elapsed]],0))</f>
        <v/>
      </c>
      <c r="AP26" s="106" t="str">
        <f>IF(ISBLANK(Term3_Day_6[[#This Row],[Activity]]),"",IF(_xlfn.XLOOKUP(Term3_Day_6[[#This Row],[Activity]],Types_of_Activity[Type of Activity],Types_of_Activity[Classification])=2,Term3_Day_6[[#This Row],[Elapsed]],0))</f>
        <v/>
      </c>
      <c r="AQ26" s="107"/>
      <c r="AR26" s="136"/>
      <c r="AS26" s="136"/>
      <c r="AT26" s="103"/>
      <c r="AU26" s="106" t="str">
        <f>IF(OR(ISBLANK(Term3_Day_7[[#This Row],[Start]]),ISBLANK(Term3_Day_7[[#This Row],[End]])),"",(Term3_Day_7[[#This Row],[End]]-Term3_Day_7[[#This Row],[Start]])*1440)</f>
        <v/>
      </c>
      <c r="AV26" s="106" t="str">
        <f>IF(ISBLANK(Term3_Day_7[[#This Row],[Activity]]),"",IF(_xlfn.XLOOKUP(Term3_Day_7[[#This Row],[Activity]],Types_of_Activity[Type of Activity],Types_of_Activity[Classification])=1,Term3_Day_7[[#This Row],[Elapsed]],0))</f>
        <v/>
      </c>
      <c r="AW26" s="106" t="str">
        <f>IF(ISBLANK(Term3_Day_7[[#This Row],[Activity]]),"",IF(_xlfn.XLOOKUP(Term3_Day_7[[#This Row],[Activity]],Types_of_Activity[Type of Activity],Types_of_Activity[Classification])=2,Term3_Day_7[[#This Row],[Elapsed]],0))</f>
        <v/>
      </c>
      <c r="AX26" s="107"/>
      <c r="AY26" s="136"/>
      <c r="AZ26" s="136"/>
      <c r="BA26" s="103"/>
      <c r="BB26" s="106" t="str">
        <f>IF(OR(ISBLANK(Term3_Day_8[[#This Row],[Start]]),ISBLANK(Term3_Day_8[[#This Row],[End]])),"",(Term3_Day_8[[#This Row],[End]]-Term3_Day_8[[#This Row],[Start]])*1440)</f>
        <v/>
      </c>
      <c r="BC26" s="106" t="str">
        <f>IF(ISBLANK(Term3_Day_8[[#This Row],[Activity]]),"",IF(_xlfn.XLOOKUP(Term3_Day_8[[#This Row],[Activity]],Types_of_Activity[Type of Activity],Types_of_Activity[Classification])=1,Term3_Day_8[[#This Row],[Elapsed]],0))</f>
        <v/>
      </c>
      <c r="BD26" s="106" t="str">
        <f>IF(ISBLANK(Term3_Day_8[[#This Row],[Activity]]),"",IF(_xlfn.XLOOKUP(Term3_Day_8[[#This Row],[Activity]],Types_of_Activity[Type of Activity],Types_of_Activity[Classification])=2,Term3_Day_8[[#This Row],[Elapsed]],0))</f>
        <v/>
      </c>
      <c r="BE26" s="107"/>
      <c r="BF26" s="136"/>
      <c r="BG26" s="136"/>
      <c r="BH26" s="103"/>
      <c r="BI26" s="106" t="str">
        <f>IF(OR(ISBLANK(Term3_Day_9[[#This Row],[Start]]),ISBLANK(Term3_Day_9[[#This Row],[End]])),"",(Term3_Day_9[[#This Row],[End]]-Term3_Day_9[[#This Row],[Start]])*1440)</f>
        <v/>
      </c>
      <c r="BJ26" s="106" t="str">
        <f>IF(ISBLANK(Term3_Day_9[[#This Row],[Activity]]),"",IF(_xlfn.XLOOKUP(Term3_Day_9[[#This Row],[Activity]],Types_of_Activity[Type of Activity],Types_of_Activity[Classification])=1,Term3_Day_9[[#This Row],[Elapsed]],0))</f>
        <v/>
      </c>
      <c r="BK26" s="106" t="str">
        <f>IF(ISBLANK(Term3_Day_9[[#This Row],[Activity]]),"",IF(_xlfn.XLOOKUP(Term3_Day_9[[#This Row],[Activity]],Types_of_Activity[Type of Activity],Types_of_Activity[Classification])=2,Term3_Day_9[[#This Row],[Elapsed]],0))</f>
        <v/>
      </c>
      <c r="BL26" s="107"/>
      <c r="BM26" s="136"/>
      <c r="BN26" s="136"/>
      <c r="BO26" s="103"/>
      <c r="BP26" s="106" t="str">
        <f>IF(OR(ISBLANK(Term3_Day_10[[#This Row],[Start]]),ISBLANK(Term3_Day_10[[#This Row],[End]])),"",(Term3_Day_10[[#This Row],[End]]-Term3_Day_10[[#This Row],[Start]])*1440)</f>
        <v/>
      </c>
      <c r="BQ26" s="106" t="str">
        <f>IF(ISBLANK(Term3_Day_10[[#This Row],[Activity]]),"",IF(_xlfn.XLOOKUP(Term3_Day_10[[#This Row],[Activity]],Types_of_Activity[Type of Activity],Types_of_Activity[Classification])=1,Term3_Day_10[[#This Row],[Elapsed]],0))</f>
        <v/>
      </c>
      <c r="BR26" s="106" t="str">
        <f>IF(ISBLANK(Term3_Day_10[[#This Row],[Activity]]),"",IF(_xlfn.XLOOKUP(Term3_Day_10[[#This Row],[Activity]],Types_of_Activity[Type of Activity],Types_of_Activity[Classification])=2,Term3_Day_10[[#This Row],[Elapsed]],0))</f>
        <v/>
      </c>
      <c r="BS26" s="107"/>
    </row>
    <row r="27" spans="2:71" x14ac:dyDescent="0.3">
      <c r="B27" s="136"/>
      <c r="C27" s="136"/>
      <c r="D27" s="103"/>
      <c r="E27" s="106" t="str">
        <f>IF(OR(ISBLANK(Term3_Day_1[[#This Row],[Start]]),ISBLANK(Term3_Day_1[[#This Row],[End]])),"",(Term3_Day_1[[#This Row],[End]]-Term3_Day_1[[#This Row],[Start]])*1440)</f>
        <v/>
      </c>
      <c r="F27" s="106" t="str">
        <f>IF(ISBLANK(Term3_Day_1[[#This Row],[Activity]]),"",IF(_xlfn.XLOOKUP(Term3_Day_1[[#This Row],[Activity]],Types_of_Activity[Type of Activity],Types_of_Activity[Classification])=1,Term3_Day_1[[#This Row],[Elapsed]],0))</f>
        <v/>
      </c>
      <c r="G27" s="106" t="str">
        <f>IF(ISBLANK(Term3_Day_1[[#This Row],[Activity]]),"",IF(_xlfn.XLOOKUP(Term3_Day_1[[#This Row],[Activity]],Types_of_Activity[Type of Activity],Types_of_Activity[Classification])=2,Term3_Day_1[[#This Row],[Elapsed]],0))</f>
        <v/>
      </c>
      <c r="I27" s="136"/>
      <c r="J27" s="136"/>
      <c r="K27" s="103"/>
      <c r="L27" s="106" t="str">
        <f>IF(OR(ISBLANK(Term3_Day_2[[#This Row],[Start]]),ISBLANK(Term3_Day_2[[#This Row],[End]])),"",(Term3_Day_2[[#This Row],[End]]-Term3_Day_2[[#This Row],[Start]])*1440)</f>
        <v/>
      </c>
      <c r="M27" s="106" t="str">
        <f>IF(ISBLANK(Term3_Day_2[[#This Row],[Activity]]),"",IF(_xlfn.XLOOKUP(Term3_Day_2[[#This Row],[Activity]],Types_of_Activity[Type of Activity],Types_of_Activity[Classification])=1,Term3_Day_2[[#This Row],[Elapsed]],0))</f>
        <v/>
      </c>
      <c r="N27" s="106" t="str">
        <f>IF(ISBLANK(Term3_Day_2[[#This Row],[Activity]]),"",IF(_xlfn.XLOOKUP(Term3_Day_2[[#This Row],[Activity]],Types_of_Activity[Type of Activity],Types_of_Activity[Classification])=2,Term3_Day_2[[#This Row],[Elapsed]],0))</f>
        <v/>
      </c>
      <c r="P27" s="136"/>
      <c r="Q27" s="136"/>
      <c r="R27" s="103"/>
      <c r="S27" s="106" t="str">
        <f>IF(OR(ISBLANK(Term3_Day_3[[#This Row],[Start]]),ISBLANK(Term3_Day_3[[#This Row],[End]])),"",(Term3_Day_3[[#This Row],[End]]-Term3_Day_3[[#This Row],[Start]])*1440)</f>
        <v/>
      </c>
      <c r="T27" s="106" t="str">
        <f>IF(ISBLANK(Term3_Day_3[[#This Row],[Activity]]),"",IF(_xlfn.XLOOKUP(Term3_Day_3[[#This Row],[Activity]],Types_of_Activity[Type of Activity],Types_of_Activity[Classification])=1,Term3_Day_3[[#This Row],[Elapsed]],0))</f>
        <v/>
      </c>
      <c r="U27" s="106" t="str">
        <f>IF(ISBLANK(Term3_Day_3[[#This Row],[Activity]]),"",IF(_xlfn.XLOOKUP(Term3_Day_3[[#This Row],[Activity]],Types_of_Activity[Type of Activity],Types_of_Activity[Classification])=2,Term3_Day_3[[#This Row],[Elapsed]],0))</f>
        <v/>
      </c>
      <c r="W27" s="136"/>
      <c r="X27" s="136"/>
      <c r="Y27" s="103"/>
      <c r="Z27" s="106" t="str">
        <f>IF(OR(ISBLANK(Term3_Day_4[[#This Row],[Start]]),ISBLANK(Term3_Day_4[[#This Row],[End]])),"",(Term3_Day_4[[#This Row],[End]]-Term3_Day_4[[#This Row],[Start]])*1440)</f>
        <v/>
      </c>
      <c r="AA27" s="106" t="str">
        <f>IF(ISBLANK(Term3_Day_4[[#This Row],[Activity]]),"",IF(_xlfn.XLOOKUP(Term3_Day_4[[#This Row],[Activity]],Types_of_Activity[Type of Activity],Types_of_Activity[Classification])=1,Term3_Day_4[[#This Row],[Elapsed]],0))</f>
        <v/>
      </c>
      <c r="AB27" s="106" t="str">
        <f>IF(ISBLANK(Term3_Day_4[[#This Row],[Activity]]),"",IF(_xlfn.XLOOKUP(Term3_Day_4[[#This Row],[Activity]],Types_of_Activity[Type of Activity],Types_of_Activity[Classification])=2,Term3_Day_4[[#This Row],[Elapsed]],0))</f>
        <v/>
      </c>
      <c r="AD27" s="136"/>
      <c r="AE27" s="136"/>
      <c r="AF27" s="103"/>
      <c r="AG27" s="106" t="str">
        <f>IF(OR(ISBLANK(Term3_Day_5[[#This Row],[Start]]),ISBLANK(Term3_Day_5[[#This Row],[End]])),"",(Term3_Day_5[[#This Row],[End]]-Term3_Day_5[[#This Row],[Start]])*1440)</f>
        <v/>
      </c>
      <c r="AH27" s="106" t="str">
        <f>IF(ISBLANK(Term3_Day_5[[#This Row],[Activity]]),"",IF(_xlfn.XLOOKUP(Term3_Day_5[[#This Row],[Activity]],Types_of_Activity[Type of Activity],Types_of_Activity[Classification])=1,Term3_Day_5[[#This Row],[Elapsed]],0))</f>
        <v/>
      </c>
      <c r="AI27" s="106" t="str">
        <f>IF(ISBLANK(Term3_Day_5[[#This Row],[Activity]]),"",IF(_xlfn.XLOOKUP(Term3_Day_5[[#This Row],[Activity]],Types_of_Activity[Type of Activity],Types_of_Activity[Classification])=2,Term3_Day_5[[#This Row],[Elapsed]],0))</f>
        <v/>
      </c>
      <c r="AJ27" s="107"/>
      <c r="AK27" s="136"/>
      <c r="AL27" s="136"/>
      <c r="AM27" s="103"/>
      <c r="AN27" s="106" t="str">
        <f>IF(OR(ISBLANK(Term3_Day_6[[#This Row],[Start]]),ISBLANK(Term3_Day_6[[#This Row],[End]])),"",(Term3_Day_6[[#This Row],[End]]-Term3_Day_6[[#This Row],[Start]])*1440)</f>
        <v/>
      </c>
      <c r="AO27" s="106" t="str">
        <f>IF(ISBLANK(Term3_Day_6[[#This Row],[Activity]]),"",IF(_xlfn.XLOOKUP(Term3_Day_6[[#This Row],[Activity]],Types_of_Activity[Type of Activity],Types_of_Activity[Classification])=1,Term3_Day_6[[#This Row],[Elapsed]],0))</f>
        <v/>
      </c>
      <c r="AP27" s="106" t="str">
        <f>IF(ISBLANK(Term3_Day_6[[#This Row],[Activity]]),"",IF(_xlfn.XLOOKUP(Term3_Day_6[[#This Row],[Activity]],Types_of_Activity[Type of Activity],Types_of_Activity[Classification])=2,Term3_Day_6[[#This Row],[Elapsed]],0))</f>
        <v/>
      </c>
      <c r="AQ27" s="107"/>
      <c r="AR27" s="136"/>
      <c r="AS27" s="136"/>
      <c r="AT27" s="103"/>
      <c r="AU27" s="106" t="str">
        <f>IF(OR(ISBLANK(Term3_Day_7[[#This Row],[Start]]),ISBLANK(Term3_Day_7[[#This Row],[End]])),"",(Term3_Day_7[[#This Row],[End]]-Term3_Day_7[[#This Row],[Start]])*1440)</f>
        <v/>
      </c>
      <c r="AV27" s="106" t="str">
        <f>IF(ISBLANK(Term3_Day_7[[#This Row],[Activity]]),"",IF(_xlfn.XLOOKUP(Term3_Day_7[[#This Row],[Activity]],Types_of_Activity[Type of Activity],Types_of_Activity[Classification])=1,Term3_Day_7[[#This Row],[Elapsed]],0))</f>
        <v/>
      </c>
      <c r="AW27" s="106" t="str">
        <f>IF(ISBLANK(Term3_Day_7[[#This Row],[Activity]]),"",IF(_xlfn.XLOOKUP(Term3_Day_7[[#This Row],[Activity]],Types_of_Activity[Type of Activity],Types_of_Activity[Classification])=2,Term3_Day_7[[#This Row],[Elapsed]],0))</f>
        <v/>
      </c>
      <c r="AX27" s="107"/>
      <c r="AY27" s="136"/>
      <c r="AZ27" s="136"/>
      <c r="BA27" s="103"/>
      <c r="BB27" s="106" t="str">
        <f>IF(OR(ISBLANK(Term3_Day_8[[#This Row],[Start]]),ISBLANK(Term3_Day_8[[#This Row],[End]])),"",(Term3_Day_8[[#This Row],[End]]-Term3_Day_8[[#This Row],[Start]])*1440)</f>
        <v/>
      </c>
      <c r="BC27" s="106" t="str">
        <f>IF(ISBLANK(Term3_Day_8[[#This Row],[Activity]]),"",IF(_xlfn.XLOOKUP(Term3_Day_8[[#This Row],[Activity]],Types_of_Activity[Type of Activity],Types_of_Activity[Classification])=1,Term3_Day_8[[#This Row],[Elapsed]],0))</f>
        <v/>
      </c>
      <c r="BD27" s="106" t="str">
        <f>IF(ISBLANK(Term3_Day_8[[#This Row],[Activity]]),"",IF(_xlfn.XLOOKUP(Term3_Day_8[[#This Row],[Activity]],Types_of_Activity[Type of Activity],Types_of_Activity[Classification])=2,Term3_Day_8[[#This Row],[Elapsed]],0))</f>
        <v/>
      </c>
      <c r="BE27" s="107"/>
      <c r="BF27" s="136"/>
      <c r="BG27" s="136"/>
      <c r="BH27" s="103"/>
      <c r="BI27" s="106" t="str">
        <f>IF(OR(ISBLANK(Term3_Day_9[[#This Row],[Start]]),ISBLANK(Term3_Day_9[[#This Row],[End]])),"",(Term3_Day_9[[#This Row],[End]]-Term3_Day_9[[#This Row],[Start]])*1440)</f>
        <v/>
      </c>
      <c r="BJ27" s="106" t="str">
        <f>IF(ISBLANK(Term3_Day_9[[#This Row],[Activity]]),"",IF(_xlfn.XLOOKUP(Term3_Day_9[[#This Row],[Activity]],Types_of_Activity[Type of Activity],Types_of_Activity[Classification])=1,Term3_Day_9[[#This Row],[Elapsed]],0))</f>
        <v/>
      </c>
      <c r="BK27" s="106" t="str">
        <f>IF(ISBLANK(Term3_Day_9[[#This Row],[Activity]]),"",IF(_xlfn.XLOOKUP(Term3_Day_9[[#This Row],[Activity]],Types_of_Activity[Type of Activity],Types_of_Activity[Classification])=2,Term3_Day_9[[#This Row],[Elapsed]],0))</f>
        <v/>
      </c>
      <c r="BL27" s="107"/>
      <c r="BM27" s="136"/>
      <c r="BN27" s="136"/>
      <c r="BO27" s="103"/>
      <c r="BP27" s="106" t="str">
        <f>IF(OR(ISBLANK(Term3_Day_10[[#This Row],[Start]]),ISBLANK(Term3_Day_10[[#This Row],[End]])),"",(Term3_Day_10[[#This Row],[End]]-Term3_Day_10[[#This Row],[Start]])*1440)</f>
        <v/>
      </c>
      <c r="BQ27" s="106" t="str">
        <f>IF(ISBLANK(Term3_Day_10[[#This Row],[Activity]]),"",IF(_xlfn.XLOOKUP(Term3_Day_10[[#This Row],[Activity]],Types_of_Activity[Type of Activity],Types_of_Activity[Classification])=1,Term3_Day_10[[#This Row],[Elapsed]],0))</f>
        <v/>
      </c>
      <c r="BR27" s="106" t="str">
        <f>IF(ISBLANK(Term3_Day_10[[#This Row],[Activity]]),"",IF(_xlfn.XLOOKUP(Term3_Day_10[[#This Row],[Activity]],Types_of_Activity[Type of Activity],Types_of_Activity[Classification])=2,Term3_Day_10[[#This Row],[Elapsed]],0))</f>
        <v/>
      </c>
      <c r="BS27" s="107"/>
    </row>
    <row r="28" spans="2:71" x14ac:dyDescent="0.3">
      <c r="B28" s="136"/>
      <c r="C28" s="136"/>
      <c r="D28" s="103"/>
      <c r="E28" s="106" t="str">
        <f>IF(OR(ISBLANK(Term3_Day_1[[#This Row],[Start]]),ISBLANK(Term3_Day_1[[#This Row],[End]])),"",(Term3_Day_1[[#This Row],[End]]-Term3_Day_1[[#This Row],[Start]])*1440)</f>
        <v/>
      </c>
      <c r="F28" s="106" t="str">
        <f>IF(ISBLANK(Term3_Day_1[[#This Row],[Activity]]),"",IF(_xlfn.XLOOKUP(Term3_Day_1[[#This Row],[Activity]],Types_of_Activity[Type of Activity],Types_of_Activity[Classification])=1,Term3_Day_1[[#This Row],[Elapsed]],0))</f>
        <v/>
      </c>
      <c r="G28" s="106" t="str">
        <f>IF(ISBLANK(Term3_Day_1[[#This Row],[Activity]]),"",IF(_xlfn.XLOOKUP(Term3_Day_1[[#This Row],[Activity]],Types_of_Activity[Type of Activity],Types_of_Activity[Classification])=2,Term3_Day_1[[#This Row],[Elapsed]],0))</f>
        <v/>
      </c>
      <c r="I28" s="136"/>
      <c r="J28" s="136"/>
      <c r="K28" s="103"/>
      <c r="L28" s="106" t="str">
        <f>IF(OR(ISBLANK(Term3_Day_2[[#This Row],[Start]]),ISBLANK(Term3_Day_2[[#This Row],[End]])),"",(Term3_Day_2[[#This Row],[End]]-Term3_Day_2[[#This Row],[Start]])*1440)</f>
        <v/>
      </c>
      <c r="M28" s="106" t="str">
        <f>IF(ISBLANK(Term3_Day_2[[#This Row],[Activity]]),"",IF(_xlfn.XLOOKUP(Term3_Day_2[[#This Row],[Activity]],Types_of_Activity[Type of Activity],Types_of_Activity[Classification])=1,Term3_Day_2[[#This Row],[Elapsed]],0))</f>
        <v/>
      </c>
      <c r="N28" s="106" t="str">
        <f>IF(ISBLANK(Term3_Day_2[[#This Row],[Activity]]),"",IF(_xlfn.XLOOKUP(Term3_Day_2[[#This Row],[Activity]],Types_of_Activity[Type of Activity],Types_of_Activity[Classification])=2,Term3_Day_2[[#This Row],[Elapsed]],0))</f>
        <v/>
      </c>
      <c r="P28" s="136"/>
      <c r="Q28" s="136"/>
      <c r="R28" s="103"/>
      <c r="S28" s="106" t="str">
        <f>IF(OR(ISBLANK(Term3_Day_3[[#This Row],[Start]]),ISBLANK(Term3_Day_3[[#This Row],[End]])),"",(Term3_Day_3[[#This Row],[End]]-Term3_Day_3[[#This Row],[Start]])*1440)</f>
        <v/>
      </c>
      <c r="T28" s="106" t="str">
        <f>IF(ISBLANK(Term3_Day_3[[#This Row],[Activity]]),"",IF(_xlfn.XLOOKUP(Term3_Day_3[[#This Row],[Activity]],Types_of_Activity[Type of Activity],Types_of_Activity[Classification])=1,Term3_Day_3[[#This Row],[Elapsed]],0))</f>
        <v/>
      </c>
      <c r="U28" s="106" t="str">
        <f>IF(ISBLANK(Term3_Day_3[[#This Row],[Activity]]),"",IF(_xlfn.XLOOKUP(Term3_Day_3[[#This Row],[Activity]],Types_of_Activity[Type of Activity],Types_of_Activity[Classification])=2,Term3_Day_3[[#This Row],[Elapsed]],0))</f>
        <v/>
      </c>
      <c r="W28" s="136"/>
      <c r="X28" s="136"/>
      <c r="Y28" s="103"/>
      <c r="Z28" s="106" t="str">
        <f>IF(OR(ISBLANK(Term3_Day_4[[#This Row],[Start]]),ISBLANK(Term3_Day_4[[#This Row],[End]])),"",(Term3_Day_4[[#This Row],[End]]-Term3_Day_4[[#This Row],[Start]])*1440)</f>
        <v/>
      </c>
      <c r="AA28" s="106" t="str">
        <f>IF(ISBLANK(Term3_Day_4[[#This Row],[Activity]]),"",IF(_xlfn.XLOOKUP(Term3_Day_4[[#This Row],[Activity]],Types_of_Activity[Type of Activity],Types_of_Activity[Classification])=1,Term3_Day_4[[#This Row],[Elapsed]],0))</f>
        <v/>
      </c>
      <c r="AB28" s="106" t="str">
        <f>IF(ISBLANK(Term3_Day_4[[#This Row],[Activity]]),"",IF(_xlfn.XLOOKUP(Term3_Day_4[[#This Row],[Activity]],Types_of_Activity[Type of Activity],Types_of_Activity[Classification])=2,Term3_Day_4[[#This Row],[Elapsed]],0))</f>
        <v/>
      </c>
      <c r="AD28" s="136"/>
      <c r="AE28" s="136"/>
      <c r="AF28" s="103"/>
      <c r="AG28" s="106" t="str">
        <f>IF(OR(ISBLANK(Term3_Day_5[[#This Row],[Start]]),ISBLANK(Term3_Day_5[[#This Row],[End]])),"",(Term3_Day_5[[#This Row],[End]]-Term3_Day_5[[#This Row],[Start]])*1440)</f>
        <v/>
      </c>
      <c r="AH28" s="106" t="str">
        <f>IF(ISBLANK(Term3_Day_5[[#This Row],[Activity]]),"",IF(_xlfn.XLOOKUP(Term3_Day_5[[#This Row],[Activity]],Types_of_Activity[Type of Activity],Types_of_Activity[Classification])=1,Term3_Day_5[[#This Row],[Elapsed]],0))</f>
        <v/>
      </c>
      <c r="AI28" s="106" t="str">
        <f>IF(ISBLANK(Term3_Day_5[[#This Row],[Activity]]),"",IF(_xlfn.XLOOKUP(Term3_Day_5[[#This Row],[Activity]],Types_of_Activity[Type of Activity],Types_of_Activity[Classification])=2,Term3_Day_5[[#This Row],[Elapsed]],0))</f>
        <v/>
      </c>
      <c r="AJ28" s="107"/>
      <c r="AK28" s="136"/>
      <c r="AL28" s="136"/>
      <c r="AM28" s="103"/>
      <c r="AN28" s="106" t="str">
        <f>IF(OR(ISBLANK(Term3_Day_6[[#This Row],[Start]]),ISBLANK(Term3_Day_6[[#This Row],[End]])),"",(Term3_Day_6[[#This Row],[End]]-Term3_Day_6[[#This Row],[Start]])*1440)</f>
        <v/>
      </c>
      <c r="AO28" s="106" t="str">
        <f>IF(ISBLANK(Term3_Day_6[[#This Row],[Activity]]),"",IF(_xlfn.XLOOKUP(Term3_Day_6[[#This Row],[Activity]],Types_of_Activity[Type of Activity],Types_of_Activity[Classification])=1,Term3_Day_6[[#This Row],[Elapsed]],0))</f>
        <v/>
      </c>
      <c r="AP28" s="106" t="str">
        <f>IF(ISBLANK(Term3_Day_6[[#This Row],[Activity]]),"",IF(_xlfn.XLOOKUP(Term3_Day_6[[#This Row],[Activity]],Types_of_Activity[Type of Activity],Types_of_Activity[Classification])=2,Term3_Day_6[[#This Row],[Elapsed]],0))</f>
        <v/>
      </c>
      <c r="AQ28" s="107"/>
      <c r="AR28" s="136"/>
      <c r="AS28" s="136"/>
      <c r="AT28" s="103"/>
      <c r="AU28" s="106" t="str">
        <f>IF(OR(ISBLANK(Term3_Day_7[[#This Row],[Start]]),ISBLANK(Term3_Day_7[[#This Row],[End]])),"",(Term3_Day_7[[#This Row],[End]]-Term3_Day_7[[#This Row],[Start]])*1440)</f>
        <v/>
      </c>
      <c r="AV28" s="106" t="str">
        <f>IF(ISBLANK(Term3_Day_7[[#This Row],[Activity]]),"",IF(_xlfn.XLOOKUP(Term3_Day_7[[#This Row],[Activity]],Types_of_Activity[Type of Activity],Types_of_Activity[Classification])=1,Term3_Day_7[[#This Row],[Elapsed]],0))</f>
        <v/>
      </c>
      <c r="AW28" s="106" t="str">
        <f>IF(ISBLANK(Term3_Day_7[[#This Row],[Activity]]),"",IF(_xlfn.XLOOKUP(Term3_Day_7[[#This Row],[Activity]],Types_of_Activity[Type of Activity],Types_of_Activity[Classification])=2,Term3_Day_7[[#This Row],[Elapsed]],0))</f>
        <v/>
      </c>
      <c r="AX28" s="107"/>
      <c r="AY28" s="136"/>
      <c r="AZ28" s="136"/>
      <c r="BA28" s="103"/>
      <c r="BB28" s="106" t="str">
        <f>IF(OR(ISBLANK(Term3_Day_8[[#This Row],[Start]]),ISBLANK(Term3_Day_8[[#This Row],[End]])),"",(Term3_Day_8[[#This Row],[End]]-Term3_Day_8[[#This Row],[Start]])*1440)</f>
        <v/>
      </c>
      <c r="BC28" s="106" t="str">
        <f>IF(ISBLANK(Term3_Day_8[[#This Row],[Activity]]),"",IF(_xlfn.XLOOKUP(Term3_Day_8[[#This Row],[Activity]],Types_of_Activity[Type of Activity],Types_of_Activity[Classification])=1,Term3_Day_8[[#This Row],[Elapsed]],0))</f>
        <v/>
      </c>
      <c r="BD28" s="106" t="str">
        <f>IF(ISBLANK(Term3_Day_8[[#This Row],[Activity]]),"",IF(_xlfn.XLOOKUP(Term3_Day_8[[#This Row],[Activity]],Types_of_Activity[Type of Activity],Types_of_Activity[Classification])=2,Term3_Day_8[[#This Row],[Elapsed]],0))</f>
        <v/>
      </c>
      <c r="BE28" s="107"/>
      <c r="BF28" s="136"/>
      <c r="BG28" s="136"/>
      <c r="BH28" s="103"/>
      <c r="BI28" s="106" t="str">
        <f>IF(OR(ISBLANK(Term3_Day_9[[#This Row],[Start]]),ISBLANK(Term3_Day_9[[#This Row],[End]])),"",(Term3_Day_9[[#This Row],[End]]-Term3_Day_9[[#This Row],[Start]])*1440)</f>
        <v/>
      </c>
      <c r="BJ28" s="106" t="str">
        <f>IF(ISBLANK(Term3_Day_9[[#This Row],[Activity]]),"",IF(_xlfn.XLOOKUP(Term3_Day_9[[#This Row],[Activity]],Types_of_Activity[Type of Activity],Types_of_Activity[Classification])=1,Term3_Day_9[[#This Row],[Elapsed]],0))</f>
        <v/>
      </c>
      <c r="BK28" s="106" t="str">
        <f>IF(ISBLANK(Term3_Day_9[[#This Row],[Activity]]),"",IF(_xlfn.XLOOKUP(Term3_Day_9[[#This Row],[Activity]],Types_of_Activity[Type of Activity],Types_of_Activity[Classification])=2,Term3_Day_9[[#This Row],[Elapsed]],0))</f>
        <v/>
      </c>
      <c r="BL28" s="107"/>
      <c r="BM28" s="136"/>
      <c r="BN28" s="136"/>
      <c r="BO28" s="103"/>
      <c r="BP28" s="106" t="str">
        <f>IF(OR(ISBLANK(Term3_Day_10[[#This Row],[Start]]),ISBLANK(Term3_Day_10[[#This Row],[End]])),"",(Term3_Day_10[[#This Row],[End]]-Term3_Day_10[[#This Row],[Start]])*1440)</f>
        <v/>
      </c>
      <c r="BQ28" s="106" t="str">
        <f>IF(ISBLANK(Term3_Day_10[[#This Row],[Activity]]),"",IF(_xlfn.XLOOKUP(Term3_Day_10[[#This Row],[Activity]],Types_of_Activity[Type of Activity],Types_of_Activity[Classification])=1,Term3_Day_10[[#This Row],[Elapsed]],0))</f>
        <v/>
      </c>
      <c r="BR28" s="106" t="str">
        <f>IF(ISBLANK(Term3_Day_10[[#This Row],[Activity]]),"",IF(_xlfn.XLOOKUP(Term3_Day_10[[#This Row],[Activity]],Types_of_Activity[Type of Activity],Types_of_Activity[Classification])=2,Term3_Day_10[[#This Row],[Elapsed]],0))</f>
        <v/>
      </c>
      <c r="BS28" s="107"/>
    </row>
    <row r="29" spans="2:71" x14ac:dyDescent="0.3">
      <c r="B29" s="136"/>
      <c r="C29" s="136"/>
      <c r="D29" s="103"/>
      <c r="E29" s="106" t="str">
        <f>IF(OR(ISBLANK(Term3_Day_1[[#This Row],[Start]]),ISBLANK(Term3_Day_1[[#This Row],[End]])),"",(Term3_Day_1[[#This Row],[End]]-Term3_Day_1[[#This Row],[Start]])*1440)</f>
        <v/>
      </c>
      <c r="F29" s="106" t="str">
        <f>IF(ISBLANK(Term3_Day_1[[#This Row],[Activity]]),"",IF(_xlfn.XLOOKUP(Term3_Day_1[[#This Row],[Activity]],Types_of_Activity[Type of Activity],Types_of_Activity[Classification])=1,Term3_Day_1[[#This Row],[Elapsed]],0))</f>
        <v/>
      </c>
      <c r="G29" s="106" t="str">
        <f>IF(ISBLANK(Term3_Day_1[[#This Row],[Activity]]),"",IF(_xlfn.XLOOKUP(Term3_Day_1[[#This Row],[Activity]],Types_of_Activity[Type of Activity],Types_of_Activity[Classification])=2,Term3_Day_1[[#This Row],[Elapsed]],0))</f>
        <v/>
      </c>
      <c r="I29" s="136"/>
      <c r="J29" s="136"/>
      <c r="K29" s="103"/>
      <c r="L29" s="106" t="str">
        <f>IF(OR(ISBLANK(Term3_Day_2[[#This Row],[Start]]),ISBLANK(Term3_Day_2[[#This Row],[End]])),"",(Term3_Day_2[[#This Row],[End]]-Term3_Day_2[[#This Row],[Start]])*1440)</f>
        <v/>
      </c>
      <c r="M29" s="106" t="str">
        <f>IF(ISBLANK(Term3_Day_2[[#This Row],[Activity]]),"",IF(_xlfn.XLOOKUP(Term3_Day_2[[#This Row],[Activity]],Types_of_Activity[Type of Activity],Types_of_Activity[Classification])=1,Term3_Day_2[[#This Row],[Elapsed]],0))</f>
        <v/>
      </c>
      <c r="N29" s="106" t="str">
        <f>IF(ISBLANK(Term3_Day_2[[#This Row],[Activity]]),"",IF(_xlfn.XLOOKUP(Term3_Day_2[[#This Row],[Activity]],Types_of_Activity[Type of Activity],Types_of_Activity[Classification])=2,Term3_Day_2[[#This Row],[Elapsed]],0))</f>
        <v/>
      </c>
      <c r="P29" s="136"/>
      <c r="Q29" s="136"/>
      <c r="R29" s="103"/>
      <c r="S29" s="106" t="str">
        <f>IF(OR(ISBLANK(Term3_Day_3[[#This Row],[Start]]),ISBLANK(Term3_Day_3[[#This Row],[End]])),"",(Term3_Day_3[[#This Row],[End]]-Term3_Day_3[[#This Row],[Start]])*1440)</f>
        <v/>
      </c>
      <c r="T29" s="106" t="str">
        <f>IF(ISBLANK(Term3_Day_3[[#This Row],[Activity]]),"",IF(_xlfn.XLOOKUP(Term3_Day_3[[#This Row],[Activity]],Types_of_Activity[Type of Activity],Types_of_Activity[Classification])=1,Term3_Day_3[[#This Row],[Elapsed]],0))</f>
        <v/>
      </c>
      <c r="U29" s="106" t="str">
        <f>IF(ISBLANK(Term3_Day_3[[#This Row],[Activity]]),"",IF(_xlfn.XLOOKUP(Term3_Day_3[[#This Row],[Activity]],Types_of_Activity[Type of Activity],Types_of_Activity[Classification])=2,Term3_Day_3[[#This Row],[Elapsed]],0))</f>
        <v/>
      </c>
      <c r="W29" s="136"/>
      <c r="X29" s="136"/>
      <c r="Y29" s="103"/>
      <c r="Z29" s="106" t="str">
        <f>IF(OR(ISBLANK(Term3_Day_4[[#This Row],[Start]]),ISBLANK(Term3_Day_4[[#This Row],[End]])),"",(Term3_Day_4[[#This Row],[End]]-Term3_Day_4[[#This Row],[Start]])*1440)</f>
        <v/>
      </c>
      <c r="AA29" s="106" t="str">
        <f>IF(ISBLANK(Term3_Day_4[[#This Row],[Activity]]),"",IF(_xlfn.XLOOKUP(Term3_Day_4[[#This Row],[Activity]],Types_of_Activity[Type of Activity],Types_of_Activity[Classification])=1,Term3_Day_4[[#This Row],[Elapsed]],0))</f>
        <v/>
      </c>
      <c r="AB29" s="106" t="str">
        <f>IF(ISBLANK(Term3_Day_4[[#This Row],[Activity]]),"",IF(_xlfn.XLOOKUP(Term3_Day_4[[#This Row],[Activity]],Types_of_Activity[Type of Activity],Types_of_Activity[Classification])=2,Term3_Day_4[[#This Row],[Elapsed]],0))</f>
        <v/>
      </c>
      <c r="AD29" s="136"/>
      <c r="AE29" s="136"/>
      <c r="AF29" s="103"/>
      <c r="AG29" s="106" t="str">
        <f>IF(OR(ISBLANK(Term3_Day_5[[#This Row],[Start]]),ISBLANK(Term3_Day_5[[#This Row],[End]])),"",(Term3_Day_5[[#This Row],[End]]-Term3_Day_5[[#This Row],[Start]])*1440)</f>
        <v/>
      </c>
      <c r="AH29" s="106" t="str">
        <f>IF(ISBLANK(Term3_Day_5[[#This Row],[Activity]]),"",IF(_xlfn.XLOOKUP(Term3_Day_5[[#This Row],[Activity]],Types_of_Activity[Type of Activity],Types_of_Activity[Classification])=1,Term3_Day_5[[#This Row],[Elapsed]],0))</f>
        <v/>
      </c>
      <c r="AI29" s="106" t="str">
        <f>IF(ISBLANK(Term3_Day_5[[#This Row],[Activity]]),"",IF(_xlfn.XLOOKUP(Term3_Day_5[[#This Row],[Activity]],Types_of_Activity[Type of Activity],Types_of_Activity[Classification])=2,Term3_Day_5[[#This Row],[Elapsed]],0))</f>
        <v/>
      </c>
      <c r="AJ29" s="107"/>
      <c r="AK29" s="136"/>
      <c r="AL29" s="136"/>
      <c r="AM29" s="103"/>
      <c r="AN29" s="106" t="str">
        <f>IF(OR(ISBLANK(Term3_Day_6[[#This Row],[Start]]),ISBLANK(Term3_Day_6[[#This Row],[End]])),"",(Term3_Day_6[[#This Row],[End]]-Term3_Day_6[[#This Row],[Start]])*1440)</f>
        <v/>
      </c>
      <c r="AO29" s="106" t="str">
        <f>IF(ISBLANK(Term3_Day_6[[#This Row],[Activity]]),"",IF(_xlfn.XLOOKUP(Term3_Day_6[[#This Row],[Activity]],Types_of_Activity[Type of Activity],Types_of_Activity[Classification])=1,Term3_Day_6[[#This Row],[Elapsed]],0))</f>
        <v/>
      </c>
      <c r="AP29" s="106" t="str">
        <f>IF(ISBLANK(Term3_Day_6[[#This Row],[Activity]]),"",IF(_xlfn.XLOOKUP(Term3_Day_6[[#This Row],[Activity]],Types_of_Activity[Type of Activity],Types_of_Activity[Classification])=2,Term3_Day_6[[#This Row],[Elapsed]],0))</f>
        <v/>
      </c>
      <c r="AQ29" s="107"/>
      <c r="AR29" s="136"/>
      <c r="AS29" s="136"/>
      <c r="AT29" s="103"/>
      <c r="AU29" s="106" t="str">
        <f>IF(OR(ISBLANK(Term3_Day_7[[#This Row],[Start]]),ISBLANK(Term3_Day_7[[#This Row],[End]])),"",(Term3_Day_7[[#This Row],[End]]-Term3_Day_7[[#This Row],[Start]])*1440)</f>
        <v/>
      </c>
      <c r="AV29" s="106" t="str">
        <f>IF(ISBLANK(Term3_Day_7[[#This Row],[Activity]]),"",IF(_xlfn.XLOOKUP(Term3_Day_7[[#This Row],[Activity]],Types_of_Activity[Type of Activity],Types_of_Activity[Classification])=1,Term3_Day_7[[#This Row],[Elapsed]],0))</f>
        <v/>
      </c>
      <c r="AW29" s="106" t="str">
        <f>IF(ISBLANK(Term3_Day_7[[#This Row],[Activity]]),"",IF(_xlfn.XLOOKUP(Term3_Day_7[[#This Row],[Activity]],Types_of_Activity[Type of Activity],Types_of_Activity[Classification])=2,Term3_Day_7[[#This Row],[Elapsed]],0))</f>
        <v/>
      </c>
      <c r="AX29" s="107"/>
      <c r="AY29" s="136"/>
      <c r="AZ29" s="136"/>
      <c r="BA29" s="103"/>
      <c r="BB29" s="106" t="str">
        <f>IF(OR(ISBLANK(Term3_Day_8[[#This Row],[Start]]),ISBLANK(Term3_Day_8[[#This Row],[End]])),"",(Term3_Day_8[[#This Row],[End]]-Term3_Day_8[[#This Row],[Start]])*1440)</f>
        <v/>
      </c>
      <c r="BC29" s="106" t="str">
        <f>IF(ISBLANK(Term3_Day_8[[#This Row],[Activity]]),"",IF(_xlfn.XLOOKUP(Term3_Day_8[[#This Row],[Activity]],Types_of_Activity[Type of Activity],Types_of_Activity[Classification])=1,Term3_Day_8[[#This Row],[Elapsed]],0))</f>
        <v/>
      </c>
      <c r="BD29" s="106" t="str">
        <f>IF(ISBLANK(Term3_Day_8[[#This Row],[Activity]]),"",IF(_xlfn.XLOOKUP(Term3_Day_8[[#This Row],[Activity]],Types_of_Activity[Type of Activity],Types_of_Activity[Classification])=2,Term3_Day_8[[#This Row],[Elapsed]],0))</f>
        <v/>
      </c>
      <c r="BE29" s="107"/>
      <c r="BF29" s="136"/>
      <c r="BG29" s="136"/>
      <c r="BH29" s="103"/>
      <c r="BI29" s="106" t="str">
        <f>IF(OR(ISBLANK(Term3_Day_9[[#This Row],[Start]]),ISBLANK(Term3_Day_9[[#This Row],[End]])),"",(Term3_Day_9[[#This Row],[End]]-Term3_Day_9[[#This Row],[Start]])*1440)</f>
        <v/>
      </c>
      <c r="BJ29" s="106" t="str">
        <f>IF(ISBLANK(Term3_Day_9[[#This Row],[Activity]]),"",IF(_xlfn.XLOOKUP(Term3_Day_9[[#This Row],[Activity]],Types_of_Activity[Type of Activity],Types_of_Activity[Classification])=1,Term3_Day_9[[#This Row],[Elapsed]],0))</f>
        <v/>
      </c>
      <c r="BK29" s="106" t="str">
        <f>IF(ISBLANK(Term3_Day_9[[#This Row],[Activity]]),"",IF(_xlfn.XLOOKUP(Term3_Day_9[[#This Row],[Activity]],Types_of_Activity[Type of Activity],Types_of_Activity[Classification])=2,Term3_Day_9[[#This Row],[Elapsed]],0))</f>
        <v/>
      </c>
      <c r="BL29" s="107"/>
      <c r="BM29" s="136"/>
      <c r="BN29" s="136"/>
      <c r="BO29" s="103"/>
      <c r="BP29" s="106" t="str">
        <f>IF(OR(ISBLANK(Term3_Day_10[[#This Row],[Start]]),ISBLANK(Term3_Day_10[[#This Row],[End]])),"",(Term3_Day_10[[#This Row],[End]]-Term3_Day_10[[#This Row],[Start]])*1440)</f>
        <v/>
      </c>
      <c r="BQ29" s="106" t="str">
        <f>IF(ISBLANK(Term3_Day_10[[#This Row],[Activity]]),"",IF(_xlfn.XLOOKUP(Term3_Day_10[[#This Row],[Activity]],Types_of_Activity[Type of Activity],Types_of_Activity[Classification])=1,Term3_Day_10[[#This Row],[Elapsed]],0))</f>
        <v/>
      </c>
      <c r="BR29" s="106" t="str">
        <f>IF(ISBLANK(Term3_Day_10[[#This Row],[Activity]]),"",IF(_xlfn.XLOOKUP(Term3_Day_10[[#This Row],[Activity]],Types_of_Activity[Type of Activity],Types_of_Activity[Classification])=2,Term3_Day_10[[#This Row],[Elapsed]],0))</f>
        <v/>
      </c>
      <c r="BS29" s="107"/>
    </row>
    <row r="30" spans="2:71" x14ac:dyDescent="0.3">
      <c r="B30" s="136"/>
      <c r="C30" s="136"/>
      <c r="D30" s="103"/>
      <c r="E30" s="106" t="str">
        <f>IF(OR(ISBLANK(Term3_Day_1[[#This Row],[Start]]),ISBLANK(Term3_Day_1[[#This Row],[End]])),"",(Term3_Day_1[[#This Row],[End]]-Term3_Day_1[[#This Row],[Start]])*1440)</f>
        <v/>
      </c>
      <c r="F30" s="106" t="str">
        <f>IF(ISBLANK(Term3_Day_1[[#This Row],[Activity]]),"",IF(_xlfn.XLOOKUP(Term3_Day_1[[#This Row],[Activity]],Types_of_Activity[Type of Activity],Types_of_Activity[Classification])=1,Term3_Day_1[[#This Row],[Elapsed]],0))</f>
        <v/>
      </c>
      <c r="G30" s="106" t="str">
        <f>IF(ISBLANK(Term3_Day_1[[#This Row],[Activity]]),"",IF(_xlfn.XLOOKUP(Term3_Day_1[[#This Row],[Activity]],Types_of_Activity[Type of Activity],Types_of_Activity[Classification])=2,Term3_Day_1[[#This Row],[Elapsed]],0))</f>
        <v/>
      </c>
      <c r="I30" s="136"/>
      <c r="J30" s="136"/>
      <c r="K30" s="103"/>
      <c r="L30" s="106" t="str">
        <f>IF(OR(ISBLANK(Term3_Day_2[[#This Row],[Start]]),ISBLANK(Term3_Day_2[[#This Row],[End]])),"",(Term3_Day_2[[#This Row],[End]]-Term3_Day_2[[#This Row],[Start]])*1440)</f>
        <v/>
      </c>
      <c r="M30" s="106" t="str">
        <f>IF(ISBLANK(Term3_Day_2[[#This Row],[Activity]]),"",IF(_xlfn.XLOOKUP(Term3_Day_2[[#This Row],[Activity]],Types_of_Activity[Type of Activity],Types_of_Activity[Classification])=1,Term3_Day_2[[#This Row],[Elapsed]],0))</f>
        <v/>
      </c>
      <c r="N30" s="106" t="str">
        <f>IF(ISBLANK(Term3_Day_2[[#This Row],[Activity]]),"",IF(_xlfn.XLOOKUP(Term3_Day_2[[#This Row],[Activity]],Types_of_Activity[Type of Activity],Types_of_Activity[Classification])=2,Term3_Day_2[[#This Row],[Elapsed]],0))</f>
        <v/>
      </c>
      <c r="P30" s="136"/>
      <c r="Q30" s="136"/>
      <c r="R30" s="103"/>
      <c r="S30" s="106" t="str">
        <f>IF(OR(ISBLANK(Term3_Day_3[[#This Row],[Start]]),ISBLANK(Term3_Day_3[[#This Row],[End]])),"",(Term3_Day_3[[#This Row],[End]]-Term3_Day_3[[#This Row],[Start]])*1440)</f>
        <v/>
      </c>
      <c r="T30" s="106" t="str">
        <f>IF(ISBLANK(Term3_Day_3[[#This Row],[Activity]]),"",IF(_xlfn.XLOOKUP(Term3_Day_3[[#This Row],[Activity]],Types_of_Activity[Type of Activity],Types_of_Activity[Classification])=1,Term3_Day_3[[#This Row],[Elapsed]],0))</f>
        <v/>
      </c>
      <c r="U30" s="106" t="str">
        <f>IF(ISBLANK(Term3_Day_3[[#This Row],[Activity]]),"",IF(_xlfn.XLOOKUP(Term3_Day_3[[#This Row],[Activity]],Types_of_Activity[Type of Activity],Types_of_Activity[Classification])=2,Term3_Day_3[[#This Row],[Elapsed]],0))</f>
        <v/>
      </c>
      <c r="W30" s="136"/>
      <c r="X30" s="136"/>
      <c r="Y30" s="103"/>
      <c r="Z30" s="106" t="str">
        <f>IF(OR(ISBLANK(Term3_Day_4[[#This Row],[Start]]),ISBLANK(Term3_Day_4[[#This Row],[End]])),"",(Term3_Day_4[[#This Row],[End]]-Term3_Day_4[[#This Row],[Start]])*1440)</f>
        <v/>
      </c>
      <c r="AA30" s="106" t="str">
        <f>IF(ISBLANK(Term3_Day_4[[#This Row],[Activity]]),"",IF(_xlfn.XLOOKUP(Term3_Day_4[[#This Row],[Activity]],Types_of_Activity[Type of Activity],Types_of_Activity[Classification])=1,Term3_Day_4[[#This Row],[Elapsed]],0))</f>
        <v/>
      </c>
      <c r="AB30" s="106" t="str">
        <f>IF(ISBLANK(Term3_Day_4[[#This Row],[Activity]]),"",IF(_xlfn.XLOOKUP(Term3_Day_4[[#This Row],[Activity]],Types_of_Activity[Type of Activity],Types_of_Activity[Classification])=2,Term3_Day_4[[#This Row],[Elapsed]],0))</f>
        <v/>
      </c>
      <c r="AD30" s="136"/>
      <c r="AE30" s="136"/>
      <c r="AF30" s="103"/>
      <c r="AG30" s="106" t="str">
        <f>IF(OR(ISBLANK(Term3_Day_5[[#This Row],[Start]]),ISBLANK(Term3_Day_5[[#This Row],[End]])),"",(Term3_Day_5[[#This Row],[End]]-Term3_Day_5[[#This Row],[Start]])*1440)</f>
        <v/>
      </c>
      <c r="AH30" s="106" t="str">
        <f>IF(ISBLANK(Term3_Day_5[[#This Row],[Activity]]),"",IF(_xlfn.XLOOKUP(Term3_Day_5[[#This Row],[Activity]],Types_of_Activity[Type of Activity],Types_of_Activity[Classification])=1,Term3_Day_5[[#This Row],[Elapsed]],0))</f>
        <v/>
      </c>
      <c r="AI30" s="106" t="str">
        <f>IF(ISBLANK(Term3_Day_5[[#This Row],[Activity]]),"",IF(_xlfn.XLOOKUP(Term3_Day_5[[#This Row],[Activity]],Types_of_Activity[Type of Activity],Types_of_Activity[Classification])=2,Term3_Day_5[[#This Row],[Elapsed]],0))</f>
        <v/>
      </c>
      <c r="AJ30" s="107"/>
      <c r="AK30" s="136"/>
      <c r="AL30" s="136"/>
      <c r="AM30" s="103"/>
      <c r="AN30" s="106" t="str">
        <f>IF(OR(ISBLANK(Term3_Day_6[[#This Row],[Start]]),ISBLANK(Term3_Day_6[[#This Row],[End]])),"",(Term3_Day_6[[#This Row],[End]]-Term3_Day_6[[#This Row],[Start]])*1440)</f>
        <v/>
      </c>
      <c r="AO30" s="106" t="str">
        <f>IF(ISBLANK(Term3_Day_6[[#This Row],[Activity]]),"",IF(_xlfn.XLOOKUP(Term3_Day_6[[#This Row],[Activity]],Types_of_Activity[Type of Activity],Types_of_Activity[Classification])=1,Term3_Day_6[[#This Row],[Elapsed]],0))</f>
        <v/>
      </c>
      <c r="AP30" s="106" t="str">
        <f>IF(ISBLANK(Term3_Day_6[[#This Row],[Activity]]),"",IF(_xlfn.XLOOKUP(Term3_Day_6[[#This Row],[Activity]],Types_of_Activity[Type of Activity],Types_of_Activity[Classification])=2,Term3_Day_6[[#This Row],[Elapsed]],0))</f>
        <v/>
      </c>
      <c r="AQ30" s="107"/>
      <c r="AR30" s="136"/>
      <c r="AS30" s="136"/>
      <c r="AT30" s="103"/>
      <c r="AU30" s="106" t="str">
        <f>IF(OR(ISBLANK(Term3_Day_7[[#This Row],[Start]]),ISBLANK(Term3_Day_7[[#This Row],[End]])),"",(Term3_Day_7[[#This Row],[End]]-Term3_Day_7[[#This Row],[Start]])*1440)</f>
        <v/>
      </c>
      <c r="AV30" s="106" t="str">
        <f>IF(ISBLANK(Term3_Day_7[[#This Row],[Activity]]),"",IF(_xlfn.XLOOKUP(Term3_Day_7[[#This Row],[Activity]],Types_of_Activity[Type of Activity],Types_of_Activity[Classification])=1,Term3_Day_7[[#This Row],[Elapsed]],0))</f>
        <v/>
      </c>
      <c r="AW30" s="106" t="str">
        <f>IF(ISBLANK(Term3_Day_7[[#This Row],[Activity]]),"",IF(_xlfn.XLOOKUP(Term3_Day_7[[#This Row],[Activity]],Types_of_Activity[Type of Activity],Types_of_Activity[Classification])=2,Term3_Day_7[[#This Row],[Elapsed]],0))</f>
        <v/>
      </c>
      <c r="AX30" s="107"/>
      <c r="AY30" s="136"/>
      <c r="AZ30" s="136"/>
      <c r="BA30" s="103"/>
      <c r="BB30" s="106" t="str">
        <f>IF(OR(ISBLANK(Term3_Day_8[[#This Row],[Start]]),ISBLANK(Term3_Day_8[[#This Row],[End]])),"",(Term3_Day_8[[#This Row],[End]]-Term3_Day_8[[#This Row],[Start]])*1440)</f>
        <v/>
      </c>
      <c r="BC30" s="106" t="str">
        <f>IF(ISBLANK(Term3_Day_8[[#This Row],[Activity]]),"",IF(_xlfn.XLOOKUP(Term3_Day_8[[#This Row],[Activity]],Types_of_Activity[Type of Activity],Types_of_Activity[Classification])=1,Term3_Day_8[[#This Row],[Elapsed]],0))</f>
        <v/>
      </c>
      <c r="BD30" s="106" t="str">
        <f>IF(ISBLANK(Term3_Day_8[[#This Row],[Activity]]),"",IF(_xlfn.XLOOKUP(Term3_Day_8[[#This Row],[Activity]],Types_of_Activity[Type of Activity],Types_of_Activity[Classification])=2,Term3_Day_8[[#This Row],[Elapsed]],0))</f>
        <v/>
      </c>
      <c r="BE30" s="107"/>
      <c r="BF30" s="136"/>
      <c r="BG30" s="136"/>
      <c r="BH30" s="103"/>
      <c r="BI30" s="106" t="str">
        <f>IF(OR(ISBLANK(Term3_Day_9[[#This Row],[Start]]),ISBLANK(Term3_Day_9[[#This Row],[End]])),"",(Term3_Day_9[[#This Row],[End]]-Term3_Day_9[[#This Row],[Start]])*1440)</f>
        <v/>
      </c>
      <c r="BJ30" s="106" t="str">
        <f>IF(ISBLANK(Term3_Day_9[[#This Row],[Activity]]),"",IF(_xlfn.XLOOKUP(Term3_Day_9[[#This Row],[Activity]],Types_of_Activity[Type of Activity],Types_of_Activity[Classification])=1,Term3_Day_9[[#This Row],[Elapsed]],0))</f>
        <v/>
      </c>
      <c r="BK30" s="106" t="str">
        <f>IF(ISBLANK(Term3_Day_9[[#This Row],[Activity]]),"",IF(_xlfn.XLOOKUP(Term3_Day_9[[#This Row],[Activity]],Types_of_Activity[Type of Activity],Types_of_Activity[Classification])=2,Term3_Day_9[[#This Row],[Elapsed]],0))</f>
        <v/>
      </c>
      <c r="BL30" s="107"/>
      <c r="BM30" s="136"/>
      <c r="BN30" s="136"/>
      <c r="BO30" s="103"/>
      <c r="BP30" s="106" t="str">
        <f>IF(OR(ISBLANK(Term3_Day_10[[#This Row],[Start]]),ISBLANK(Term3_Day_10[[#This Row],[End]])),"",(Term3_Day_10[[#This Row],[End]]-Term3_Day_10[[#This Row],[Start]])*1440)</f>
        <v/>
      </c>
      <c r="BQ30" s="106" t="str">
        <f>IF(ISBLANK(Term3_Day_10[[#This Row],[Activity]]),"",IF(_xlfn.XLOOKUP(Term3_Day_10[[#This Row],[Activity]],Types_of_Activity[Type of Activity],Types_of_Activity[Classification])=1,Term3_Day_10[[#This Row],[Elapsed]],0))</f>
        <v/>
      </c>
      <c r="BR30" s="106" t="str">
        <f>IF(ISBLANK(Term3_Day_10[[#This Row],[Activity]]),"",IF(_xlfn.XLOOKUP(Term3_Day_10[[#This Row],[Activity]],Types_of_Activity[Type of Activity],Types_of_Activity[Classification])=2,Term3_Day_10[[#This Row],[Elapsed]],0))</f>
        <v/>
      </c>
      <c r="BS30" s="107"/>
    </row>
    <row r="31" spans="2:71" x14ac:dyDescent="0.3">
      <c r="B31" s="136"/>
      <c r="C31" s="136"/>
      <c r="D31" s="103"/>
      <c r="E31" s="106" t="str">
        <f>IF(OR(ISBLANK(Term3_Day_1[[#This Row],[Start]]),ISBLANK(Term3_Day_1[[#This Row],[End]])),"",(Term3_Day_1[[#This Row],[End]]-Term3_Day_1[[#This Row],[Start]])*1440)</f>
        <v/>
      </c>
      <c r="F31" s="106" t="str">
        <f>IF(ISBLANK(Term3_Day_1[[#This Row],[Activity]]),"",IF(_xlfn.XLOOKUP(Term3_Day_1[[#This Row],[Activity]],Types_of_Activity[Type of Activity],Types_of_Activity[Classification])=1,Term3_Day_1[[#This Row],[Elapsed]],0))</f>
        <v/>
      </c>
      <c r="G31" s="106" t="str">
        <f>IF(ISBLANK(Term3_Day_1[[#This Row],[Activity]]),"",IF(_xlfn.XLOOKUP(Term3_Day_1[[#This Row],[Activity]],Types_of_Activity[Type of Activity],Types_of_Activity[Classification])=2,Term3_Day_1[[#This Row],[Elapsed]],0))</f>
        <v/>
      </c>
      <c r="I31" s="136"/>
      <c r="J31" s="136"/>
      <c r="K31" s="103"/>
      <c r="L31" s="106" t="str">
        <f>IF(OR(ISBLANK(Term3_Day_2[[#This Row],[Start]]),ISBLANK(Term3_Day_2[[#This Row],[End]])),"",(Term3_Day_2[[#This Row],[End]]-Term3_Day_2[[#This Row],[Start]])*1440)</f>
        <v/>
      </c>
      <c r="M31" s="106" t="str">
        <f>IF(ISBLANK(Term3_Day_2[[#This Row],[Activity]]),"",IF(_xlfn.XLOOKUP(Term3_Day_2[[#This Row],[Activity]],Types_of_Activity[Type of Activity],Types_of_Activity[Classification])=1,Term3_Day_2[[#This Row],[Elapsed]],0))</f>
        <v/>
      </c>
      <c r="N31" s="106" t="str">
        <f>IF(ISBLANK(Term3_Day_2[[#This Row],[Activity]]),"",IF(_xlfn.XLOOKUP(Term3_Day_2[[#This Row],[Activity]],Types_of_Activity[Type of Activity],Types_of_Activity[Classification])=2,Term3_Day_2[[#This Row],[Elapsed]],0))</f>
        <v/>
      </c>
      <c r="P31" s="136"/>
      <c r="Q31" s="136"/>
      <c r="R31" s="103"/>
      <c r="S31" s="106" t="str">
        <f>IF(OR(ISBLANK(Term3_Day_3[[#This Row],[Start]]),ISBLANK(Term3_Day_3[[#This Row],[End]])),"",(Term3_Day_3[[#This Row],[End]]-Term3_Day_3[[#This Row],[Start]])*1440)</f>
        <v/>
      </c>
      <c r="T31" s="106" t="str">
        <f>IF(ISBLANK(Term3_Day_3[[#This Row],[Activity]]),"",IF(_xlfn.XLOOKUP(Term3_Day_3[[#This Row],[Activity]],Types_of_Activity[Type of Activity],Types_of_Activity[Classification])=1,Term3_Day_3[[#This Row],[Elapsed]],0))</f>
        <v/>
      </c>
      <c r="U31" s="106" t="str">
        <f>IF(ISBLANK(Term3_Day_3[[#This Row],[Activity]]),"",IF(_xlfn.XLOOKUP(Term3_Day_3[[#This Row],[Activity]],Types_of_Activity[Type of Activity],Types_of_Activity[Classification])=2,Term3_Day_3[[#This Row],[Elapsed]],0))</f>
        <v/>
      </c>
      <c r="W31" s="136"/>
      <c r="X31" s="136"/>
      <c r="Y31" s="103"/>
      <c r="Z31" s="106" t="str">
        <f>IF(OR(ISBLANK(Term3_Day_4[[#This Row],[Start]]),ISBLANK(Term3_Day_4[[#This Row],[End]])),"",(Term3_Day_4[[#This Row],[End]]-Term3_Day_4[[#This Row],[Start]])*1440)</f>
        <v/>
      </c>
      <c r="AA31" s="106" t="str">
        <f>IF(ISBLANK(Term3_Day_4[[#This Row],[Activity]]),"",IF(_xlfn.XLOOKUP(Term3_Day_4[[#This Row],[Activity]],Types_of_Activity[Type of Activity],Types_of_Activity[Classification])=1,Term3_Day_4[[#This Row],[Elapsed]],0))</f>
        <v/>
      </c>
      <c r="AB31" s="106" t="str">
        <f>IF(ISBLANK(Term3_Day_4[[#This Row],[Activity]]),"",IF(_xlfn.XLOOKUP(Term3_Day_4[[#This Row],[Activity]],Types_of_Activity[Type of Activity],Types_of_Activity[Classification])=2,Term3_Day_4[[#This Row],[Elapsed]],0))</f>
        <v/>
      </c>
      <c r="AD31" s="136"/>
      <c r="AE31" s="136"/>
      <c r="AF31" s="103"/>
      <c r="AG31" s="106" t="str">
        <f>IF(OR(ISBLANK(Term3_Day_5[[#This Row],[Start]]),ISBLANK(Term3_Day_5[[#This Row],[End]])),"",(Term3_Day_5[[#This Row],[End]]-Term3_Day_5[[#This Row],[Start]])*1440)</f>
        <v/>
      </c>
      <c r="AH31" s="106" t="str">
        <f>IF(ISBLANK(Term3_Day_5[[#This Row],[Activity]]),"",IF(_xlfn.XLOOKUP(Term3_Day_5[[#This Row],[Activity]],Types_of_Activity[Type of Activity],Types_of_Activity[Classification])=1,Term3_Day_5[[#This Row],[Elapsed]],0))</f>
        <v/>
      </c>
      <c r="AI31" s="106" t="str">
        <f>IF(ISBLANK(Term3_Day_5[[#This Row],[Activity]]),"",IF(_xlfn.XLOOKUP(Term3_Day_5[[#This Row],[Activity]],Types_of_Activity[Type of Activity],Types_of_Activity[Classification])=2,Term3_Day_5[[#This Row],[Elapsed]],0))</f>
        <v/>
      </c>
      <c r="AJ31" s="107"/>
      <c r="AK31" s="136"/>
      <c r="AL31" s="136"/>
      <c r="AM31" s="103"/>
      <c r="AN31" s="106" t="str">
        <f>IF(OR(ISBLANK(Term3_Day_6[[#This Row],[Start]]),ISBLANK(Term3_Day_6[[#This Row],[End]])),"",(Term3_Day_6[[#This Row],[End]]-Term3_Day_6[[#This Row],[Start]])*1440)</f>
        <v/>
      </c>
      <c r="AO31" s="106" t="str">
        <f>IF(ISBLANK(Term3_Day_6[[#This Row],[Activity]]),"",IF(_xlfn.XLOOKUP(Term3_Day_6[[#This Row],[Activity]],Types_of_Activity[Type of Activity],Types_of_Activity[Classification])=1,Term3_Day_6[[#This Row],[Elapsed]],0))</f>
        <v/>
      </c>
      <c r="AP31" s="106" t="str">
        <f>IF(ISBLANK(Term3_Day_6[[#This Row],[Activity]]),"",IF(_xlfn.XLOOKUP(Term3_Day_6[[#This Row],[Activity]],Types_of_Activity[Type of Activity],Types_of_Activity[Classification])=2,Term3_Day_6[[#This Row],[Elapsed]],0))</f>
        <v/>
      </c>
      <c r="AQ31" s="107"/>
      <c r="AR31" s="136"/>
      <c r="AS31" s="136"/>
      <c r="AT31" s="103"/>
      <c r="AU31" s="106" t="str">
        <f>IF(OR(ISBLANK(Term3_Day_7[[#This Row],[Start]]),ISBLANK(Term3_Day_7[[#This Row],[End]])),"",(Term3_Day_7[[#This Row],[End]]-Term3_Day_7[[#This Row],[Start]])*1440)</f>
        <v/>
      </c>
      <c r="AV31" s="106" t="str">
        <f>IF(ISBLANK(Term3_Day_7[[#This Row],[Activity]]),"",IF(_xlfn.XLOOKUP(Term3_Day_7[[#This Row],[Activity]],Types_of_Activity[Type of Activity],Types_of_Activity[Classification])=1,Term3_Day_7[[#This Row],[Elapsed]],0))</f>
        <v/>
      </c>
      <c r="AW31" s="106" t="str">
        <f>IF(ISBLANK(Term3_Day_7[[#This Row],[Activity]]),"",IF(_xlfn.XLOOKUP(Term3_Day_7[[#This Row],[Activity]],Types_of_Activity[Type of Activity],Types_of_Activity[Classification])=2,Term3_Day_7[[#This Row],[Elapsed]],0))</f>
        <v/>
      </c>
      <c r="AX31" s="107"/>
      <c r="AY31" s="136"/>
      <c r="AZ31" s="136"/>
      <c r="BA31" s="103"/>
      <c r="BB31" s="106" t="str">
        <f>IF(OR(ISBLANK(Term3_Day_8[[#This Row],[Start]]),ISBLANK(Term3_Day_8[[#This Row],[End]])),"",(Term3_Day_8[[#This Row],[End]]-Term3_Day_8[[#This Row],[Start]])*1440)</f>
        <v/>
      </c>
      <c r="BC31" s="106" t="str">
        <f>IF(ISBLANK(Term3_Day_8[[#This Row],[Activity]]),"",IF(_xlfn.XLOOKUP(Term3_Day_8[[#This Row],[Activity]],Types_of_Activity[Type of Activity],Types_of_Activity[Classification])=1,Term3_Day_8[[#This Row],[Elapsed]],0))</f>
        <v/>
      </c>
      <c r="BD31" s="106" t="str">
        <f>IF(ISBLANK(Term3_Day_8[[#This Row],[Activity]]),"",IF(_xlfn.XLOOKUP(Term3_Day_8[[#This Row],[Activity]],Types_of_Activity[Type of Activity],Types_of_Activity[Classification])=2,Term3_Day_8[[#This Row],[Elapsed]],0))</f>
        <v/>
      </c>
      <c r="BE31" s="107"/>
      <c r="BF31" s="136"/>
      <c r="BG31" s="136"/>
      <c r="BH31" s="103"/>
      <c r="BI31" s="106" t="str">
        <f>IF(OR(ISBLANK(Term3_Day_9[[#This Row],[Start]]),ISBLANK(Term3_Day_9[[#This Row],[End]])),"",(Term3_Day_9[[#This Row],[End]]-Term3_Day_9[[#This Row],[Start]])*1440)</f>
        <v/>
      </c>
      <c r="BJ31" s="106" t="str">
        <f>IF(ISBLANK(Term3_Day_9[[#This Row],[Activity]]),"",IF(_xlfn.XLOOKUP(Term3_Day_9[[#This Row],[Activity]],Types_of_Activity[Type of Activity],Types_of_Activity[Classification])=1,Term3_Day_9[[#This Row],[Elapsed]],0))</f>
        <v/>
      </c>
      <c r="BK31" s="106" t="str">
        <f>IF(ISBLANK(Term3_Day_9[[#This Row],[Activity]]),"",IF(_xlfn.XLOOKUP(Term3_Day_9[[#This Row],[Activity]],Types_of_Activity[Type of Activity],Types_of_Activity[Classification])=2,Term3_Day_9[[#This Row],[Elapsed]],0))</f>
        <v/>
      </c>
      <c r="BL31" s="107"/>
      <c r="BM31" s="136"/>
      <c r="BN31" s="136"/>
      <c r="BO31" s="103"/>
      <c r="BP31" s="106" t="str">
        <f>IF(OR(ISBLANK(Term3_Day_10[[#This Row],[Start]]),ISBLANK(Term3_Day_10[[#This Row],[End]])),"",(Term3_Day_10[[#This Row],[End]]-Term3_Day_10[[#This Row],[Start]])*1440)</f>
        <v/>
      </c>
      <c r="BQ31" s="106" t="str">
        <f>IF(ISBLANK(Term3_Day_10[[#This Row],[Activity]]),"",IF(_xlfn.XLOOKUP(Term3_Day_10[[#This Row],[Activity]],Types_of_Activity[Type of Activity],Types_of_Activity[Classification])=1,Term3_Day_10[[#This Row],[Elapsed]],0))</f>
        <v/>
      </c>
      <c r="BR31" s="106" t="str">
        <f>IF(ISBLANK(Term3_Day_10[[#This Row],[Activity]]),"",IF(_xlfn.XLOOKUP(Term3_Day_10[[#This Row],[Activity]],Types_of_Activity[Type of Activity],Types_of_Activity[Classification])=2,Term3_Day_10[[#This Row],[Elapsed]],0))</f>
        <v/>
      </c>
      <c r="BS31" s="107"/>
    </row>
    <row r="32" spans="2:71" x14ac:dyDescent="0.3">
      <c r="B32" s="136"/>
      <c r="C32" s="136"/>
      <c r="D32" s="103"/>
      <c r="E32" s="106" t="str">
        <f>IF(OR(ISBLANK(Term3_Day_1[[#This Row],[Start]]),ISBLANK(Term3_Day_1[[#This Row],[End]])),"",(Term3_Day_1[[#This Row],[End]]-Term3_Day_1[[#This Row],[Start]])*1440)</f>
        <v/>
      </c>
      <c r="F32" s="106" t="str">
        <f>IF(ISBLANK(Term3_Day_1[[#This Row],[Activity]]),"",IF(_xlfn.XLOOKUP(Term3_Day_1[[#This Row],[Activity]],Types_of_Activity[Type of Activity],Types_of_Activity[Classification])=1,Term3_Day_1[[#This Row],[Elapsed]],0))</f>
        <v/>
      </c>
      <c r="G32" s="106" t="str">
        <f>IF(ISBLANK(Term3_Day_1[[#This Row],[Activity]]),"",IF(_xlfn.XLOOKUP(Term3_Day_1[[#This Row],[Activity]],Types_of_Activity[Type of Activity],Types_of_Activity[Classification])=2,Term3_Day_1[[#This Row],[Elapsed]],0))</f>
        <v/>
      </c>
      <c r="I32" s="136"/>
      <c r="J32" s="136"/>
      <c r="K32" s="103"/>
      <c r="L32" s="106" t="str">
        <f>IF(OR(ISBLANK(Term3_Day_2[[#This Row],[Start]]),ISBLANK(Term3_Day_2[[#This Row],[End]])),"",(Term3_Day_2[[#This Row],[End]]-Term3_Day_2[[#This Row],[Start]])*1440)</f>
        <v/>
      </c>
      <c r="M32" s="106" t="str">
        <f>IF(ISBLANK(Term3_Day_2[[#This Row],[Activity]]),"",IF(_xlfn.XLOOKUP(Term3_Day_2[[#This Row],[Activity]],Types_of_Activity[Type of Activity],Types_of_Activity[Classification])=1,Term3_Day_2[[#This Row],[Elapsed]],0))</f>
        <v/>
      </c>
      <c r="N32" s="106" t="str">
        <f>IF(ISBLANK(Term3_Day_2[[#This Row],[Activity]]),"",IF(_xlfn.XLOOKUP(Term3_Day_2[[#This Row],[Activity]],Types_of_Activity[Type of Activity],Types_of_Activity[Classification])=2,Term3_Day_2[[#This Row],[Elapsed]],0))</f>
        <v/>
      </c>
      <c r="P32" s="136"/>
      <c r="Q32" s="136"/>
      <c r="R32" s="103"/>
      <c r="S32" s="106" t="str">
        <f>IF(OR(ISBLANK(Term3_Day_3[[#This Row],[Start]]),ISBLANK(Term3_Day_3[[#This Row],[End]])),"",(Term3_Day_3[[#This Row],[End]]-Term3_Day_3[[#This Row],[Start]])*1440)</f>
        <v/>
      </c>
      <c r="T32" s="106" t="str">
        <f>IF(ISBLANK(Term3_Day_3[[#This Row],[Activity]]),"",IF(_xlfn.XLOOKUP(Term3_Day_3[[#This Row],[Activity]],Types_of_Activity[Type of Activity],Types_of_Activity[Classification])=1,Term3_Day_3[[#This Row],[Elapsed]],0))</f>
        <v/>
      </c>
      <c r="U32" s="106" t="str">
        <f>IF(ISBLANK(Term3_Day_3[[#This Row],[Activity]]),"",IF(_xlfn.XLOOKUP(Term3_Day_3[[#This Row],[Activity]],Types_of_Activity[Type of Activity],Types_of_Activity[Classification])=2,Term3_Day_3[[#This Row],[Elapsed]],0))</f>
        <v/>
      </c>
      <c r="W32" s="136"/>
      <c r="X32" s="136"/>
      <c r="Y32" s="103"/>
      <c r="Z32" s="106" t="str">
        <f>IF(OR(ISBLANK(Term3_Day_4[[#This Row],[Start]]),ISBLANK(Term3_Day_4[[#This Row],[End]])),"",(Term3_Day_4[[#This Row],[End]]-Term3_Day_4[[#This Row],[Start]])*1440)</f>
        <v/>
      </c>
      <c r="AA32" s="106" t="str">
        <f>IF(ISBLANK(Term3_Day_4[[#This Row],[Activity]]),"",IF(_xlfn.XLOOKUP(Term3_Day_4[[#This Row],[Activity]],Types_of_Activity[Type of Activity],Types_of_Activity[Classification])=1,Term3_Day_4[[#This Row],[Elapsed]],0))</f>
        <v/>
      </c>
      <c r="AB32" s="106" t="str">
        <f>IF(ISBLANK(Term3_Day_4[[#This Row],[Activity]]),"",IF(_xlfn.XLOOKUP(Term3_Day_4[[#This Row],[Activity]],Types_of_Activity[Type of Activity],Types_of_Activity[Classification])=2,Term3_Day_4[[#This Row],[Elapsed]],0))</f>
        <v/>
      </c>
      <c r="AD32" s="136"/>
      <c r="AE32" s="136"/>
      <c r="AF32" s="103"/>
      <c r="AG32" s="106" t="str">
        <f>IF(OR(ISBLANK(Term3_Day_5[[#This Row],[Start]]),ISBLANK(Term3_Day_5[[#This Row],[End]])),"",(Term3_Day_5[[#This Row],[End]]-Term3_Day_5[[#This Row],[Start]])*1440)</f>
        <v/>
      </c>
      <c r="AH32" s="106" t="str">
        <f>IF(ISBLANK(Term3_Day_5[[#This Row],[Activity]]),"",IF(_xlfn.XLOOKUP(Term3_Day_5[[#This Row],[Activity]],Types_of_Activity[Type of Activity],Types_of_Activity[Classification])=1,Term3_Day_5[[#This Row],[Elapsed]],0))</f>
        <v/>
      </c>
      <c r="AI32" s="106" t="str">
        <f>IF(ISBLANK(Term3_Day_5[[#This Row],[Activity]]),"",IF(_xlfn.XLOOKUP(Term3_Day_5[[#This Row],[Activity]],Types_of_Activity[Type of Activity],Types_of_Activity[Classification])=2,Term3_Day_5[[#This Row],[Elapsed]],0))</f>
        <v/>
      </c>
      <c r="AJ32" s="107"/>
      <c r="AK32" s="136"/>
      <c r="AL32" s="136"/>
      <c r="AM32" s="103"/>
      <c r="AN32" s="106" t="str">
        <f>IF(OR(ISBLANK(Term3_Day_6[[#This Row],[Start]]),ISBLANK(Term3_Day_6[[#This Row],[End]])),"",(Term3_Day_6[[#This Row],[End]]-Term3_Day_6[[#This Row],[Start]])*1440)</f>
        <v/>
      </c>
      <c r="AO32" s="106" t="str">
        <f>IF(ISBLANK(Term3_Day_6[[#This Row],[Activity]]),"",IF(_xlfn.XLOOKUP(Term3_Day_6[[#This Row],[Activity]],Types_of_Activity[Type of Activity],Types_of_Activity[Classification])=1,Term3_Day_6[[#This Row],[Elapsed]],0))</f>
        <v/>
      </c>
      <c r="AP32" s="106" t="str">
        <f>IF(ISBLANK(Term3_Day_6[[#This Row],[Activity]]),"",IF(_xlfn.XLOOKUP(Term3_Day_6[[#This Row],[Activity]],Types_of_Activity[Type of Activity],Types_of_Activity[Classification])=2,Term3_Day_6[[#This Row],[Elapsed]],0))</f>
        <v/>
      </c>
      <c r="AQ32" s="107"/>
      <c r="AR32" s="136"/>
      <c r="AS32" s="136"/>
      <c r="AT32" s="103"/>
      <c r="AU32" s="106" t="str">
        <f>IF(OR(ISBLANK(Term3_Day_7[[#This Row],[Start]]),ISBLANK(Term3_Day_7[[#This Row],[End]])),"",(Term3_Day_7[[#This Row],[End]]-Term3_Day_7[[#This Row],[Start]])*1440)</f>
        <v/>
      </c>
      <c r="AV32" s="106" t="str">
        <f>IF(ISBLANK(Term3_Day_7[[#This Row],[Activity]]),"",IF(_xlfn.XLOOKUP(Term3_Day_7[[#This Row],[Activity]],Types_of_Activity[Type of Activity],Types_of_Activity[Classification])=1,Term3_Day_7[[#This Row],[Elapsed]],0))</f>
        <v/>
      </c>
      <c r="AW32" s="106" t="str">
        <f>IF(ISBLANK(Term3_Day_7[[#This Row],[Activity]]),"",IF(_xlfn.XLOOKUP(Term3_Day_7[[#This Row],[Activity]],Types_of_Activity[Type of Activity],Types_of_Activity[Classification])=2,Term3_Day_7[[#This Row],[Elapsed]],0))</f>
        <v/>
      </c>
      <c r="AX32" s="107"/>
      <c r="AY32" s="136"/>
      <c r="AZ32" s="136"/>
      <c r="BA32" s="103"/>
      <c r="BB32" s="106" t="str">
        <f>IF(OR(ISBLANK(Term3_Day_8[[#This Row],[Start]]),ISBLANK(Term3_Day_8[[#This Row],[End]])),"",(Term3_Day_8[[#This Row],[End]]-Term3_Day_8[[#This Row],[Start]])*1440)</f>
        <v/>
      </c>
      <c r="BC32" s="106" t="str">
        <f>IF(ISBLANK(Term3_Day_8[[#This Row],[Activity]]),"",IF(_xlfn.XLOOKUP(Term3_Day_8[[#This Row],[Activity]],Types_of_Activity[Type of Activity],Types_of_Activity[Classification])=1,Term3_Day_8[[#This Row],[Elapsed]],0))</f>
        <v/>
      </c>
      <c r="BD32" s="106" t="str">
        <f>IF(ISBLANK(Term3_Day_8[[#This Row],[Activity]]),"",IF(_xlfn.XLOOKUP(Term3_Day_8[[#This Row],[Activity]],Types_of_Activity[Type of Activity],Types_of_Activity[Classification])=2,Term3_Day_8[[#This Row],[Elapsed]],0))</f>
        <v/>
      </c>
      <c r="BE32" s="107"/>
      <c r="BF32" s="136"/>
      <c r="BG32" s="136"/>
      <c r="BH32" s="103"/>
      <c r="BI32" s="106" t="str">
        <f>IF(OR(ISBLANK(Term3_Day_9[[#This Row],[Start]]),ISBLANK(Term3_Day_9[[#This Row],[End]])),"",(Term3_Day_9[[#This Row],[End]]-Term3_Day_9[[#This Row],[Start]])*1440)</f>
        <v/>
      </c>
      <c r="BJ32" s="106" t="str">
        <f>IF(ISBLANK(Term3_Day_9[[#This Row],[Activity]]),"",IF(_xlfn.XLOOKUP(Term3_Day_9[[#This Row],[Activity]],Types_of_Activity[Type of Activity],Types_of_Activity[Classification])=1,Term3_Day_9[[#This Row],[Elapsed]],0))</f>
        <v/>
      </c>
      <c r="BK32" s="106" t="str">
        <f>IF(ISBLANK(Term3_Day_9[[#This Row],[Activity]]),"",IF(_xlfn.XLOOKUP(Term3_Day_9[[#This Row],[Activity]],Types_of_Activity[Type of Activity],Types_of_Activity[Classification])=2,Term3_Day_9[[#This Row],[Elapsed]],0))</f>
        <v/>
      </c>
      <c r="BL32" s="107"/>
      <c r="BM32" s="136"/>
      <c r="BN32" s="136"/>
      <c r="BO32" s="103"/>
      <c r="BP32" s="106" t="str">
        <f>IF(OR(ISBLANK(Term3_Day_10[[#This Row],[Start]]),ISBLANK(Term3_Day_10[[#This Row],[End]])),"",(Term3_Day_10[[#This Row],[End]]-Term3_Day_10[[#This Row],[Start]])*1440)</f>
        <v/>
      </c>
      <c r="BQ32" s="106" t="str">
        <f>IF(ISBLANK(Term3_Day_10[[#This Row],[Activity]]),"",IF(_xlfn.XLOOKUP(Term3_Day_10[[#This Row],[Activity]],Types_of_Activity[Type of Activity],Types_of_Activity[Classification])=1,Term3_Day_10[[#This Row],[Elapsed]],0))</f>
        <v/>
      </c>
      <c r="BR32" s="106" t="str">
        <f>IF(ISBLANK(Term3_Day_10[[#This Row],[Activity]]),"",IF(_xlfn.XLOOKUP(Term3_Day_10[[#This Row],[Activity]],Types_of_Activity[Type of Activity],Types_of_Activity[Classification])=2,Term3_Day_10[[#This Row],[Elapsed]],0))</f>
        <v/>
      </c>
      <c r="BS32" s="107"/>
    </row>
    <row r="33" spans="2:71" x14ac:dyDescent="0.3">
      <c r="B33" s="136"/>
      <c r="C33" s="136"/>
      <c r="D33" s="103"/>
      <c r="E33" s="106" t="str">
        <f>IF(OR(ISBLANK(Term3_Day_1[[#This Row],[Start]]),ISBLANK(Term3_Day_1[[#This Row],[End]])),"",(Term3_Day_1[[#This Row],[End]]-Term3_Day_1[[#This Row],[Start]])*1440)</f>
        <v/>
      </c>
      <c r="F33" s="106" t="str">
        <f>IF(ISBLANK(Term3_Day_1[[#This Row],[Activity]]),"",IF(_xlfn.XLOOKUP(Term3_Day_1[[#This Row],[Activity]],Types_of_Activity[Type of Activity],Types_of_Activity[Classification])=1,Term3_Day_1[[#This Row],[Elapsed]],0))</f>
        <v/>
      </c>
      <c r="G33" s="106" t="str">
        <f>IF(ISBLANK(Term3_Day_1[[#This Row],[Activity]]),"",IF(_xlfn.XLOOKUP(Term3_Day_1[[#This Row],[Activity]],Types_of_Activity[Type of Activity],Types_of_Activity[Classification])=2,Term3_Day_1[[#This Row],[Elapsed]],0))</f>
        <v/>
      </c>
      <c r="I33" s="136"/>
      <c r="J33" s="136"/>
      <c r="K33" s="103"/>
      <c r="L33" s="106" t="str">
        <f>IF(OR(ISBLANK(Term3_Day_2[[#This Row],[Start]]),ISBLANK(Term3_Day_2[[#This Row],[End]])),"",(Term3_Day_2[[#This Row],[End]]-Term3_Day_2[[#This Row],[Start]])*1440)</f>
        <v/>
      </c>
      <c r="M33" s="106" t="str">
        <f>IF(ISBLANK(Term3_Day_2[[#This Row],[Activity]]),"",IF(_xlfn.XLOOKUP(Term3_Day_2[[#This Row],[Activity]],Types_of_Activity[Type of Activity],Types_of_Activity[Classification])=1,Term3_Day_2[[#This Row],[Elapsed]],0))</f>
        <v/>
      </c>
      <c r="N33" s="106" t="str">
        <f>IF(ISBLANK(Term3_Day_2[[#This Row],[Activity]]),"",IF(_xlfn.XLOOKUP(Term3_Day_2[[#This Row],[Activity]],Types_of_Activity[Type of Activity],Types_of_Activity[Classification])=2,Term3_Day_2[[#This Row],[Elapsed]],0))</f>
        <v/>
      </c>
      <c r="P33" s="136"/>
      <c r="Q33" s="136"/>
      <c r="R33" s="103"/>
      <c r="S33" s="106" t="str">
        <f>IF(OR(ISBLANK(Term3_Day_3[[#This Row],[Start]]),ISBLANK(Term3_Day_3[[#This Row],[End]])),"",(Term3_Day_3[[#This Row],[End]]-Term3_Day_3[[#This Row],[Start]])*1440)</f>
        <v/>
      </c>
      <c r="T33" s="106" t="str">
        <f>IF(ISBLANK(Term3_Day_3[[#This Row],[Activity]]),"",IF(_xlfn.XLOOKUP(Term3_Day_3[[#This Row],[Activity]],Types_of_Activity[Type of Activity],Types_of_Activity[Classification])=1,Term3_Day_3[[#This Row],[Elapsed]],0))</f>
        <v/>
      </c>
      <c r="U33" s="106" t="str">
        <f>IF(ISBLANK(Term3_Day_3[[#This Row],[Activity]]),"",IF(_xlfn.XLOOKUP(Term3_Day_3[[#This Row],[Activity]],Types_of_Activity[Type of Activity],Types_of_Activity[Classification])=2,Term3_Day_3[[#This Row],[Elapsed]],0))</f>
        <v/>
      </c>
      <c r="W33" s="136"/>
      <c r="X33" s="136"/>
      <c r="Y33" s="103"/>
      <c r="Z33" s="106" t="str">
        <f>IF(OR(ISBLANK(Term3_Day_4[[#This Row],[Start]]),ISBLANK(Term3_Day_4[[#This Row],[End]])),"",(Term3_Day_4[[#This Row],[End]]-Term3_Day_4[[#This Row],[Start]])*1440)</f>
        <v/>
      </c>
      <c r="AA33" s="106" t="str">
        <f>IF(ISBLANK(Term3_Day_4[[#This Row],[Activity]]),"",IF(_xlfn.XLOOKUP(Term3_Day_4[[#This Row],[Activity]],Types_of_Activity[Type of Activity],Types_of_Activity[Classification])=1,Term3_Day_4[[#This Row],[Elapsed]],0))</f>
        <v/>
      </c>
      <c r="AB33" s="106" t="str">
        <f>IF(ISBLANK(Term3_Day_4[[#This Row],[Activity]]),"",IF(_xlfn.XLOOKUP(Term3_Day_4[[#This Row],[Activity]],Types_of_Activity[Type of Activity],Types_of_Activity[Classification])=2,Term3_Day_4[[#This Row],[Elapsed]],0))</f>
        <v/>
      </c>
      <c r="AD33" s="136"/>
      <c r="AE33" s="136"/>
      <c r="AF33" s="103"/>
      <c r="AG33" s="106" t="str">
        <f>IF(OR(ISBLANK(Term3_Day_5[[#This Row],[Start]]),ISBLANK(Term3_Day_5[[#This Row],[End]])),"",(Term3_Day_5[[#This Row],[End]]-Term3_Day_5[[#This Row],[Start]])*1440)</f>
        <v/>
      </c>
      <c r="AH33" s="106" t="str">
        <f>IF(ISBLANK(Term3_Day_5[[#This Row],[Activity]]),"",IF(_xlfn.XLOOKUP(Term3_Day_5[[#This Row],[Activity]],Types_of_Activity[Type of Activity],Types_of_Activity[Classification])=1,Term3_Day_5[[#This Row],[Elapsed]],0))</f>
        <v/>
      </c>
      <c r="AI33" s="106" t="str">
        <f>IF(ISBLANK(Term3_Day_5[[#This Row],[Activity]]),"",IF(_xlfn.XLOOKUP(Term3_Day_5[[#This Row],[Activity]],Types_of_Activity[Type of Activity],Types_of_Activity[Classification])=2,Term3_Day_5[[#This Row],[Elapsed]],0))</f>
        <v/>
      </c>
      <c r="AJ33" s="107"/>
      <c r="AK33" s="136"/>
      <c r="AL33" s="136"/>
      <c r="AM33" s="103"/>
      <c r="AN33" s="106" t="str">
        <f>IF(OR(ISBLANK(Term3_Day_6[[#This Row],[Start]]),ISBLANK(Term3_Day_6[[#This Row],[End]])),"",(Term3_Day_6[[#This Row],[End]]-Term3_Day_6[[#This Row],[Start]])*1440)</f>
        <v/>
      </c>
      <c r="AO33" s="106" t="str">
        <f>IF(ISBLANK(Term3_Day_6[[#This Row],[Activity]]),"",IF(_xlfn.XLOOKUP(Term3_Day_6[[#This Row],[Activity]],Types_of_Activity[Type of Activity],Types_of_Activity[Classification])=1,Term3_Day_6[[#This Row],[Elapsed]],0))</f>
        <v/>
      </c>
      <c r="AP33" s="106" t="str">
        <f>IF(ISBLANK(Term3_Day_6[[#This Row],[Activity]]),"",IF(_xlfn.XLOOKUP(Term3_Day_6[[#This Row],[Activity]],Types_of_Activity[Type of Activity],Types_of_Activity[Classification])=2,Term3_Day_6[[#This Row],[Elapsed]],0))</f>
        <v/>
      </c>
      <c r="AQ33" s="107"/>
      <c r="AR33" s="136"/>
      <c r="AS33" s="136"/>
      <c r="AT33" s="103"/>
      <c r="AU33" s="106" t="str">
        <f>IF(OR(ISBLANK(Term3_Day_7[[#This Row],[Start]]),ISBLANK(Term3_Day_7[[#This Row],[End]])),"",(Term3_Day_7[[#This Row],[End]]-Term3_Day_7[[#This Row],[Start]])*1440)</f>
        <v/>
      </c>
      <c r="AV33" s="106" t="str">
        <f>IF(ISBLANK(Term3_Day_7[[#This Row],[Activity]]),"",IF(_xlfn.XLOOKUP(Term3_Day_7[[#This Row],[Activity]],Types_of_Activity[Type of Activity],Types_of_Activity[Classification])=1,Term3_Day_7[[#This Row],[Elapsed]],0))</f>
        <v/>
      </c>
      <c r="AW33" s="106" t="str">
        <f>IF(ISBLANK(Term3_Day_7[[#This Row],[Activity]]),"",IF(_xlfn.XLOOKUP(Term3_Day_7[[#This Row],[Activity]],Types_of_Activity[Type of Activity],Types_of_Activity[Classification])=2,Term3_Day_7[[#This Row],[Elapsed]],0))</f>
        <v/>
      </c>
      <c r="AX33" s="107"/>
      <c r="AY33" s="136"/>
      <c r="AZ33" s="136"/>
      <c r="BA33" s="103"/>
      <c r="BB33" s="106" t="str">
        <f>IF(OR(ISBLANK(Term3_Day_8[[#This Row],[Start]]),ISBLANK(Term3_Day_8[[#This Row],[End]])),"",(Term3_Day_8[[#This Row],[End]]-Term3_Day_8[[#This Row],[Start]])*1440)</f>
        <v/>
      </c>
      <c r="BC33" s="106" t="str">
        <f>IF(ISBLANK(Term3_Day_8[[#This Row],[Activity]]),"",IF(_xlfn.XLOOKUP(Term3_Day_8[[#This Row],[Activity]],Types_of_Activity[Type of Activity],Types_of_Activity[Classification])=1,Term3_Day_8[[#This Row],[Elapsed]],0))</f>
        <v/>
      </c>
      <c r="BD33" s="106" t="str">
        <f>IF(ISBLANK(Term3_Day_8[[#This Row],[Activity]]),"",IF(_xlfn.XLOOKUP(Term3_Day_8[[#This Row],[Activity]],Types_of_Activity[Type of Activity],Types_of_Activity[Classification])=2,Term3_Day_8[[#This Row],[Elapsed]],0))</f>
        <v/>
      </c>
      <c r="BE33" s="107"/>
      <c r="BF33" s="136"/>
      <c r="BG33" s="136"/>
      <c r="BH33" s="103"/>
      <c r="BI33" s="106" t="str">
        <f>IF(OR(ISBLANK(Term3_Day_9[[#This Row],[Start]]),ISBLANK(Term3_Day_9[[#This Row],[End]])),"",(Term3_Day_9[[#This Row],[End]]-Term3_Day_9[[#This Row],[Start]])*1440)</f>
        <v/>
      </c>
      <c r="BJ33" s="106" t="str">
        <f>IF(ISBLANK(Term3_Day_9[[#This Row],[Activity]]),"",IF(_xlfn.XLOOKUP(Term3_Day_9[[#This Row],[Activity]],Types_of_Activity[Type of Activity],Types_of_Activity[Classification])=1,Term3_Day_9[[#This Row],[Elapsed]],0))</f>
        <v/>
      </c>
      <c r="BK33" s="106" t="str">
        <f>IF(ISBLANK(Term3_Day_9[[#This Row],[Activity]]),"",IF(_xlfn.XLOOKUP(Term3_Day_9[[#This Row],[Activity]],Types_of_Activity[Type of Activity],Types_of_Activity[Classification])=2,Term3_Day_9[[#This Row],[Elapsed]],0))</f>
        <v/>
      </c>
      <c r="BL33" s="107"/>
      <c r="BM33" s="136"/>
      <c r="BN33" s="136"/>
      <c r="BO33" s="103"/>
      <c r="BP33" s="106" t="str">
        <f>IF(OR(ISBLANK(Term3_Day_10[[#This Row],[Start]]),ISBLANK(Term3_Day_10[[#This Row],[End]])),"",(Term3_Day_10[[#This Row],[End]]-Term3_Day_10[[#This Row],[Start]])*1440)</f>
        <v/>
      </c>
      <c r="BQ33" s="106" t="str">
        <f>IF(ISBLANK(Term3_Day_10[[#This Row],[Activity]]),"",IF(_xlfn.XLOOKUP(Term3_Day_10[[#This Row],[Activity]],Types_of_Activity[Type of Activity],Types_of_Activity[Classification])=1,Term3_Day_10[[#This Row],[Elapsed]],0))</f>
        <v/>
      </c>
      <c r="BR33" s="106" t="str">
        <f>IF(ISBLANK(Term3_Day_10[[#This Row],[Activity]]),"",IF(_xlfn.XLOOKUP(Term3_Day_10[[#This Row],[Activity]],Types_of_Activity[Type of Activity],Types_of_Activity[Classification])=2,Term3_Day_10[[#This Row],[Elapsed]],0))</f>
        <v/>
      </c>
      <c r="BS33" s="107"/>
    </row>
    <row r="34" spans="2:71" x14ac:dyDescent="0.3">
      <c r="B34" s="136"/>
      <c r="C34" s="136"/>
      <c r="D34" s="103"/>
      <c r="E34" s="106" t="str">
        <f>IF(OR(ISBLANK(Term3_Day_1[[#This Row],[Start]]),ISBLANK(Term3_Day_1[[#This Row],[End]])),"",(Term3_Day_1[[#This Row],[End]]-Term3_Day_1[[#This Row],[Start]])*1440)</f>
        <v/>
      </c>
      <c r="F34" s="106" t="str">
        <f>IF(ISBLANK(Term3_Day_1[[#This Row],[Activity]]),"",IF(_xlfn.XLOOKUP(Term3_Day_1[[#This Row],[Activity]],Types_of_Activity[Type of Activity],Types_of_Activity[Classification])=1,Term3_Day_1[[#This Row],[Elapsed]],0))</f>
        <v/>
      </c>
      <c r="G34" s="106" t="str">
        <f>IF(ISBLANK(Term3_Day_1[[#This Row],[Activity]]),"",IF(_xlfn.XLOOKUP(Term3_Day_1[[#This Row],[Activity]],Types_of_Activity[Type of Activity],Types_of_Activity[Classification])=2,Term3_Day_1[[#This Row],[Elapsed]],0))</f>
        <v/>
      </c>
      <c r="I34" s="136"/>
      <c r="J34" s="136"/>
      <c r="K34" s="103"/>
      <c r="L34" s="106" t="str">
        <f>IF(OR(ISBLANK(Term3_Day_2[[#This Row],[Start]]),ISBLANK(Term3_Day_2[[#This Row],[End]])),"",(Term3_Day_2[[#This Row],[End]]-Term3_Day_2[[#This Row],[Start]])*1440)</f>
        <v/>
      </c>
      <c r="M34" s="106" t="str">
        <f>IF(ISBLANK(Term3_Day_2[[#This Row],[Activity]]),"",IF(_xlfn.XLOOKUP(Term3_Day_2[[#This Row],[Activity]],Types_of_Activity[Type of Activity],Types_of_Activity[Classification])=1,Term3_Day_2[[#This Row],[Elapsed]],0))</f>
        <v/>
      </c>
      <c r="N34" s="106" t="str">
        <f>IF(ISBLANK(Term3_Day_2[[#This Row],[Activity]]),"",IF(_xlfn.XLOOKUP(Term3_Day_2[[#This Row],[Activity]],Types_of_Activity[Type of Activity],Types_of_Activity[Classification])=2,Term3_Day_2[[#This Row],[Elapsed]],0))</f>
        <v/>
      </c>
      <c r="P34" s="136"/>
      <c r="Q34" s="136"/>
      <c r="R34" s="103"/>
      <c r="S34" s="106" t="str">
        <f>IF(OR(ISBLANK(Term3_Day_3[[#This Row],[Start]]),ISBLANK(Term3_Day_3[[#This Row],[End]])),"",(Term3_Day_3[[#This Row],[End]]-Term3_Day_3[[#This Row],[Start]])*1440)</f>
        <v/>
      </c>
      <c r="T34" s="106" t="str">
        <f>IF(ISBLANK(Term3_Day_3[[#This Row],[Activity]]),"",IF(_xlfn.XLOOKUP(Term3_Day_3[[#This Row],[Activity]],Types_of_Activity[Type of Activity],Types_of_Activity[Classification])=1,Term3_Day_3[[#This Row],[Elapsed]],0))</f>
        <v/>
      </c>
      <c r="U34" s="106" t="str">
        <f>IF(ISBLANK(Term3_Day_3[[#This Row],[Activity]]),"",IF(_xlfn.XLOOKUP(Term3_Day_3[[#This Row],[Activity]],Types_of_Activity[Type of Activity],Types_of_Activity[Classification])=2,Term3_Day_3[[#This Row],[Elapsed]],0))</f>
        <v/>
      </c>
      <c r="W34" s="136"/>
      <c r="X34" s="136"/>
      <c r="Y34" s="103"/>
      <c r="Z34" s="106" t="str">
        <f>IF(OR(ISBLANK(Term3_Day_4[[#This Row],[Start]]),ISBLANK(Term3_Day_4[[#This Row],[End]])),"",(Term3_Day_4[[#This Row],[End]]-Term3_Day_4[[#This Row],[Start]])*1440)</f>
        <v/>
      </c>
      <c r="AA34" s="106" t="str">
        <f>IF(ISBLANK(Term3_Day_4[[#This Row],[Activity]]),"",IF(_xlfn.XLOOKUP(Term3_Day_4[[#This Row],[Activity]],Types_of_Activity[Type of Activity],Types_of_Activity[Classification])=1,Term3_Day_4[[#This Row],[Elapsed]],0))</f>
        <v/>
      </c>
      <c r="AB34" s="106" t="str">
        <f>IF(ISBLANK(Term3_Day_4[[#This Row],[Activity]]),"",IF(_xlfn.XLOOKUP(Term3_Day_4[[#This Row],[Activity]],Types_of_Activity[Type of Activity],Types_of_Activity[Classification])=2,Term3_Day_4[[#This Row],[Elapsed]],0))</f>
        <v/>
      </c>
      <c r="AD34" s="136"/>
      <c r="AE34" s="136"/>
      <c r="AF34" s="103"/>
      <c r="AG34" s="106" t="str">
        <f>IF(OR(ISBLANK(Term3_Day_5[[#This Row],[Start]]),ISBLANK(Term3_Day_5[[#This Row],[End]])),"",(Term3_Day_5[[#This Row],[End]]-Term3_Day_5[[#This Row],[Start]])*1440)</f>
        <v/>
      </c>
      <c r="AH34" s="106" t="str">
        <f>IF(ISBLANK(Term3_Day_5[[#This Row],[Activity]]),"",IF(_xlfn.XLOOKUP(Term3_Day_5[[#This Row],[Activity]],Types_of_Activity[Type of Activity],Types_of_Activity[Classification])=1,Term3_Day_5[[#This Row],[Elapsed]],0))</f>
        <v/>
      </c>
      <c r="AI34" s="106" t="str">
        <f>IF(ISBLANK(Term3_Day_5[[#This Row],[Activity]]),"",IF(_xlfn.XLOOKUP(Term3_Day_5[[#This Row],[Activity]],Types_of_Activity[Type of Activity],Types_of_Activity[Classification])=2,Term3_Day_5[[#This Row],[Elapsed]],0))</f>
        <v/>
      </c>
      <c r="AJ34" s="107"/>
      <c r="AK34" s="136"/>
      <c r="AL34" s="136"/>
      <c r="AM34" s="103"/>
      <c r="AN34" s="106" t="str">
        <f>IF(OR(ISBLANK(Term3_Day_6[[#This Row],[Start]]),ISBLANK(Term3_Day_6[[#This Row],[End]])),"",(Term3_Day_6[[#This Row],[End]]-Term3_Day_6[[#This Row],[Start]])*1440)</f>
        <v/>
      </c>
      <c r="AO34" s="106" t="str">
        <f>IF(ISBLANK(Term3_Day_6[[#This Row],[Activity]]),"",IF(_xlfn.XLOOKUP(Term3_Day_6[[#This Row],[Activity]],Types_of_Activity[Type of Activity],Types_of_Activity[Classification])=1,Term3_Day_6[[#This Row],[Elapsed]],0))</f>
        <v/>
      </c>
      <c r="AP34" s="106" t="str">
        <f>IF(ISBLANK(Term3_Day_6[[#This Row],[Activity]]),"",IF(_xlfn.XLOOKUP(Term3_Day_6[[#This Row],[Activity]],Types_of_Activity[Type of Activity],Types_of_Activity[Classification])=2,Term3_Day_6[[#This Row],[Elapsed]],0))</f>
        <v/>
      </c>
      <c r="AQ34" s="107"/>
      <c r="AR34" s="136"/>
      <c r="AS34" s="136"/>
      <c r="AT34" s="103"/>
      <c r="AU34" s="106" t="str">
        <f>IF(OR(ISBLANK(Term3_Day_7[[#This Row],[Start]]),ISBLANK(Term3_Day_7[[#This Row],[End]])),"",(Term3_Day_7[[#This Row],[End]]-Term3_Day_7[[#This Row],[Start]])*1440)</f>
        <v/>
      </c>
      <c r="AV34" s="106" t="str">
        <f>IF(ISBLANK(Term3_Day_7[[#This Row],[Activity]]),"",IF(_xlfn.XLOOKUP(Term3_Day_7[[#This Row],[Activity]],Types_of_Activity[Type of Activity],Types_of_Activity[Classification])=1,Term3_Day_7[[#This Row],[Elapsed]],0))</f>
        <v/>
      </c>
      <c r="AW34" s="106" t="str">
        <f>IF(ISBLANK(Term3_Day_7[[#This Row],[Activity]]),"",IF(_xlfn.XLOOKUP(Term3_Day_7[[#This Row],[Activity]],Types_of_Activity[Type of Activity],Types_of_Activity[Classification])=2,Term3_Day_7[[#This Row],[Elapsed]],0))</f>
        <v/>
      </c>
      <c r="AX34" s="107"/>
      <c r="AY34" s="136"/>
      <c r="AZ34" s="136"/>
      <c r="BA34" s="103"/>
      <c r="BB34" s="106" t="str">
        <f>IF(OR(ISBLANK(Term3_Day_8[[#This Row],[Start]]),ISBLANK(Term3_Day_8[[#This Row],[End]])),"",(Term3_Day_8[[#This Row],[End]]-Term3_Day_8[[#This Row],[Start]])*1440)</f>
        <v/>
      </c>
      <c r="BC34" s="106" t="str">
        <f>IF(ISBLANK(Term3_Day_8[[#This Row],[Activity]]),"",IF(_xlfn.XLOOKUP(Term3_Day_8[[#This Row],[Activity]],Types_of_Activity[Type of Activity],Types_of_Activity[Classification])=1,Term3_Day_8[[#This Row],[Elapsed]],0))</f>
        <v/>
      </c>
      <c r="BD34" s="106" t="str">
        <f>IF(ISBLANK(Term3_Day_8[[#This Row],[Activity]]),"",IF(_xlfn.XLOOKUP(Term3_Day_8[[#This Row],[Activity]],Types_of_Activity[Type of Activity],Types_of_Activity[Classification])=2,Term3_Day_8[[#This Row],[Elapsed]],0))</f>
        <v/>
      </c>
      <c r="BE34" s="107"/>
      <c r="BF34" s="136"/>
      <c r="BG34" s="136"/>
      <c r="BH34" s="103"/>
      <c r="BI34" s="106" t="str">
        <f>IF(OR(ISBLANK(Term3_Day_9[[#This Row],[Start]]),ISBLANK(Term3_Day_9[[#This Row],[End]])),"",(Term3_Day_9[[#This Row],[End]]-Term3_Day_9[[#This Row],[Start]])*1440)</f>
        <v/>
      </c>
      <c r="BJ34" s="106" t="str">
        <f>IF(ISBLANK(Term3_Day_9[[#This Row],[Activity]]),"",IF(_xlfn.XLOOKUP(Term3_Day_9[[#This Row],[Activity]],Types_of_Activity[Type of Activity],Types_of_Activity[Classification])=1,Term3_Day_9[[#This Row],[Elapsed]],0))</f>
        <v/>
      </c>
      <c r="BK34" s="106" t="str">
        <f>IF(ISBLANK(Term3_Day_9[[#This Row],[Activity]]),"",IF(_xlfn.XLOOKUP(Term3_Day_9[[#This Row],[Activity]],Types_of_Activity[Type of Activity],Types_of_Activity[Classification])=2,Term3_Day_9[[#This Row],[Elapsed]],0))</f>
        <v/>
      </c>
      <c r="BL34" s="107"/>
      <c r="BM34" s="136"/>
      <c r="BN34" s="136"/>
      <c r="BO34" s="103"/>
      <c r="BP34" s="106" t="str">
        <f>IF(OR(ISBLANK(Term3_Day_10[[#This Row],[Start]]),ISBLANK(Term3_Day_10[[#This Row],[End]])),"",(Term3_Day_10[[#This Row],[End]]-Term3_Day_10[[#This Row],[Start]])*1440)</f>
        <v/>
      </c>
      <c r="BQ34" s="106" t="str">
        <f>IF(ISBLANK(Term3_Day_10[[#This Row],[Activity]]),"",IF(_xlfn.XLOOKUP(Term3_Day_10[[#This Row],[Activity]],Types_of_Activity[Type of Activity],Types_of_Activity[Classification])=1,Term3_Day_10[[#This Row],[Elapsed]],0))</f>
        <v/>
      </c>
      <c r="BR34" s="106" t="str">
        <f>IF(ISBLANK(Term3_Day_10[[#This Row],[Activity]]),"",IF(_xlfn.XLOOKUP(Term3_Day_10[[#This Row],[Activity]],Types_of_Activity[Type of Activity],Types_of_Activity[Classification])=2,Term3_Day_10[[#This Row],[Elapsed]],0))</f>
        <v/>
      </c>
      <c r="BS34" s="107"/>
    </row>
    <row r="35" spans="2:71" x14ac:dyDescent="0.3">
      <c r="B35" s="136"/>
      <c r="C35" s="136"/>
      <c r="D35" s="103"/>
      <c r="E35" s="106" t="str">
        <f>IF(OR(ISBLANK(Term3_Day_1[[#This Row],[Start]]),ISBLANK(Term3_Day_1[[#This Row],[End]])),"",(Term3_Day_1[[#This Row],[End]]-Term3_Day_1[[#This Row],[Start]])*1440)</f>
        <v/>
      </c>
      <c r="F35" s="106" t="str">
        <f>IF(ISBLANK(Term3_Day_1[[#This Row],[Activity]]),"",IF(_xlfn.XLOOKUP(Term3_Day_1[[#This Row],[Activity]],Types_of_Activity[Type of Activity],Types_of_Activity[Classification])=1,Term3_Day_1[[#This Row],[Elapsed]],0))</f>
        <v/>
      </c>
      <c r="G35" s="106" t="str">
        <f>IF(ISBLANK(Term3_Day_1[[#This Row],[Activity]]),"",IF(_xlfn.XLOOKUP(Term3_Day_1[[#This Row],[Activity]],Types_of_Activity[Type of Activity],Types_of_Activity[Classification])=2,Term3_Day_1[[#This Row],[Elapsed]],0))</f>
        <v/>
      </c>
      <c r="I35" s="136"/>
      <c r="J35" s="136"/>
      <c r="K35" s="103"/>
      <c r="L35" s="106" t="str">
        <f>IF(OR(ISBLANK(Term3_Day_2[[#This Row],[Start]]),ISBLANK(Term3_Day_2[[#This Row],[End]])),"",(Term3_Day_2[[#This Row],[End]]-Term3_Day_2[[#This Row],[Start]])*1440)</f>
        <v/>
      </c>
      <c r="M35" s="106" t="str">
        <f>IF(ISBLANK(Term3_Day_2[[#This Row],[Activity]]),"",IF(_xlfn.XLOOKUP(Term3_Day_2[[#This Row],[Activity]],Types_of_Activity[Type of Activity],Types_of_Activity[Classification])=1,Term3_Day_2[[#This Row],[Elapsed]],0))</f>
        <v/>
      </c>
      <c r="N35" s="106" t="str">
        <f>IF(ISBLANK(Term3_Day_2[[#This Row],[Activity]]),"",IF(_xlfn.XLOOKUP(Term3_Day_2[[#This Row],[Activity]],Types_of_Activity[Type of Activity],Types_of_Activity[Classification])=2,Term3_Day_2[[#This Row],[Elapsed]],0))</f>
        <v/>
      </c>
      <c r="P35" s="136"/>
      <c r="Q35" s="136"/>
      <c r="R35" s="103"/>
      <c r="S35" s="106" t="str">
        <f>IF(OR(ISBLANK(Term3_Day_3[[#This Row],[Start]]),ISBLANK(Term3_Day_3[[#This Row],[End]])),"",(Term3_Day_3[[#This Row],[End]]-Term3_Day_3[[#This Row],[Start]])*1440)</f>
        <v/>
      </c>
      <c r="T35" s="106" t="str">
        <f>IF(ISBLANK(Term3_Day_3[[#This Row],[Activity]]),"",IF(_xlfn.XLOOKUP(Term3_Day_3[[#This Row],[Activity]],Types_of_Activity[Type of Activity],Types_of_Activity[Classification])=1,Term3_Day_3[[#This Row],[Elapsed]],0))</f>
        <v/>
      </c>
      <c r="U35" s="106" t="str">
        <f>IF(ISBLANK(Term3_Day_3[[#This Row],[Activity]]),"",IF(_xlfn.XLOOKUP(Term3_Day_3[[#This Row],[Activity]],Types_of_Activity[Type of Activity],Types_of_Activity[Classification])=2,Term3_Day_3[[#This Row],[Elapsed]],0))</f>
        <v/>
      </c>
      <c r="W35" s="136"/>
      <c r="X35" s="136"/>
      <c r="Y35" s="103"/>
      <c r="Z35" s="106" t="str">
        <f>IF(OR(ISBLANK(Term3_Day_4[[#This Row],[Start]]),ISBLANK(Term3_Day_4[[#This Row],[End]])),"",(Term3_Day_4[[#This Row],[End]]-Term3_Day_4[[#This Row],[Start]])*1440)</f>
        <v/>
      </c>
      <c r="AA35" s="106" t="str">
        <f>IF(ISBLANK(Term3_Day_4[[#This Row],[Activity]]),"",IF(_xlfn.XLOOKUP(Term3_Day_4[[#This Row],[Activity]],Types_of_Activity[Type of Activity],Types_of_Activity[Classification])=1,Term3_Day_4[[#This Row],[Elapsed]],0))</f>
        <v/>
      </c>
      <c r="AB35" s="106" t="str">
        <f>IF(ISBLANK(Term3_Day_4[[#This Row],[Activity]]),"",IF(_xlfn.XLOOKUP(Term3_Day_4[[#This Row],[Activity]],Types_of_Activity[Type of Activity],Types_of_Activity[Classification])=2,Term3_Day_4[[#This Row],[Elapsed]],0))</f>
        <v/>
      </c>
      <c r="AD35" s="136"/>
      <c r="AE35" s="136"/>
      <c r="AF35" s="103"/>
      <c r="AG35" s="106" t="str">
        <f>IF(OR(ISBLANK(Term3_Day_5[[#This Row],[Start]]),ISBLANK(Term3_Day_5[[#This Row],[End]])),"",(Term3_Day_5[[#This Row],[End]]-Term3_Day_5[[#This Row],[Start]])*1440)</f>
        <v/>
      </c>
      <c r="AH35" s="106" t="str">
        <f>IF(ISBLANK(Term3_Day_5[[#This Row],[Activity]]),"",IF(_xlfn.XLOOKUP(Term3_Day_5[[#This Row],[Activity]],Types_of_Activity[Type of Activity],Types_of_Activity[Classification])=1,Term3_Day_5[[#This Row],[Elapsed]],0))</f>
        <v/>
      </c>
      <c r="AI35" s="106" t="str">
        <f>IF(ISBLANK(Term3_Day_5[[#This Row],[Activity]]),"",IF(_xlfn.XLOOKUP(Term3_Day_5[[#This Row],[Activity]],Types_of_Activity[Type of Activity],Types_of_Activity[Classification])=2,Term3_Day_5[[#This Row],[Elapsed]],0))</f>
        <v/>
      </c>
      <c r="AJ35" s="107"/>
      <c r="AK35" s="136"/>
      <c r="AL35" s="136"/>
      <c r="AM35" s="103"/>
      <c r="AN35" s="106" t="str">
        <f>IF(OR(ISBLANK(Term3_Day_6[[#This Row],[Start]]),ISBLANK(Term3_Day_6[[#This Row],[End]])),"",(Term3_Day_6[[#This Row],[End]]-Term3_Day_6[[#This Row],[Start]])*1440)</f>
        <v/>
      </c>
      <c r="AO35" s="106" t="str">
        <f>IF(ISBLANK(Term3_Day_6[[#This Row],[Activity]]),"",IF(_xlfn.XLOOKUP(Term3_Day_6[[#This Row],[Activity]],Types_of_Activity[Type of Activity],Types_of_Activity[Classification])=1,Term3_Day_6[[#This Row],[Elapsed]],0))</f>
        <v/>
      </c>
      <c r="AP35" s="106" t="str">
        <f>IF(ISBLANK(Term3_Day_6[[#This Row],[Activity]]),"",IF(_xlfn.XLOOKUP(Term3_Day_6[[#This Row],[Activity]],Types_of_Activity[Type of Activity],Types_of_Activity[Classification])=2,Term3_Day_6[[#This Row],[Elapsed]],0))</f>
        <v/>
      </c>
      <c r="AQ35" s="107"/>
      <c r="AR35" s="136"/>
      <c r="AS35" s="136"/>
      <c r="AT35" s="103"/>
      <c r="AU35" s="106" t="str">
        <f>IF(OR(ISBLANK(Term3_Day_7[[#This Row],[Start]]),ISBLANK(Term3_Day_7[[#This Row],[End]])),"",(Term3_Day_7[[#This Row],[End]]-Term3_Day_7[[#This Row],[Start]])*1440)</f>
        <v/>
      </c>
      <c r="AV35" s="106" t="str">
        <f>IF(ISBLANK(Term3_Day_7[[#This Row],[Activity]]),"",IF(_xlfn.XLOOKUP(Term3_Day_7[[#This Row],[Activity]],Types_of_Activity[Type of Activity],Types_of_Activity[Classification])=1,Term3_Day_7[[#This Row],[Elapsed]],0))</f>
        <v/>
      </c>
      <c r="AW35" s="106" t="str">
        <f>IF(ISBLANK(Term3_Day_7[[#This Row],[Activity]]),"",IF(_xlfn.XLOOKUP(Term3_Day_7[[#This Row],[Activity]],Types_of_Activity[Type of Activity],Types_of_Activity[Classification])=2,Term3_Day_7[[#This Row],[Elapsed]],0))</f>
        <v/>
      </c>
      <c r="AX35" s="107"/>
      <c r="AY35" s="136"/>
      <c r="AZ35" s="136"/>
      <c r="BA35" s="103"/>
      <c r="BB35" s="106" t="str">
        <f>IF(OR(ISBLANK(Term3_Day_8[[#This Row],[Start]]),ISBLANK(Term3_Day_8[[#This Row],[End]])),"",(Term3_Day_8[[#This Row],[End]]-Term3_Day_8[[#This Row],[Start]])*1440)</f>
        <v/>
      </c>
      <c r="BC35" s="106" t="str">
        <f>IF(ISBLANK(Term3_Day_8[[#This Row],[Activity]]),"",IF(_xlfn.XLOOKUP(Term3_Day_8[[#This Row],[Activity]],Types_of_Activity[Type of Activity],Types_of_Activity[Classification])=1,Term3_Day_8[[#This Row],[Elapsed]],0))</f>
        <v/>
      </c>
      <c r="BD35" s="106" t="str">
        <f>IF(ISBLANK(Term3_Day_8[[#This Row],[Activity]]),"",IF(_xlfn.XLOOKUP(Term3_Day_8[[#This Row],[Activity]],Types_of_Activity[Type of Activity],Types_of_Activity[Classification])=2,Term3_Day_8[[#This Row],[Elapsed]],0))</f>
        <v/>
      </c>
      <c r="BE35" s="107"/>
      <c r="BF35" s="136"/>
      <c r="BG35" s="136"/>
      <c r="BH35" s="103"/>
      <c r="BI35" s="106" t="str">
        <f>IF(OR(ISBLANK(Term3_Day_9[[#This Row],[Start]]),ISBLANK(Term3_Day_9[[#This Row],[End]])),"",(Term3_Day_9[[#This Row],[End]]-Term3_Day_9[[#This Row],[Start]])*1440)</f>
        <v/>
      </c>
      <c r="BJ35" s="106" t="str">
        <f>IF(ISBLANK(Term3_Day_9[[#This Row],[Activity]]),"",IF(_xlfn.XLOOKUP(Term3_Day_9[[#This Row],[Activity]],Types_of_Activity[Type of Activity],Types_of_Activity[Classification])=1,Term3_Day_9[[#This Row],[Elapsed]],0))</f>
        <v/>
      </c>
      <c r="BK35" s="106" t="str">
        <f>IF(ISBLANK(Term3_Day_9[[#This Row],[Activity]]),"",IF(_xlfn.XLOOKUP(Term3_Day_9[[#This Row],[Activity]],Types_of_Activity[Type of Activity],Types_of_Activity[Classification])=2,Term3_Day_9[[#This Row],[Elapsed]],0))</f>
        <v/>
      </c>
      <c r="BL35" s="107"/>
      <c r="BM35" s="136"/>
      <c r="BN35" s="136"/>
      <c r="BO35" s="103"/>
      <c r="BP35" s="106" t="str">
        <f>IF(OR(ISBLANK(Term3_Day_10[[#This Row],[Start]]),ISBLANK(Term3_Day_10[[#This Row],[End]])),"",(Term3_Day_10[[#This Row],[End]]-Term3_Day_10[[#This Row],[Start]])*1440)</f>
        <v/>
      </c>
      <c r="BQ35" s="106" t="str">
        <f>IF(ISBLANK(Term3_Day_10[[#This Row],[Activity]]),"",IF(_xlfn.XLOOKUP(Term3_Day_10[[#This Row],[Activity]],Types_of_Activity[Type of Activity],Types_of_Activity[Classification])=1,Term3_Day_10[[#This Row],[Elapsed]],0))</f>
        <v/>
      </c>
      <c r="BR35" s="106" t="str">
        <f>IF(ISBLANK(Term3_Day_10[[#This Row],[Activity]]),"",IF(_xlfn.XLOOKUP(Term3_Day_10[[#This Row],[Activity]],Types_of_Activity[Type of Activity],Types_of_Activity[Classification])=2,Term3_Day_10[[#This Row],[Elapsed]],0))</f>
        <v/>
      </c>
      <c r="BS35" s="107"/>
    </row>
    <row r="36" spans="2:71" x14ac:dyDescent="0.3">
      <c r="B36" s="136"/>
      <c r="C36" s="136"/>
      <c r="D36" s="103"/>
      <c r="E36" s="106" t="str">
        <f>IF(OR(ISBLANK(Term3_Day_1[[#This Row],[Start]]),ISBLANK(Term3_Day_1[[#This Row],[End]])),"",(Term3_Day_1[[#This Row],[End]]-Term3_Day_1[[#This Row],[Start]])*1440)</f>
        <v/>
      </c>
      <c r="F36" s="106" t="str">
        <f>IF(ISBLANK(Term3_Day_1[[#This Row],[Activity]]),"",IF(_xlfn.XLOOKUP(Term3_Day_1[[#This Row],[Activity]],Types_of_Activity[Type of Activity],Types_of_Activity[Classification])=1,Term3_Day_1[[#This Row],[Elapsed]],0))</f>
        <v/>
      </c>
      <c r="G36" s="106" t="str">
        <f>IF(ISBLANK(Term3_Day_1[[#This Row],[Activity]]),"",IF(_xlfn.XLOOKUP(Term3_Day_1[[#This Row],[Activity]],Types_of_Activity[Type of Activity],Types_of_Activity[Classification])=2,Term3_Day_1[[#This Row],[Elapsed]],0))</f>
        <v/>
      </c>
      <c r="I36" s="136"/>
      <c r="J36" s="136"/>
      <c r="K36" s="103"/>
      <c r="L36" s="106" t="str">
        <f>IF(OR(ISBLANK(Term3_Day_2[[#This Row],[Start]]),ISBLANK(Term3_Day_2[[#This Row],[End]])),"",(Term3_Day_2[[#This Row],[End]]-Term3_Day_2[[#This Row],[Start]])*1440)</f>
        <v/>
      </c>
      <c r="M36" s="106" t="str">
        <f>IF(ISBLANK(Term3_Day_2[[#This Row],[Activity]]),"",IF(_xlfn.XLOOKUP(Term3_Day_2[[#This Row],[Activity]],Types_of_Activity[Type of Activity],Types_of_Activity[Classification])=1,Term3_Day_2[[#This Row],[Elapsed]],0))</f>
        <v/>
      </c>
      <c r="N36" s="106" t="str">
        <f>IF(ISBLANK(Term3_Day_2[[#This Row],[Activity]]),"",IF(_xlfn.XLOOKUP(Term3_Day_2[[#This Row],[Activity]],Types_of_Activity[Type of Activity],Types_of_Activity[Classification])=2,Term3_Day_2[[#This Row],[Elapsed]],0))</f>
        <v/>
      </c>
      <c r="P36" s="136"/>
      <c r="Q36" s="136"/>
      <c r="R36" s="103"/>
      <c r="S36" s="106" t="str">
        <f>IF(OR(ISBLANK(Term3_Day_3[[#This Row],[Start]]),ISBLANK(Term3_Day_3[[#This Row],[End]])),"",(Term3_Day_3[[#This Row],[End]]-Term3_Day_3[[#This Row],[Start]])*1440)</f>
        <v/>
      </c>
      <c r="T36" s="106" t="str">
        <f>IF(ISBLANK(Term3_Day_3[[#This Row],[Activity]]),"",IF(_xlfn.XLOOKUP(Term3_Day_3[[#This Row],[Activity]],Types_of_Activity[Type of Activity],Types_of_Activity[Classification])=1,Term3_Day_3[[#This Row],[Elapsed]],0))</f>
        <v/>
      </c>
      <c r="U36" s="106" t="str">
        <f>IF(ISBLANK(Term3_Day_3[[#This Row],[Activity]]),"",IF(_xlfn.XLOOKUP(Term3_Day_3[[#This Row],[Activity]],Types_of_Activity[Type of Activity],Types_of_Activity[Classification])=2,Term3_Day_3[[#This Row],[Elapsed]],0))</f>
        <v/>
      </c>
      <c r="W36" s="136"/>
      <c r="X36" s="136"/>
      <c r="Y36" s="103"/>
      <c r="Z36" s="106" t="str">
        <f>IF(OR(ISBLANK(Term3_Day_4[[#This Row],[Start]]),ISBLANK(Term3_Day_4[[#This Row],[End]])),"",(Term3_Day_4[[#This Row],[End]]-Term3_Day_4[[#This Row],[Start]])*1440)</f>
        <v/>
      </c>
      <c r="AA36" s="106" t="str">
        <f>IF(ISBLANK(Term3_Day_4[[#This Row],[Activity]]),"",IF(_xlfn.XLOOKUP(Term3_Day_4[[#This Row],[Activity]],Types_of_Activity[Type of Activity],Types_of_Activity[Classification])=1,Term3_Day_4[[#This Row],[Elapsed]],0))</f>
        <v/>
      </c>
      <c r="AB36" s="106" t="str">
        <f>IF(ISBLANK(Term3_Day_4[[#This Row],[Activity]]),"",IF(_xlfn.XLOOKUP(Term3_Day_4[[#This Row],[Activity]],Types_of_Activity[Type of Activity],Types_of_Activity[Classification])=2,Term3_Day_4[[#This Row],[Elapsed]],0))</f>
        <v/>
      </c>
      <c r="AD36" s="136"/>
      <c r="AE36" s="136"/>
      <c r="AF36" s="103"/>
      <c r="AG36" s="106" t="str">
        <f>IF(OR(ISBLANK(Term3_Day_5[[#This Row],[Start]]),ISBLANK(Term3_Day_5[[#This Row],[End]])),"",(Term3_Day_5[[#This Row],[End]]-Term3_Day_5[[#This Row],[Start]])*1440)</f>
        <v/>
      </c>
      <c r="AH36" s="106" t="str">
        <f>IF(ISBLANK(Term3_Day_5[[#This Row],[Activity]]),"",IF(_xlfn.XLOOKUP(Term3_Day_5[[#This Row],[Activity]],Types_of_Activity[Type of Activity],Types_of_Activity[Classification])=1,Term3_Day_5[[#This Row],[Elapsed]],0))</f>
        <v/>
      </c>
      <c r="AI36" s="106" t="str">
        <f>IF(ISBLANK(Term3_Day_5[[#This Row],[Activity]]),"",IF(_xlfn.XLOOKUP(Term3_Day_5[[#This Row],[Activity]],Types_of_Activity[Type of Activity],Types_of_Activity[Classification])=2,Term3_Day_5[[#This Row],[Elapsed]],0))</f>
        <v/>
      </c>
      <c r="AJ36" s="107"/>
      <c r="AK36" s="136"/>
      <c r="AL36" s="136"/>
      <c r="AM36" s="103"/>
      <c r="AN36" s="106" t="str">
        <f>IF(OR(ISBLANK(Term3_Day_6[[#This Row],[Start]]),ISBLANK(Term3_Day_6[[#This Row],[End]])),"",(Term3_Day_6[[#This Row],[End]]-Term3_Day_6[[#This Row],[Start]])*1440)</f>
        <v/>
      </c>
      <c r="AO36" s="106" t="str">
        <f>IF(ISBLANK(Term3_Day_6[[#This Row],[Activity]]),"",IF(_xlfn.XLOOKUP(Term3_Day_6[[#This Row],[Activity]],Types_of_Activity[Type of Activity],Types_of_Activity[Classification])=1,Term3_Day_6[[#This Row],[Elapsed]],0))</f>
        <v/>
      </c>
      <c r="AP36" s="106" t="str">
        <f>IF(ISBLANK(Term3_Day_6[[#This Row],[Activity]]),"",IF(_xlfn.XLOOKUP(Term3_Day_6[[#This Row],[Activity]],Types_of_Activity[Type of Activity],Types_of_Activity[Classification])=2,Term3_Day_6[[#This Row],[Elapsed]],0))</f>
        <v/>
      </c>
      <c r="AQ36" s="107"/>
      <c r="AR36" s="136"/>
      <c r="AS36" s="136"/>
      <c r="AT36" s="103"/>
      <c r="AU36" s="106" t="str">
        <f>IF(OR(ISBLANK(Term3_Day_7[[#This Row],[Start]]),ISBLANK(Term3_Day_7[[#This Row],[End]])),"",(Term3_Day_7[[#This Row],[End]]-Term3_Day_7[[#This Row],[Start]])*1440)</f>
        <v/>
      </c>
      <c r="AV36" s="106" t="str">
        <f>IF(ISBLANK(Term3_Day_7[[#This Row],[Activity]]),"",IF(_xlfn.XLOOKUP(Term3_Day_7[[#This Row],[Activity]],Types_of_Activity[Type of Activity],Types_of_Activity[Classification])=1,Term3_Day_7[[#This Row],[Elapsed]],0))</f>
        <v/>
      </c>
      <c r="AW36" s="106" t="str">
        <f>IF(ISBLANK(Term3_Day_7[[#This Row],[Activity]]),"",IF(_xlfn.XLOOKUP(Term3_Day_7[[#This Row],[Activity]],Types_of_Activity[Type of Activity],Types_of_Activity[Classification])=2,Term3_Day_7[[#This Row],[Elapsed]],0))</f>
        <v/>
      </c>
      <c r="AX36" s="107"/>
      <c r="AY36" s="136"/>
      <c r="AZ36" s="136"/>
      <c r="BA36" s="103"/>
      <c r="BB36" s="106" t="str">
        <f>IF(OR(ISBLANK(Term3_Day_8[[#This Row],[Start]]),ISBLANK(Term3_Day_8[[#This Row],[End]])),"",(Term3_Day_8[[#This Row],[End]]-Term3_Day_8[[#This Row],[Start]])*1440)</f>
        <v/>
      </c>
      <c r="BC36" s="106" t="str">
        <f>IF(ISBLANK(Term3_Day_8[[#This Row],[Activity]]),"",IF(_xlfn.XLOOKUP(Term3_Day_8[[#This Row],[Activity]],Types_of_Activity[Type of Activity],Types_of_Activity[Classification])=1,Term3_Day_8[[#This Row],[Elapsed]],0))</f>
        <v/>
      </c>
      <c r="BD36" s="106" t="str">
        <f>IF(ISBLANK(Term3_Day_8[[#This Row],[Activity]]),"",IF(_xlfn.XLOOKUP(Term3_Day_8[[#This Row],[Activity]],Types_of_Activity[Type of Activity],Types_of_Activity[Classification])=2,Term3_Day_8[[#This Row],[Elapsed]],0))</f>
        <v/>
      </c>
      <c r="BE36" s="107"/>
      <c r="BF36" s="136"/>
      <c r="BG36" s="136"/>
      <c r="BH36" s="103"/>
      <c r="BI36" s="106" t="str">
        <f>IF(OR(ISBLANK(Term3_Day_9[[#This Row],[Start]]),ISBLANK(Term3_Day_9[[#This Row],[End]])),"",(Term3_Day_9[[#This Row],[End]]-Term3_Day_9[[#This Row],[Start]])*1440)</f>
        <v/>
      </c>
      <c r="BJ36" s="106" t="str">
        <f>IF(ISBLANK(Term3_Day_9[[#This Row],[Activity]]),"",IF(_xlfn.XLOOKUP(Term3_Day_9[[#This Row],[Activity]],Types_of_Activity[Type of Activity],Types_of_Activity[Classification])=1,Term3_Day_9[[#This Row],[Elapsed]],0))</f>
        <v/>
      </c>
      <c r="BK36" s="106" t="str">
        <f>IF(ISBLANK(Term3_Day_9[[#This Row],[Activity]]),"",IF(_xlfn.XLOOKUP(Term3_Day_9[[#This Row],[Activity]],Types_of_Activity[Type of Activity],Types_of_Activity[Classification])=2,Term3_Day_9[[#This Row],[Elapsed]],0))</f>
        <v/>
      </c>
      <c r="BL36" s="107"/>
      <c r="BM36" s="136"/>
      <c r="BN36" s="136"/>
      <c r="BO36" s="103"/>
      <c r="BP36" s="106" t="str">
        <f>IF(OR(ISBLANK(Term3_Day_10[[#This Row],[Start]]),ISBLANK(Term3_Day_10[[#This Row],[End]])),"",(Term3_Day_10[[#This Row],[End]]-Term3_Day_10[[#This Row],[Start]])*1440)</f>
        <v/>
      </c>
      <c r="BQ36" s="106" t="str">
        <f>IF(ISBLANK(Term3_Day_10[[#This Row],[Activity]]),"",IF(_xlfn.XLOOKUP(Term3_Day_10[[#This Row],[Activity]],Types_of_Activity[Type of Activity],Types_of_Activity[Classification])=1,Term3_Day_10[[#This Row],[Elapsed]],0))</f>
        <v/>
      </c>
      <c r="BR36" s="106" t="str">
        <f>IF(ISBLANK(Term3_Day_10[[#This Row],[Activity]]),"",IF(_xlfn.XLOOKUP(Term3_Day_10[[#This Row],[Activity]],Types_of_Activity[Type of Activity],Types_of_Activity[Classification])=2,Term3_Day_10[[#This Row],[Elapsed]],0))</f>
        <v/>
      </c>
      <c r="BS36" s="107"/>
    </row>
    <row r="37" spans="2:71" x14ac:dyDescent="0.3">
      <c r="B37" s="136"/>
      <c r="C37" s="136"/>
      <c r="D37" s="103"/>
      <c r="E37" s="106" t="str">
        <f>IF(OR(ISBLANK(Term3_Day_1[[#This Row],[Start]]),ISBLANK(Term3_Day_1[[#This Row],[End]])),"",(Term3_Day_1[[#This Row],[End]]-Term3_Day_1[[#This Row],[Start]])*1440)</f>
        <v/>
      </c>
      <c r="F37" s="106" t="str">
        <f>IF(ISBLANK(Term3_Day_1[[#This Row],[Activity]]),"",IF(_xlfn.XLOOKUP(Term3_Day_1[[#This Row],[Activity]],Types_of_Activity[Type of Activity],Types_of_Activity[Classification])=1,Term3_Day_1[[#This Row],[Elapsed]],0))</f>
        <v/>
      </c>
      <c r="G37" s="106" t="str">
        <f>IF(ISBLANK(Term3_Day_1[[#This Row],[Activity]]),"",IF(_xlfn.XLOOKUP(Term3_Day_1[[#This Row],[Activity]],Types_of_Activity[Type of Activity],Types_of_Activity[Classification])=2,Term3_Day_1[[#This Row],[Elapsed]],0))</f>
        <v/>
      </c>
      <c r="I37" s="136"/>
      <c r="J37" s="136"/>
      <c r="K37" s="103"/>
      <c r="L37" s="106" t="str">
        <f>IF(OR(ISBLANK(Term3_Day_2[[#This Row],[Start]]),ISBLANK(Term3_Day_2[[#This Row],[End]])),"",(Term3_Day_2[[#This Row],[End]]-Term3_Day_2[[#This Row],[Start]])*1440)</f>
        <v/>
      </c>
      <c r="M37" s="106" t="str">
        <f>IF(ISBLANK(Term3_Day_2[[#This Row],[Activity]]),"",IF(_xlfn.XLOOKUP(Term3_Day_2[[#This Row],[Activity]],Types_of_Activity[Type of Activity],Types_of_Activity[Classification])=1,Term3_Day_2[[#This Row],[Elapsed]],0))</f>
        <v/>
      </c>
      <c r="N37" s="106" t="str">
        <f>IF(ISBLANK(Term3_Day_2[[#This Row],[Activity]]),"",IF(_xlfn.XLOOKUP(Term3_Day_2[[#This Row],[Activity]],Types_of_Activity[Type of Activity],Types_of_Activity[Classification])=2,Term3_Day_2[[#This Row],[Elapsed]],0))</f>
        <v/>
      </c>
      <c r="P37" s="136"/>
      <c r="Q37" s="136"/>
      <c r="R37" s="103"/>
      <c r="S37" s="106" t="str">
        <f>IF(OR(ISBLANK(Term3_Day_3[[#This Row],[Start]]),ISBLANK(Term3_Day_3[[#This Row],[End]])),"",(Term3_Day_3[[#This Row],[End]]-Term3_Day_3[[#This Row],[Start]])*1440)</f>
        <v/>
      </c>
      <c r="T37" s="106" t="str">
        <f>IF(ISBLANK(Term3_Day_3[[#This Row],[Activity]]),"",IF(_xlfn.XLOOKUP(Term3_Day_3[[#This Row],[Activity]],Types_of_Activity[Type of Activity],Types_of_Activity[Classification])=1,Term3_Day_3[[#This Row],[Elapsed]],0))</f>
        <v/>
      </c>
      <c r="U37" s="106" t="str">
        <f>IF(ISBLANK(Term3_Day_3[[#This Row],[Activity]]),"",IF(_xlfn.XLOOKUP(Term3_Day_3[[#This Row],[Activity]],Types_of_Activity[Type of Activity],Types_of_Activity[Classification])=2,Term3_Day_3[[#This Row],[Elapsed]],0))</f>
        <v/>
      </c>
      <c r="W37" s="136"/>
      <c r="X37" s="136"/>
      <c r="Y37" s="103"/>
      <c r="Z37" s="106" t="str">
        <f>IF(OR(ISBLANK(Term3_Day_4[[#This Row],[Start]]),ISBLANK(Term3_Day_4[[#This Row],[End]])),"",(Term3_Day_4[[#This Row],[End]]-Term3_Day_4[[#This Row],[Start]])*1440)</f>
        <v/>
      </c>
      <c r="AA37" s="106" t="str">
        <f>IF(ISBLANK(Term3_Day_4[[#This Row],[Activity]]),"",IF(_xlfn.XLOOKUP(Term3_Day_4[[#This Row],[Activity]],Types_of_Activity[Type of Activity],Types_of_Activity[Classification])=1,Term3_Day_4[[#This Row],[Elapsed]],0))</f>
        <v/>
      </c>
      <c r="AB37" s="106" t="str">
        <f>IF(ISBLANK(Term3_Day_4[[#This Row],[Activity]]),"",IF(_xlfn.XLOOKUP(Term3_Day_4[[#This Row],[Activity]],Types_of_Activity[Type of Activity],Types_of_Activity[Classification])=2,Term3_Day_4[[#This Row],[Elapsed]],0))</f>
        <v/>
      </c>
      <c r="AD37" s="136"/>
      <c r="AE37" s="136"/>
      <c r="AF37" s="103"/>
      <c r="AG37" s="106" t="str">
        <f>IF(OR(ISBLANK(Term3_Day_5[[#This Row],[Start]]),ISBLANK(Term3_Day_5[[#This Row],[End]])),"",(Term3_Day_5[[#This Row],[End]]-Term3_Day_5[[#This Row],[Start]])*1440)</f>
        <v/>
      </c>
      <c r="AH37" s="106" t="str">
        <f>IF(ISBLANK(Term3_Day_5[[#This Row],[Activity]]),"",IF(_xlfn.XLOOKUP(Term3_Day_5[[#This Row],[Activity]],Types_of_Activity[Type of Activity],Types_of_Activity[Classification])=1,Term3_Day_5[[#This Row],[Elapsed]],0))</f>
        <v/>
      </c>
      <c r="AI37" s="106" t="str">
        <f>IF(ISBLANK(Term3_Day_5[[#This Row],[Activity]]),"",IF(_xlfn.XLOOKUP(Term3_Day_5[[#This Row],[Activity]],Types_of_Activity[Type of Activity],Types_of_Activity[Classification])=2,Term3_Day_5[[#This Row],[Elapsed]],0))</f>
        <v/>
      </c>
      <c r="AJ37" s="107"/>
      <c r="AK37" s="136"/>
      <c r="AL37" s="136"/>
      <c r="AM37" s="103"/>
      <c r="AN37" s="106" t="str">
        <f>IF(OR(ISBLANK(Term3_Day_6[[#This Row],[Start]]),ISBLANK(Term3_Day_6[[#This Row],[End]])),"",(Term3_Day_6[[#This Row],[End]]-Term3_Day_6[[#This Row],[Start]])*1440)</f>
        <v/>
      </c>
      <c r="AO37" s="106" t="str">
        <f>IF(ISBLANK(Term3_Day_6[[#This Row],[Activity]]),"",IF(_xlfn.XLOOKUP(Term3_Day_6[[#This Row],[Activity]],Types_of_Activity[Type of Activity],Types_of_Activity[Classification])=1,Term3_Day_6[[#This Row],[Elapsed]],0))</f>
        <v/>
      </c>
      <c r="AP37" s="106" t="str">
        <f>IF(ISBLANK(Term3_Day_6[[#This Row],[Activity]]),"",IF(_xlfn.XLOOKUP(Term3_Day_6[[#This Row],[Activity]],Types_of_Activity[Type of Activity],Types_of_Activity[Classification])=2,Term3_Day_6[[#This Row],[Elapsed]],0))</f>
        <v/>
      </c>
      <c r="AQ37" s="107"/>
      <c r="AR37" s="136"/>
      <c r="AS37" s="136"/>
      <c r="AT37" s="103"/>
      <c r="AU37" s="106" t="str">
        <f>IF(OR(ISBLANK(Term3_Day_7[[#This Row],[Start]]),ISBLANK(Term3_Day_7[[#This Row],[End]])),"",(Term3_Day_7[[#This Row],[End]]-Term3_Day_7[[#This Row],[Start]])*1440)</f>
        <v/>
      </c>
      <c r="AV37" s="106" t="str">
        <f>IF(ISBLANK(Term3_Day_7[[#This Row],[Activity]]),"",IF(_xlfn.XLOOKUP(Term3_Day_7[[#This Row],[Activity]],Types_of_Activity[Type of Activity],Types_of_Activity[Classification])=1,Term3_Day_7[[#This Row],[Elapsed]],0))</f>
        <v/>
      </c>
      <c r="AW37" s="106" t="str">
        <f>IF(ISBLANK(Term3_Day_7[[#This Row],[Activity]]),"",IF(_xlfn.XLOOKUP(Term3_Day_7[[#This Row],[Activity]],Types_of_Activity[Type of Activity],Types_of_Activity[Classification])=2,Term3_Day_7[[#This Row],[Elapsed]],0))</f>
        <v/>
      </c>
      <c r="AX37" s="107"/>
      <c r="AY37" s="136"/>
      <c r="AZ37" s="136"/>
      <c r="BA37" s="103"/>
      <c r="BB37" s="106" t="str">
        <f>IF(OR(ISBLANK(Term3_Day_8[[#This Row],[Start]]),ISBLANK(Term3_Day_8[[#This Row],[End]])),"",(Term3_Day_8[[#This Row],[End]]-Term3_Day_8[[#This Row],[Start]])*1440)</f>
        <v/>
      </c>
      <c r="BC37" s="106" t="str">
        <f>IF(ISBLANK(Term3_Day_8[[#This Row],[Activity]]),"",IF(_xlfn.XLOOKUP(Term3_Day_8[[#This Row],[Activity]],Types_of_Activity[Type of Activity],Types_of_Activity[Classification])=1,Term3_Day_8[[#This Row],[Elapsed]],0))</f>
        <v/>
      </c>
      <c r="BD37" s="106" t="str">
        <f>IF(ISBLANK(Term3_Day_8[[#This Row],[Activity]]),"",IF(_xlfn.XLOOKUP(Term3_Day_8[[#This Row],[Activity]],Types_of_Activity[Type of Activity],Types_of_Activity[Classification])=2,Term3_Day_8[[#This Row],[Elapsed]],0))</f>
        <v/>
      </c>
      <c r="BE37" s="107"/>
      <c r="BF37" s="136"/>
      <c r="BG37" s="136"/>
      <c r="BH37" s="103"/>
      <c r="BI37" s="106" t="str">
        <f>IF(OR(ISBLANK(Term3_Day_9[[#This Row],[Start]]),ISBLANK(Term3_Day_9[[#This Row],[End]])),"",(Term3_Day_9[[#This Row],[End]]-Term3_Day_9[[#This Row],[Start]])*1440)</f>
        <v/>
      </c>
      <c r="BJ37" s="106" t="str">
        <f>IF(ISBLANK(Term3_Day_9[[#This Row],[Activity]]),"",IF(_xlfn.XLOOKUP(Term3_Day_9[[#This Row],[Activity]],Types_of_Activity[Type of Activity],Types_of_Activity[Classification])=1,Term3_Day_9[[#This Row],[Elapsed]],0))</f>
        <v/>
      </c>
      <c r="BK37" s="106" t="str">
        <f>IF(ISBLANK(Term3_Day_9[[#This Row],[Activity]]),"",IF(_xlfn.XLOOKUP(Term3_Day_9[[#This Row],[Activity]],Types_of_Activity[Type of Activity],Types_of_Activity[Classification])=2,Term3_Day_9[[#This Row],[Elapsed]],0))</f>
        <v/>
      </c>
      <c r="BL37" s="107"/>
      <c r="BM37" s="136"/>
      <c r="BN37" s="136"/>
      <c r="BO37" s="103"/>
      <c r="BP37" s="106" t="str">
        <f>IF(OR(ISBLANK(Term3_Day_10[[#This Row],[Start]]),ISBLANK(Term3_Day_10[[#This Row],[End]])),"",(Term3_Day_10[[#This Row],[End]]-Term3_Day_10[[#This Row],[Start]])*1440)</f>
        <v/>
      </c>
      <c r="BQ37" s="106" t="str">
        <f>IF(ISBLANK(Term3_Day_10[[#This Row],[Activity]]),"",IF(_xlfn.XLOOKUP(Term3_Day_10[[#This Row],[Activity]],Types_of_Activity[Type of Activity],Types_of_Activity[Classification])=1,Term3_Day_10[[#This Row],[Elapsed]],0))</f>
        <v/>
      </c>
      <c r="BR37" s="106" t="str">
        <f>IF(ISBLANK(Term3_Day_10[[#This Row],[Activity]]),"",IF(_xlfn.XLOOKUP(Term3_Day_10[[#This Row],[Activity]],Types_of_Activity[Type of Activity],Types_of_Activity[Classification])=2,Term3_Day_10[[#This Row],[Elapsed]],0))</f>
        <v/>
      </c>
      <c r="BS37" s="107"/>
    </row>
    <row r="38" spans="2:71" x14ac:dyDescent="0.3">
      <c r="B38" s="136"/>
      <c r="C38" s="136"/>
      <c r="D38" s="103"/>
      <c r="E38" s="106" t="str">
        <f>IF(OR(ISBLANK(Term3_Day_1[[#This Row],[Start]]),ISBLANK(Term3_Day_1[[#This Row],[End]])),"",(Term3_Day_1[[#This Row],[End]]-Term3_Day_1[[#This Row],[Start]])*1440)</f>
        <v/>
      </c>
      <c r="F38" s="106" t="str">
        <f>IF(ISBLANK(Term3_Day_1[[#This Row],[Activity]]),"",IF(_xlfn.XLOOKUP(Term3_Day_1[[#This Row],[Activity]],Types_of_Activity[Type of Activity],Types_of_Activity[Classification])=1,Term3_Day_1[[#This Row],[Elapsed]],0))</f>
        <v/>
      </c>
      <c r="G38" s="106" t="str">
        <f>IF(ISBLANK(Term3_Day_1[[#This Row],[Activity]]),"",IF(_xlfn.XLOOKUP(Term3_Day_1[[#This Row],[Activity]],Types_of_Activity[Type of Activity],Types_of_Activity[Classification])=2,Term3_Day_1[[#This Row],[Elapsed]],0))</f>
        <v/>
      </c>
      <c r="I38" s="136"/>
      <c r="J38" s="136"/>
      <c r="K38" s="103"/>
      <c r="L38" s="106" t="str">
        <f>IF(OR(ISBLANK(Term3_Day_2[[#This Row],[Start]]),ISBLANK(Term3_Day_2[[#This Row],[End]])),"",(Term3_Day_2[[#This Row],[End]]-Term3_Day_2[[#This Row],[Start]])*1440)</f>
        <v/>
      </c>
      <c r="M38" s="106" t="str">
        <f>IF(ISBLANK(Term3_Day_2[[#This Row],[Activity]]),"",IF(_xlfn.XLOOKUP(Term3_Day_2[[#This Row],[Activity]],Types_of_Activity[Type of Activity],Types_of_Activity[Classification])=1,Term3_Day_2[[#This Row],[Elapsed]],0))</f>
        <v/>
      </c>
      <c r="N38" s="106" t="str">
        <f>IF(ISBLANK(Term3_Day_2[[#This Row],[Activity]]),"",IF(_xlfn.XLOOKUP(Term3_Day_2[[#This Row],[Activity]],Types_of_Activity[Type of Activity],Types_of_Activity[Classification])=2,Term3_Day_2[[#This Row],[Elapsed]],0))</f>
        <v/>
      </c>
      <c r="P38" s="136"/>
      <c r="Q38" s="136"/>
      <c r="R38" s="103"/>
      <c r="S38" s="106" t="str">
        <f>IF(OR(ISBLANK(Term3_Day_3[[#This Row],[Start]]),ISBLANK(Term3_Day_3[[#This Row],[End]])),"",(Term3_Day_3[[#This Row],[End]]-Term3_Day_3[[#This Row],[Start]])*1440)</f>
        <v/>
      </c>
      <c r="T38" s="106" t="str">
        <f>IF(ISBLANK(Term3_Day_3[[#This Row],[Activity]]),"",IF(_xlfn.XLOOKUP(Term3_Day_3[[#This Row],[Activity]],Types_of_Activity[Type of Activity],Types_of_Activity[Classification])=1,Term3_Day_3[[#This Row],[Elapsed]],0))</f>
        <v/>
      </c>
      <c r="U38" s="106" t="str">
        <f>IF(ISBLANK(Term3_Day_3[[#This Row],[Activity]]),"",IF(_xlfn.XLOOKUP(Term3_Day_3[[#This Row],[Activity]],Types_of_Activity[Type of Activity],Types_of_Activity[Classification])=2,Term3_Day_3[[#This Row],[Elapsed]],0))</f>
        <v/>
      </c>
      <c r="W38" s="136"/>
      <c r="X38" s="136"/>
      <c r="Y38" s="103"/>
      <c r="Z38" s="106" t="str">
        <f>IF(OR(ISBLANK(Term3_Day_4[[#This Row],[Start]]),ISBLANK(Term3_Day_4[[#This Row],[End]])),"",(Term3_Day_4[[#This Row],[End]]-Term3_Day_4[[#This Row],[Start]])*1440)</f>
        <v/>
      </c>
      <c r="AA38" s="106" t="str">
        <f>IF(ISBLANK(Term3_Day_4[[#This Row],[Activity]]),"",IF(_xlfn.XLOOKUP(Term3_Day_4[[#This Row],[Activity]],Types_of_Activity[Type of Activity],Types_of_Activity[Classification])=1,Term3_Day_4[[#This Row],[Elapsed]],0))</f>
        <v/>
      </c>
      <c r="AB38" s="106" t="str">
        <f>IF(ISBLANK(Term3_Day_4[[#This Row],[Activity]]),"",IF(_xlfn.XLOOKUP(Term3_Day_4[[#This Row],[Activity]],Types_of_Activity[Type of Activity],Types_of_Activity[Classification])=2,Term3_Day_4[[#This Row],[Elapsed]],0))</f>
        <v/>
      </c>
      <c r="AD38" s="136"/>
      <c r="AE38" s="136"/>
      <c r="AF38" s="103"/>
      <c r="AG38" s="106" t="str">
        <f>IF(OR(ISBLANK(Term3_Day_5[[#This Row],[Start]]),ISBLANK(Term3_Day_5[[#This Row],[End]])),"",(Term3_Day_5[[#This Row],[End]]-Term3_Day_5[[#This Row],[Start]])*1440)</f>
        <v/>
      </c>
      <c r="AH38" s="106" t="str">
        <f>IF(ISBLANK(Term3_Day_5[[#This Row],[Activity]]),"",IF(_xlfn.XLOOKUP(Term3_Day_5[[#This Row],[Activity]],Types_of_Activity[Type of Activity],Types_of_Activity[Classification])=1,Term3_Day_5[[#This Row],[Elapsed]],0))</f>
        <v/>
      </c>
      <c r="AI38" s="106" t="str">
        <f>IF(ISBLANK(Term3_Day_5[[#This Row],[Activity]]),"",IF(_xlfn.XLOOKUP(Term3_Day_5[[#This Row],[Activity]],Types_of_Activity[Type of Activity],Types_of_Activity[Classification])=2,Term3_Day_5[[#This Row],[Elapsed]],0))</f>
        <v/>
      </c>
      <c r="AJ38" s="107"/>
      <c r="AK38" s="136"/>
      <c r="AL38" s="136"/>
      <c r="AM38" s="103"/>
      <c r="AN38" s="106" t="str">
        <f>IF(OR(ISBLANK(Term3_Day_6[[#This Row],[Start]]),ISBLANK(Term3_Day_6[[#This Row],[End]])),"",(Term3_Day_6[[#This Row],[End]]-Term3_Day_6[[#This Row],[Start]])*1440)</f>
        <v/>
      </c>
      <c r="AO38" s="106" t="str">
        <f>IF(ISBLANK(Term3_Day_6[[#This Row],[Activity]]),"",IF(_xlfn.XLOOKUP(Term3_Day_6[[#This Row],[Activity]],Types_of_Activity[Type of Activity],Types_of_Activity[Classification])=1,Term3_Day_6[[#This Row],[Elapsed]],0))</f>
        <v/>
      </c>
      <c r="AP38" s="106" t="str">
        <f>IF(ISBLANK(Term3_Day_6[[#This Row],[Activity]]),"",IF(_xlfn.XLOOKUP(Term3_Day_6[[#This Row],[Activity]],Types_of_Activity[Type of Activity],Types_of_Activity[Classification])=2,Term3_Day_6[[#This Row],[Elapsed]],0))</f>
        <v/>
      </c>
      <c r="AQ38" s="107"/>
      <c r="AR38" s="136"/>
      <c r="AS38" s="136"/>
      <c r="AT38" s="103"/>
      <c r="AU38" s="106" t="str">
        <f>IF(OR(ISBLANK(Term3_Day_7[[#This Row],[Start]]),ISBLANK(Term3_Day_7[[#This Row],[End]])),"",(Term3_Day_7[[#This Row],[End]]-Term3_Day_7[[#This Row],[Start]])*1440)</f>
        <v/>
      </c>
      <c r="AV38" s="106" t="str">
        <f>IF(ISBLANK(Term3_Day_7[[#This Row],[Activity]]),"",IF(_xlfn.XLOOKUP(Term3_Day_7[[#This Row],[Activity]],Types_of_Activity[Type of Activity],Types_of_Activity[Classification])=1,Term3_Day_7[[#This Row],[Elapsed]],0))</f>
        <v/>
      </c>
      <c r="AW38" s="106" t="str">
        <f>IF(ISBLANK(Term3_Day_7[[#This Row],[Activity]]),"",IF(_xlfn.XLOOKUP(Term3_Day_7[[#This Row],[Activity]],Types_of_Activity[Type of Activity],Types_of_Activity[Classification])=2,Term3_Day_7[[#This Row],[Elapsed]],0))</f>
        <v/>
      </c>
      <c r="AX38" s="107"/>
      <c r="AY38" s="136"/>
      <c r="AZ38" s="136"/>
      <c r="BA38" s="103"/>
      <c r="BB38" s="106" t="str">
        <f>IF(OR(ISBLANK(Term3_Day_8[[#This Row],[Start]]),ISBLANK(Term3_Day_8[[#This Row],[End]])),"",(Term3_Day_8[[#This Row],[End]]-Term3_Day_8[[#This Row],[Start]])*1440)</f>
        <v/>
      </c>
      <c r="BC38" s="106" t="str">
        <f>IF(ISBLANK(Term3_Day_8[[#This Row],[Activity]]),"",IF(_xlfn.XLOOKUP(Term3_Day_8[[#This Row],[Activity]],Types_of_Activity[Type of Activity],Types_of_Activity[Classification])=1,Term3_Day_8[[#This Row],[Elapsed]],0))</f>
        <v/>
      </c>
      <c r="BD38" s="106" t="str">
        <f>IF(ISBLANK(Term3_Day_8[[#This Row],[Activity]]),"",IF(_xlfn.XLOOKUP(Term3_Day_8[[#This Row],[Activity]],Types_of_Activity[Type of Activity],Types_of_Activity[Classification])=2,Term3_Day_8[[#This Row],[Elapsed]],0))</f>
        <v/>
      </c>
      <c r="BE38" s="107"/>
      <c r="BF38" s="136"/>
      <c r="BG38" s="136"/>
      <c r="BH38" s="103"/>
      <c r="BI38" s="106" t="str">
        <f>IF(OR(ISBLANK(Term3_Day_9[[#This Row],[Start]]),ISBLANK(Term3_Day_9[[#This Row],[End]])),"",(Term3_Day_9[[#This Row],[End]]-Term3_Day_9[[#This Row],[Start]])*1440)</f>
        <v/>
      </c>
      <c r="BJ38" s="106" t="str">
        <f>IF(ISBLANK(Term3_Day_9[[#This Row],[Activity]]),"",IF(_xlfn.XLOOKUP(Term3_Day_9[[#This Row],[Activity]],Types_of_Activity[Type of Activity],Types_of_Activity[Classification])=1,Term3_Day_9[[#This Row],[Elapsed]],0))</f>
        <v/>
      </c>
      <c r="BK38" s="106" t="str">
        <f>IF(ISBLANK(Term3_Day_9[[#This Row],[Activity]]),"",IF(_xlfn.XLOOKUP(Term3_Day_9[[#This Row],[Activity]],Types_of_Activity[Type of Activity],Types_of_Activity[Classification])=2,Term3_Day_9[[#This Row],[Elapsed]],0))</f>
        <v/>
      </c>
      <c r="BL38" s="107"/>
      <c r="BM38" s="136"/>
      <c r="BN38" s="136"/>
      <c r="BO38" s="103"/>
      <c r="BP38" s="106" t="str">
        <f>IF(OR(ISBLANK(Term3_Day_10[[#This Row],[Start]]),ISBLANK(Term3_Day_10[[#This Row],[End]])),"",(Term3_Day_10[[#This Row],[End]]-Term3_Day_10[[#This Row],[Start]])*1440)</f>
        <v/>
      </c>
      <c r="BQ38" s="106" t="str">
        <f>IF(ISBLANK(Term3_Day_10[[#This Row],[Activity]]),"",IF(_xlfn.XLOOKUP(Term3_Day_10[[#This Row],[Activity]],Types_of_Activity[Type of Activity],Types_of_Activity[Classification])=1,Term3_Day_10[[#This Row],[Elapsed]],0))</f>
        <v/>
      </c>
      <c r="BR38" s="106" t="str">
        <f>IF(ISBLANK(Term3_Day_10[[#This Row],[Activity]]),"",IF(_xlfn.XLOOKUP(Term3_Day_10[[#This Row],[Activity]],Types_of_Activity[Type of Activity],Types_of_Activity[Classification])=2,Term3_Day_10[[#This Row],[Elapsed]],0))</f>
        <v/>
      </c>
      <c r="BS38" s="107"/>
    </row>
    <row r="39" spans="2:71" x14ac:dyDescent="0.3">
      <c r="B39" s="136"/>
      <c r="C39" s="136"/>
      <c r="D39" s="103"/>
      <c r="E39" s="106" t="str">
        <f>IF(OR(ISBLANK(Term3_Day_1[[#This Row],[Start]]),ISBLANK(Term3_Day_1[[#This Row],[End]])),"",(Term3_Day_1[[#This Row],[End]]-Term3_Day_1[[#This Row],[Start]])*1440)</f>
        <v/>
      </c>
      <c r="F39" s="106" t="str">
        <f>IF(ISBLANK(Term3_Day_1[[#This Row],[Activity]]),"",IF(_xlfn.XLOOKUP(Term3_Day_1[[#This Row],[Activity]],Types_of_Activity[Type of Activity],Types_of_Activity[Classification])=1,Term3_Day_1[[#This Row],[Elapsed]],0))</f>
        <v/>
      </c>
      <c r="G39" s="106" t="str">
        <f>IF(ISBLANK(Term3_Day_1[[#This Row],[Activity]]),"",IF(_xlfn.XLOOKUP(Term3_Day_1[[#This Row],[Activity]],Types_of_Activity[Type of Activity],Types_of_Activity[Classification])=2,Term3_Day_1[[#This Row],[Elapsed]],0))</f>
        <v/>
      </c>
      <c r="I39" s="136"/>
      <c r="J39" s="136"/>
      <c r="K39" s="103"/>
      <c r="L39" s="106" t="str">
        <f>IF(OR(ISBLANK(Term3_Day_2[[#This Row],[Start]]),ISBLANK(Term3_Day_2[[#This Row],[End]])),"",(Term3_Day_2[[#This Row],[End]]-Term3_Day_2[[#This Row],[Start]])*1440)</f>
        <v/>
      </c>
      <c r="M39" s="106" t="str">
        <f>IF(ISBLANK(Term3_Day_2[[#This Row],[Activity]]),"",IF(_xlfn.XLOOKUP(Term3_Day_2[[#This Row],[Activity]],Types_of_Activity[Type of Activity],Types_of_Activity[Classification])=1,Term3_Day_2[[#This Row],[Elapsed]],0))</f>
        <v/>
      </c>
      <c r="N39" s="106" t="str">
        <f>IF(ISBLANK(Term3_Day_2[[#This Row],[Activity]]),"",IF(_xlfn.XLOOKUP(Term3_Day_2[[#This Row],[Activity]],Types_of_Activity[Type of Activity],Types_of_Activity[Classification])=2,Term3_Day_2[[#This Row],[Elapsed]],0))</f>
        <v/>
      </c>
      <c r="P39" s="136"/>
      <c r="Q39" s="136"/>
      <c r="R39" s="103"/>
      <c r="S39" s="106" t="str">
        <f>IF(OR(ISBLANK(Term3_Day_3[[#This Row],[Start]]),ISBLANK(Term3_Day_3[[#This Row],[End]])),"",(Term3_Day_3[[#This Row],[End]]-Term3_Day_3[[#This Row],[Start]])*1440)</f>
        <v/>
      </c>
      <c r="T39" s="106" t="str">
        <f>IF(ISBLANK(Term3_Day_3[[#This Row],[Activity]]),"",IF(_xlfn.XLOOKUP(Term3_Day_3[[#This Row],[Activity]],Types_of_Activity[Type of Activity],Types_of_Activity[Classification])=1,Term3_Day_3[[#This Row],[Elapsed]],0))</f>
        <v/>
      </c>
      <c r="U39" s="106" t="str">
        <f>IF(ISBLANK(Term3_Day_3[[#This Row],[Activity]]),"",IF(_xlfn.XLOOKUP(Term3_Day_3[[#This Row],[Activity]],Types_of_Activity[Type of Activity],Types_of_Activity[Classification])=2,Term3_Day_3[[#This Row],[Elapsed]],0))</f>
        <v/>
      </c>
      <c r="W39" s="136"/>
      <c r="X39" s="136"/>
      <c r="Y39" s="103"/>
      <c r="Z39" s="106" t="str">
        <f>IF(OR(ISBLANK(Term3_Day_4[[#This Row],[Start]]),ISBLANK(Term3_Day_4[[#This Row],[End]])),"",(Term3_Day_4[[#This Row],[End]]-Term3_Day_4[[#This Row],[Start]])*1440)</f>
        <v/>
      </c>
      <c r="AA39" s="106" t="str">
        <f>IF(ISBLANK(Term3_Day_4[[#This Row],[Activity]]),"",IF(_xlfn.XLOOKUP(Term3_Day_4[[#This Row],[Activity]],Types_of_Activity[Type of Activity],Types_of_Activity[Classification])=1,Term3_Day_4[[#This Row],[Elapsed]],0))</f>
        <v/>
      </c>
      <c r="AB39" s="106" t="str">
        <f>IF(ISBLANK(Term3_Day_4[[#This Row],[Activity]]),"",IF(_xlfn.XLOOKUP(Term3_Day_4[[#This Row],[Activity]],Types_of_Activity[Type of Activity],Types_of_Activity[Classification])=2,Term3_Day_4[[#This Row],[Elapsed]],0))</f>
        <v/>
      </c>
      <c r="AD39" s="136"/>
      <c r="AE39" s="136"/>
      <c r="AF39" s="103"/>
      <c r="AG39" s="106" t="str">
        <f>IF(OR(ISBLANK(Term3_Day_5[[#This Row],[Start]]),ISBLANK(Term3_Day_5[[#This Row],[End]])),"",(Term3_Day_5[[#This Row],[End]]-Term3_Day_5[[#This Row],[Start]])*1440)</f>
        <v/>
      </c>
      <c r="AH39" s="106" t="str">
        <f>IF(ISBLANK(Term3_Day_5[[#This Row],[Activity]]),"",IF(_xlfn.XLOOKUP(Term3_Day_5[[#This Row],[Activity]],Types_of_Activity[Type of Activity],Types_of_Activity[Classification])=1,Term3_Day_5[[#This Row],[Elapsed]],0))</f>
        <v/>
      </c>
      <c r="AI39" s="106" t="str">
        <f>IF(ISBLANK(Term3_Day_5[[#This Row],[Activity]]),"",IF(_xlfn.XLOOKUP(Term3_Day_5[[#This Row],[Activity]],Types_of_Activity[Type of Activity],Types_of_Activity[Classification])=2,Term3_Day_5[[#This Row],[Elapsed]],0))</f>
        <v/>
      </c>
      <c r="AJ39" s="107"/>
      <c r="AK39" s="136"/>
      <c r="AL39" s="136"/>
      <c r="AM39" s="103"/>
      <c r="AN39" s="106" t="str">
        <f>IF(OR(ISBLANK(Term3_Day_6[[#This Row],[Start]]),ISBLANK(Term3_Day_6[[#This Row],[End]])),"",(Term3_Day_6[[#This Row],[End]]-Term3_Day_6[[#This Row],[Start]])*1440)</f>
        <v/>
      </c>
      <c r="AO39" s="106" t="str">
        <f>IF(ISBLANK(Term3_Day_6[[#This Row],[Activity]]),"",IF(_xlfn.XLOOKUP(Term3_Day_6[[#This Row],[Activity]],Types_of_Activity[Type of Activity],Types_of_Activity[Classification])=1,Term3_Day_6[[#This Row],[Elapsed]],0))</f>
        <v/>
      </c>
      <c r="AP39" s="106" t="str">
        <f>IF(ISBLANK(Term3_Day_6[[#This Row],[Activity]]),"",IF(_xlfn.XLOOKUP(Term3_Day_6[[#This Row],[Activity]],Types_of_Activity[Type of Activity],Types_of_Activity[Classification])=2,Term3_Day_6[[#This Row],[Elapsed]],0))</f>
        <v/>
      </c>
      <c r="AQ39" s="107"/>
      <c r="AR39" s="136"/>
      <c r="AS39" s="136"/>
      <c r="AT39" s="103"/>
      <c r="AU39" s="106" t="str">
        <f>IF(OR(ISBLANK(Term3_Day_7[[#This Row],[Start]]),ISBLANK(Term3_Day_7[[#This Row],[End]])),"",(Term3_Day_7[[#This Row],[End]]-Term3_Day_7[[#This Row],[Start]])*1440)</f>
        <v/>
      </c>
      <c r="AV39" s="106" t="str">
        <f>IF(ISBLANK(Term3_Day_7[[#This Row],[Activity]]),"",IF(_xlfn.XLOOKUP(Term3_Day_7[[#This Row],[Activity]],Types_of_Activity[Type of Activity],Types_of_Activity[Classification])=1,Term3_Day_7[[#This Row],[Elapsed]],0))</f>
        <v/>
      </c>
      <c r="AW39" s="106" t="str">
        <f>IF(ISBLANK(Term3_Day_7[[#This Row],[Activity]]),"",IF(_xlfn.XLOOKUP(Term3_Day_7[[#This Row],[Activity]],Types_of_Activity[Type of Activity],Types_of_Activity[Classification])=2,Term3_Day_7[[#This Row],[Elapsed]],0))</f>
        <v/>
      </c>
      <c r="AX39" s="107"/>
      <c r="AY39" s="136"/>
      <c r="AZ39" s="136"/>
      <c r="BA39" s="103"/>
      <c r="BB39" s="106" t="str">
        <f>IF(OR(ISBLANK(Term3_Day_8[[#This Row],[Start]]),ISBLANK(Term3_Day_8[[#This Row],[End]])),"",(Term3_Day_8[[#This Row],[End]]-Term3_Day_8[[#This Row],[Start]])*1440)</f>
        <v/>
      </c>
      <c r="BC39" s="106" t="str">
        <f>IF(ISBLANK(Term3_Day_8[[#This Row],[Activity]]),"",IF(_xlfn.XLOOKUP(Term3_Day_8[[#This Row],[Activity]],Types_of_Activity[Type of Activity],Types_of_Activity[Classification])=1,Term3_Day_8[[#This Row],[Elapsed]],0))</f>
        <v/>
      </c>
      <c r="BD39" s="106" t="str">
        <f>IF(ISBLANK(Term3_Day_8[[#This Row],[Activity]]),"",IF(_xlfn.XLOOKUP(Term3_Day_8[[#This Row],[Activity]],Types_of_Activity[Type of Activity],Types_of_Activity[Classification])=2,Term3_Day_8[[#This Row],[Elapsed]],0))</f>
        <v/>
      </c>
      <c r="BE39" s="107"/>
      <c r="BF39" s="136"/>
      <c r="BG39" s="136"/>
      <c r="BH39" s="103"/>
      <c r="BI39" s="106" t="str">
        <f>IF(OR(ISBLANK(Term3_Day_9[[#This Row],[Start]]),ISBLANK(Term3_Day_9[[#This Row],[End]])),"",(Term3_Day_9[[#This Row],[End]]-Term3_Day_9[[#This Row],[Start]])*1440)</f>
        <v/>
      </c>
      <c r="BJ39" s="106" t="str">
        <f>IF(ISBLANK(Term3_Day_9[[#This Row],[Activity]]),"",IF(_xlfn.XLOOKUP(Term3_Day_9[[#This Row],[Activity]],Types_of_Activity[Type of Activity],Types_of_Activity[Classification])=1,Term3_Day_9[[#This Row],[Elapsed]],0))</f>
        <v/>
      </c>
      <c r="BK39" s="106" t="str">
        <f>IF(ISBLANK(Term3_Day_9[[#This Row],[Activity]]),"",IF(_xlfn.XLOOKUP(Term3_Day_9[[#This Row],[Activity]],Types_of_Activity[Type of Activity],Types_of_Activity[Classification])=2,Term3_Day_9[[#This Row],[Elapsed]],0))</f>
        <v/>
      </c>
      <c r="BL39" s="107"/>
      <c r="BM39" s="136"/>
      <c r="BN39" s="136"/>
      <c r="BO39" s="103"/>
      <c r="BP39" s="106" t="str">
        <f>IF(OR(ISBLANK(Term3_Day_10[[#This Row],[Start]]),ISBLANK(Term3_Day_10[[#This Row],[End]])),"",(Term3_Day_10[[#This Row],[End]]-Term3_Day_10[[#This Row],[Start]])*1440)</f>
        <v/>
      </c>
      <c r="BQ39" s="106" t="str">
        <f>IF(ISBLANK(Term3_Day_10[[#This Row],[Activity]]),"",IF(_xlfn.XLOOKUP(Term3_Day_10[[#This Row],[Activity]],Types_of_Activity[Type of Activity],Types_of_Activity[Classification])=1,Term3_Day_10[[#This Row],[Elapsed]],0))</f>
        <v/>
      </c>
      <c r="BR39" s="106" t="str">
        <f>IF(ISBLANK(Term3_Day_10[[#This Row],[Activity]]),"",IF(_xlfn.XLOOKUP(Term3_Day_10[[#This Row],[Activity]],Types_of_Activity[Type of Activity],Types_of_Activity[Classification])=2,Term3_Day_10[[#This Row],[Elapsed]],0))</f>
        <v/>
      </c>
      <c r="BS39" s="107"/>
    </row>
    <row r="40" spans="2:71" x14ac:dyDescent="0.3">
      <c r="B40" s="136"/>
      <c r="C40" s="136"/>
      <c r="D40" s="103"/>
      <c r="E40" s="106" t="str">
        <f>IF(OR(ISBLANK(Term3_Day_1[[#This Row],[Start]]),ISBLANK(Term3_Day_1[[#This Row],[End]])),"",(Term3_Day_1[[#This Row],[End]]-Term3_Day_1[[#This Row],[Start]])*1440)</f>
        <v/>
      </c>
      <c r="F40" s="106" t="str">
        <f>IF(ISBLANK(Term3_Day_1[[#This Row],[Activity]]),"",IF(_xlfn.XLOOKUP(Term3_Day_1[[#This Row],[Activity]],Types_of_Activity[Type of Activity],Types_of_Activity[Classification])=1,Term3_Day_1[[#This Row],[Elapsed]],0))</f>
        <v/>
      </c>
      <c r="G40" s="106" t="str">
        <f>IF(ISBLANK(Term3_Day_1[[#This Row],[Activity]]),"",IF(_xlfn.XLOOKUP(Term3_Day_1[[#This Row],[Activity]],Types_of_Activity[Type of Activity],Types_of_Activity[Classification])=2,Term3_Day_1[[#This Row],[Elapsed]],0))</f>
        <v/>
      </c>
      <c r="I40" s="136"/>
      <c r="J40" s="136"/>
      <c r="K40" s="103"/>
      <c r="L40" s="106" t="str">
        <f>IF(OR(ISBLANK(Term3_Day_2[[#This Row],[Start]]),ISBLANK(Term3_Day_2[[#This Row],[End]])),"",(Term3_Day_2[[#This Row],[End]]-Term3_Day_2[[#This Row],[Start]])*1440)</f>
        <v/>
      </c>
      <c r="M40" s="106" t="str">
        <f>IF(ISBLANK(Term3_Day_2[[#This Row],[Activity]]),"",IF(_xlfn.XLOOKUP(Term3_Day_2[[#This Row],[Activity]],Types_of_Activity[Type of Activity],Types_of_Activity[Classification])=1,Term3_Day_2[[#This Row],[Elapsed]],0))</f>
        <v/>
      </c>
      <c r="N40" s="106" t="str">
        <f>IF(ISBLANK(Term3_Day_2[[#This Row],[Activity]]),"",IF(_xlfn.XLOOKUP(Term3_Day_2[[#This Row],[Activity]],Types_of_Activity[Type of Activity],Types_of_Activity[Classification])=2,Term3_Day_2[[#This Row],[Elapsed]],0))</f>
        <v/>
      </c>
      <c r="P40" s="136"/>
      <c r="Q40" s="136"/>
      <c r="R40" s="103"/>
      <c r="S40" s="106" t="str">
        <f>IF(OR(ISBLANK(Term3_Day_3[[#This Row],[Start]]),ISBLANK(Term3_Day_3[[#This Row],[End]])),"",(Term3_Day_3[[#This Row],[End]]-Term3_Day_3[[#This Row],[Start]])*1440)</f>
        <v/>
      </c>
      <c r="T40" s="106" t="str">
        <f>IF(ISBLANK(Term3_Day_3[[#This Row],[Activity]]),"",IF(_xlfn.XLOOKUP(Term3_Day_3[[#This Row],[Activity]],Types_of_Activity[Type of Activity],Types_of_Activity[Classification])=1,Term3_Day_3[[#This Row],[Elapsed]],0))</f>
        <v/>
      </c>
      <c r="U40" s="106" t="str">
        <f>IF(ISBLANK(Term3_Day_3[[#This Row],[Activity]]),"",IF(_xlfn.XLOOKUP(Term3_Day_3[[#This Row],[Activity]],Types_of_Activity[Type of Activity],Types_of_Activity[Classification])=2,Term3_Day_3[[#This Row],[Elapsed]],0))</f>
        <v/>
      </c>
      <c r="W40" s="136"/>
      <c r="X40" s="136"/>
      <c r="Y40" s="103"/>
      <c r="Z40" s="106" t="str">
        <f>IF(OR(ISBLANK(Term3_Day_4[[#This Row],[Start]]),ISBLANK(Term3_Day_4[[#This Row],[End]])),"",(Term3_Day_4[[#This Row],[End]]-Term3_Day_4[[#This Row],[Start]])*1440)</f>
        <v/>
      </c>
      <c r="AA40" s="106" t="str">
        <f>IF(ISBLANK(Term3_Day_4[[#This Row],[Activity]]),"",IF(_xlfn.XLOOKUP(Term3_Day_4[[#This Row],[Activity]],Types_of_Activity[Type of Activity],Types_of_Activity[Classification])=1,Term3_Day_4[[#This Row],[Elapsed]],0))</f>
        <v/>
      </c>
      <c r="AB40" s="106" t="str">
        <f>IF(ISBLANK(Term3_Day_4[[#This Row],[Activity]]),"",IF(_xlfn.XLOOKUP(Term3_Day_4[[#This Row],[Activity]],Types_of_Activity[Type of Activity],Types_of_Activity[Classification])=2,Term3_Day_4[[#This Row],[Elapsed]],0))</f>
        <v/>
      </c>
      <c r="AD40" s="136"/>
      <c r="AE40" s="136"/>
      <c r="AF40" s="103"/>
      <c r="AG40" s="106" t="str">
        <f>IF(OR(ISBLANK(Term3_Day_5[[#This Row],[Start]]),ISBLANK(Term3_Day_5[[#This Row],[End]])),"",(Term3_Day_5[[#This Row],[End]]-Term3_Day_5[[#This Row],[Start]])*1440)</f>
        <v/>
      </c>
      <c r="AH40" s="106" t="str">
        <f>IF(ISBLANK(Term3_Day_5[[#This Row],[Activity]]),"",IF(_xlfn.XLOOKUP(Term3_Day_5[[#This Row],[Activity]],Types_of_Activity[Type of Activity],Types_of_Activity[Classification])=1,Term3_Day_5[[#This Row],[Elapsed]],0))</f>
        <v/>
      </c>
      <c r="AI40" s="106" t="str">
        <f>IF(ISBLANK(Term3_Day_5[[#This Row],[Activity]]),"",IF(_xlfn.XLOOKUP(Term3_Day_5[[#This Row],[Activity]],Types_of_Activity[Type of Activity],Types_of_Activity[Classification])=2,Term3_Day_5[[#This Row],[Elapsed]],0))</f>
        <v/>
      </c>
      <c r="AJ40" s="107"/>
      <c r="AK40" s="136"/>
      <c r="AL40" s="136"/>
      <c r="AM40" s="103"/>
      <c r="AN40" s="106" t="str">
        <f>IF(OR(ISBLANK(Term3_Day_6[[#This Row],[Start]]),ISBLANK(Term3_Day_6[[#This Row],[End]])),"",(Term3_Day_6[[#This Row],[End]]-Term3_Day_6[[#This Row],[Start]])*1440)</f>
        <v/>
      </c>
      <c r="AO40" s="106" t="str">
        <f>IF(ISBLANK(Term3_Day_6[[#This Row],[Activity]]),"",IF(_xlfn.XLOOKUP(Term3_Day_6[[#This Row],[Activity]],Types_of_Activity[Type of Activity],Types_of_Activity[Classification])=1,Term3_Day_6[[#This Row],[Elapsed]],0))</f>
        <v/>
      </c>
      <c r="AP40" s="106" t="str">
        <f>IF(ISBLANK(Term3_Day_6[[#This Row],[Activity]]),"",IF(_xlfn.XLOOKUP(Term3_Day_6[[#This Row],[Activity]],Types_of_Activity[Type of Activity],Types_of_Activity[Classification])=2,Term3_Day_6[[#This Row],[Elapsed]],0))</f>
        <v/>
      </c>
      <c r="AQ40" s="107"/>
      <c r="AR40" s="136"/>
      <c r="AS40" s="136"/>
      <c r="AT40" s="103"/>
      <c r="AU40" s="106" t="str">
        <f>IF(OR(ISBLANK(Term3_Day_7[[#This Row],[Start]]),ISBLANK(Term3_Day_7[[#This Row],[End]])),"",(Term3_Day_7[[#This Row],[End]]-Term3_Day_7[[#This Row],[Start]])*1440)</f>
        <v/>
      </c>
      <c r="AV40" s="106" t="str">
        <f>IF(ISBLANK(Term3_Day_7[[#This Row],[Activity]]),"",IF(_xlfn.XLOOKUP(Term3_Day_7[[#This Row],[Activity]],Types_of_Activity[Type of Activity],Types_of_Activity[Classification])=1,Term3_Day_7[[#This Row],[Elapsed]],0))</f>
        <v/>
      </c>
      <c r="AW40" s="106" t="str">
        <f>IF(ISBLANK(Term3_Day_7[[#This Row],[Activity]]),"",IF(_xlfn.XLOOKUP(Term3_Day_7[[#This Row],[Activity]],Types_of_Activity[Type of Activity],Types_of_Activity[Classification])=2,Term3_Day_7[[#This Row],[Elapsed]],0))</f>
        <v/>
      </c>
      <c r="AX40" s="107"/>
      <c r="AY40" s="136"/>
      <c r="AZ40" s="136"/>
      <c r="BA40" s="103"/>
      <c r="BB40" s="106" t="str">
        <f>IF(OR(ISBLANK(Term3_Day_8[[#This Row],[Start]]),ISBLANK(Term3_Day_8[[#This Row],[End]])),"",(Term3_Day_8[[#This Row],[End]]-Term3_Day_8[[#This Row],[Start]])*1440)</f>
        <v/>
      </c>
      <c r="BC40" s="106" t="str">
        <f>IF(ISBLANK(Term3_Day_8[[#This Row],[Activity]]),"",IF(_xlfn.XLOOKUP(Term3_Day_8[[#This Row],[Activity]],Types_of_Activity[Type of Activity],Types_of_Activity[Classification])=1,Term3_Day_8[[#This Row],[Elapsed]],0))</f>
        <v/>
      </c>
      <c r="BD40" s="106" t="str">
        <f>IF(ISBLANK(Term3_Day_8[[#This Row],[Activity]]),"",IF(_xlfn.XLOOKUP(Term3_Day_8[[#This Row],[Activity]],Types_of_Activity[Type of Activity],Types_of_Activity[Classification])=2,Term3_Day_8[[#This Row],[Elapsed]],0))</f>
        <v/>
      </c>
      <c r="BE40" s="107"/>
      <c r="BF40" s="136"/>
      <c r="BG40" s="136"/>
      <c r="BH40" s="103"/>
      <c r="BI40" s="106" t="str">
        <f>IF(OR(ISBLANK(Term3_Day_9[[#This Row],[Start]]),ISBLANK(Term3_Day_9[[#This Row],[End]])),"",(Term3_Day_9[[#This Row],[End]]-Term3_Day_9[[#This Row],[Start]])*1440)</f>
        <v/>
      </c>
      <c r="BJ40" s="106" t="str">
        <f>IF(ISBLANK(Term3_Day_9[[#This Row],[Activity]]),"",IF(_xlfn.XLOOKUP(Term3_Day_9[[#This Row],[Activity]],Types_of_Activity[Type of Activity],Types_of_Activity[Classification])=1,Term3_Day_9[[#This Row],[Elapsed]],0))</f>
        <v/>
      </c>
      <c r="BK40" s="106" t="str">
        <f>IF(ISBLANK(Term3_Day_9[[#This Row],[Activity]]),"",IF(_xlfn.XLOOKUP(Term3_Day_9[[#This Row],[Activity]],Types_of_Activity[Type of Activity],Types_of_Activity[Classification])=2,Term3_Day_9[[#This Row],[Elapsed]],0))</f>
        <v/>
      </c>
      <c r="BL40" s="107"/>
      <c r="BM40" s="136"/>
      <c r="BN40" s="136"/>
      <c r="BO40" s="103"/>
      <c r="BP40" s="106" t="str">
        <f>IF(OR(ISBLANK(Term3_Day_10[[#This Row],[Start]]),ISBLANK(Term3_Day_10[[#This Row],[End]])),"",(Term3_Day_10[[#This Row],[End]]-Term3_Day_10[[#This Row],[Start]])*1440)</f>
        <v/>
      </c>
      <c r="BQ40" s="106" t="str">
        <f>IF(ISBLANK(Term3_Day_10[[#This Row],[Activity]]),"",IF(_xlfn.XLOOKUP(Term3_Day_10[[#This Row],[Activity]],Types_of_Activity[Type of Activity],Types_of_Activity[Classification])=1,Term3_Day_10[[#This Row],[Elapsed]],0))</f>
        <v/>
      </c>
      <c r="BR40" s="106" t="str">
        <f>IF(ISBLANK(Term3_Day_10[[#This Row],[Activity]]),"",IF(_xlfn.XLOOKUP(Term3_Day_10[[#This Row],[Activity]],Types_of_Activity[Type of Activity],Types_of_Activity[Classification])=2,Term3_Day_10[[#This Row],[Elapsed]],0))</f>
        <v/>
      </c>
      <c r="BS40" s="107"/>
    </row>
    <row r="41" spans="2:71" x14ac:dyDescent="0.3">
      <c r="B41" s="136"/>
      <c r="C41" s="136"/>
      <c r="D41" s="103"/>
      <c r="E41" s="106" t="str">
        <f>IF(OR(ISBLANK(Term3_Day_1[[#This Row],[Start]]),ISBLANK(Term3_Day_1[[#This Row],[End]])),"",(Term3_Day_1[[#This Row],[End]]-Term3_Day_1[[#This Row],[Start]])*1440)</f>
        <v/>
      </c>
      <c r="F41" s="106" t="str">
        <f>IF(ISBLANK(Term3_Day_1[[#This Row],[Activity]]),"",IF(_xlfn.XLOOKUP(Term3_Day_1[[#This Row],[Activity]],Types_of_Activity[Type of Activity],Types_of_Activity[Classification])=1,Term3_Day_1[[#This Row],[Elapsed]],0))</f>
        <v/>
      </c>
      <c r="G41" s="106" t="str">
        <f>IF(ISBLANK(Term3_Day_1[[#This Row],[Activity]]),"",IF(_xlfn.XLOOKUP(Term3_Day_1[[#This Row],[Activity]],Types_of_Activity[Type of Activity],Types_of_Activity[Classification])=2,Term3_Day_1[[#This Row],[Elapsed]],0))</f>
        <v/>
      </c>
      <c r="I41" s="136"/>
      <c r="J41" s="136"/>
      <c r="K41" s="103"/>
      <c r="L41" s="106" t="str">
        <f>IF(OR(ISBLANK(Term3_Day_2[[#This Row],[Start]]),ISBLANK(Term3_Day_2[[#This Row],[End]])),"",(Term3_Day_2[[#This Row],[End]]-Term3_Day_2[[#This Row],[Start]])*1440)</f>
        <v/>
      </c>
      <c r="M41" s="106" t="str">
        <f>IF(ISBLANK(Term3_Day_2[[#This Row],[Activity]]),"",IF(_xlfn.XLOOKUP(Term3_Day_2[[#This Row],[Activity]],Types_of_Activity[Type of Activity],Types_of_Activity[Classification])=1,Term3_Day_2[[#This Row],[Elapsed]],0))</f>
        <v/>
      </c>
      <c r="N41" s="106" t="str">
        <f>IF(ISBLANK(Term3_Day_2[[#This Row],[Activity]]),"",IF(_xlfn.XLOOKUP(Term3_Day_2[[#This Row],[Activity]],Types_of_Activity[Type of Activity],Types_of_Activity[Classification])=2,Term3_Day_2[[#This Row],[Elapsed]],0))</f>
        <v/>
      </c>
      <c r="P41" s="136"/>
      <c r="Q41" s="136"/>
      <c r="R41" s="103"/>
      <c r="S41" s="106" t="str">
        <f>IF(OR(ISBLANK(Term3_Day_3[[#This Row],[Start]]),ISBLANK(Term3_Day_3[[#This Row],[End]])),"",(Term3_Day_3[[#This Row],[End]]-Term3_Day_3[[#This Row],[Start]])*1440)</f>
        <v/>
      </c>
      <c r="T41" s="106" t="str">
        <f>IF(ISBLANK(Term3_Day_3[[#This Row],[Activity]]),"",IF(_xlfn.XLOOKUP(Term3_Day_3[[#This Row],[Activity]],Types_of_Activity[Type of Activity],Types_of_Activity[Classification])=1,Term3_Day_3[[#This Row],[Elapsed]],0))</f>
        <v/>
      </c>
      <c r="U41" s="106" t="str">
        <f>IF(ISBLANK(Term3_Day_3[[#This Row],[Activity]]),"",IF(_xlfn.XLOOKUP(Term3_Day_3[[#This Row],[Activity]],Types_of_Activity[Type of Activity],Types_of_Activity[Classification])=2,Term3_Day_3[[#This Row],[Elapsed]],0))</f>
        <v/>
      </c>
      <c r="W41" s="136"/>
      <c r="X41" s="136"/>
      <c r="Y41" s="103"/>
      <c r="Z41" s="106" t="str">
        <f>IF(OR(ISBLANK(Term3_Day_4[[#This Row],[Start]]),ISBLANK(Term3_Day_4[[#This Row],[End]])),"",(Term3_Day_4[[#This Row],[End]]-Term3_Day_4[[#This Row],[Start]])*1440)</f>
        <v/>
      </c>
      <c r="AA41" s="106" t="str">
        <f>IF(ISBLANK(Term3_Day_4[[#This Row],[Activity]]),"",IF(_xlfn.XLOOKUP(Term3_Day_4[[#This Row],[Activity]],Types_of_Activity[Type of Activity],Types_of_Activity[Classification])=1,Term3_Day_4[[#This Row],[Elapsed]],0))</f>
        <v/>
      </c>
      <c r="AB41" s="106" t="str">
        <f>IF(ISBLANK(Term3_Day_4[[#This Row],[Activity]]),"",IF(_xlfn.XLOOKUP(Term3_Day_4[[#This Row],[Activity]],Types_of_Activity[Type of Activity],Types_of_Activity[Classification])=2,Term3_Day_4[[#This Row],[Elapsed]],0))</f>
        <v/>
      </c>
      <c r="AD41" s="136"/>
      <c r="AE41" s="136"/>
      <c r="AF41" s="103"/>
      <c r="AG41" s="106" t="str">
        <f>IF(OR(ISBLANK(Term3_Day_5[[#This Row],[Start]]),ISBLANK(Term3_Day_5[[#This Row],[End]])),"",(Term3_Day_5[[#This Row],[End]]-Term3_Day_5[[#This Row],[Start]])*1440)</f>
        <v/>
      </c>
      <c r="AH41" s="106" t="str">
        <f>IF(ISBLANK(Term3_Day_5[[#This Row],[Activity]]),"",IF(_xlfn.XLOOKUP(Term3_Day_5[[#This Row],[Activity]],Types_of_Activity[Type of Activity],Types_of_Activity[Classification])=1,Term3_Day_5[[#This Row],[Elapsed]],0))</f>
        <v/>
      </c>
      <c r="AI41" s="106" t="str">
        <f>IF(ISBLANK(Term3_Day_5[[#This Row],[Activity]]),"",IF(_xlfn.XLOOKUP(Term3_Day_5[[#This Row],[Activity]],Types_of_Activity[Type of Activity],Types_of_Activity[Classification])=2,Term3_Day_5[[#This Row],[Elapsed]],0))</f>
        <v/>
      </c>
      <c r="AJ41" s="107"/>
      <c r="AK41" s="136"/>
      <c r="AL41" s="136"/>
      <c r="AM41" s="103"/>
      <c r="AN41" s="106" t="str">
        <f>IF(OR(ISBLANK(Term3_Day_6[[#This Row],[Start]]),ISBLANK(Term3_Day_6[[#This Row],[End]])),"",(Term3_Day_6[[#This Row],[End]]-Term3_Day_6[[#This Row],[Start]])*1440)</f>
        <v/>
      </c>
      <c r="AO41" s="106" t="str">
        <f>IF(ISBLANK(Term3_Day_6[[#This Row],[Activity]]),"",IF(_xlfn.XLOOKUP(Term3_Day_6[[#This Row],[Activity]],Types_of_Activity[Type of Activity],Types_of_Activity[Classification])=1,Term3_Day_6[[#This Row],[Elapsed]],0))</f>
        <v/>
      </c>
      <c r="AP41" s="106" t="str">
        <f>IF(ISBLANK(Term3_Day_6[[#This Row],[Activity]]),"",IF(_xlfn.XLOOKUP(Term3_Day_6[[#This Row],[Activity]],Types_of_Activity[Type of Activity],Types_of_Activity[Classification])=2,Term3_Day_6[[#This Row],[Elapsed]],0))</f>
        <v/>
      </c>
      <c r="AQ41" s="107"/>
      <c r="AR41" s="136"/>
      <c r="AS41" s="136"/>
      <c r="AT41" s="103"/>
      <c r="AU41" s="106" t="str">
        <f>IF(OR(ISBLANK(Term3_Day_7[[#This Row],[Start]]),ISBLANK(Term3_Day_7[[#This Row],[End]])),"",(Term3_Day_7[[#This Row],[End]]-Term3_Day_7[[#This Row],[Start]])*1440)</f>
        <v/>
      </c>
      <c r="AV41" s="106" t="str">
        <f>IF(ISBLANK(Term3_Day_7[[#This Row],[Activity]]),"",IF(_xlfn.XLOOKUP(Term3_Day_7[[#This Row],[Activity]],Types_of_Activity[Type of Activity],Types_of_Activity[Classification])=1,Term3_Day_7[[#This Row],[Elapsed]],0))</f>
        <v/>
      </c>
      <c r="AW41" s="106" t="str">
        <f>IF(ISBLANK(Term3_Day_7[[#This Row],[Activity]]),"",IF(_xlfn.XLOOKUP(Term3_Day_7[[#This Row],[Activity]],Types_of_Activity[Type of Activity],Types_of_Activity[Classification])=2,Term3_Day_7[[#This Row],[Elapsed]],0))</f>
        <v/>
      </c>
      <c r="AX41" s="107"/>
      <c r="AY41" s="136"/>
      <c r="AZ41" s="136"/>
      <c r="BA41" s="103"/>
      <c r="BB41" s="106" t="str">
        <f>IF(OR(ISBLANK(Term3_Day_8[[#This Row],[Start]]),ISBLANK(Term3_Day_8[[#This Row],[End]])),"",(Term3_Day_8[[#This Row],[End]]-Term3_Day_8[[#This Row],[Start]])*1440)</f>
        <v/>
      </c>
      <c r="BC41" s="106" t="str">
        <f>IF(ISBLANK(Term3_Day_8[[#This Row],[Activity]]),"",IF(_xlfn.XLOOKUP(Term3_Day_8[[#This Row],[Activity]],Types_of_Activity[Type of Activity],Types_of_Activity[Classification])=1,Term3_Day_8[[#This Row],[Elapsed]],0))</f>
        <v/>
      </c>
      <c r="BD41" s="106" t="str">
        <f>IF(ISBLANK(Term3_Day_8[[#This Row],[Activity]]),"",IF(_xlfn.XLOOKUP(Term3_Day_8[[#This Row],[Activity]],Types_of_Activity[Type of Activity],Types_of_Activity[Classification])=2,Term3_Day_8[[#This Row],[Elapsed]],0))</f>
        <v/>
      </c>
      <c r="BE41" s="107"/>
      <c r="BF41" s="136"/>
      <c r="BG41" s="136"/>
      <c r="BH41" s="103"/>
      <c r="BI41" s="106" t="str">
        <f>IF(OR(ISBLANK(Term3_Day_9[[#This Row],[Start]]),ISBLANK(Term3_Day_9[[#This Row],[End]])),"",(Term3_Day_9[[#This Row],[End]]-Term3_Day_9[[#This Row],[Start]])*1440)</f>
        <v/>
      </c>
      <c r="BJ41" s="106" t="str">
        <f>IF(ISBLANK(Term3_Day_9[[#This Row],[Activity]]),"",IF(_xlfn.XLOOKUP(Term3_Day_9[[#This Row],[Activity]],Types_of_Activity[Type of Activity],Types_of_Activity[Classification])=1,Term3_Day_9[[#This Row],[Elapsed]],0))</f>
        <v/>
      </c>
      <c r="BK41" s="106" t="str">
        <f>IF(ISBLANK(Term3_Day_9[[#This Row],[Activity]]),"",IF(_xlfn.XLOOKUP(Term3_Day_9[[#This Row],[Activity]],Types_of_Activity[Type of Activity],Types_of_Activity[Classification])=2,Term3_Day_9[[#This Row],[Elapsed]],0))</f>
        <v/>
      </c>
      <c r="BL41" s="107"/>
      <c r="BM41" s="136"/>
      <c r="BN41" s="136"/>
      <c r="BO41" s="103"/>
      <c r="BP41" s="106" t="str">
        <f>IF(OR(ISBLANK(Term3_Day_10[[#This Row],[Start]]),ISBLANK(Term3_Day_10[[#This Row],[End]])),"",(Term3_Day_10[[#This Row],[End]]-Term3_Day_10[[#This Row],[Start]])*1440)</f>
        <v/>
      </c>
      <c r="BQ41" s="106" t="str">
        <f>IF(ISBLANK(Term3_Day_10[[#This Row],[Activity]]),"",IF(_xlfn.XLOOKUP(Term3_Day_10[[#This Row],[Activity]],Types_of_Activity[Type of Activity],Types_of_Activity[Classification])=1,Term3_Day_10[[#This Row],[Elapsed]],0))</f>
        <v/>
      </c>
      <c r="BR41" s="106" t="str">
        <f>IF(ISBLANK(Term3_Day_10[[#This Row],[Activity]]),"",IF(_xlfn.XLOOKUP(Term3_Day_10[[#This Row],[Activity]],Types_of_Activity[Type of Activity],Types_of_Activity[Classification])=2,Term3_Day_10[[#This Row],[Elapsed]],0))</f>
        <v/>
      </c>
      <c r="BS41" s="107"/>
    </row>
    <row r="42" spans="2:71" x14ac:dyDescent="0.3">
      <c r="B42" s="136"/>
      <c r="C42" s="136"/>
      <c r="D42" s="103"/>
      <c r="E42" s="106" t="str">
        <f>IF(OR(ISBLANK(Term3_Day_1[[#This Row],[Start]]),ISBLANK(Term3_Day_1[[#This Row],[End]])),"",(Term3_Day_1[[#This Row],[End]]-Term3_Day_1[[#This Row],[Start]])*1440)</f>
        <v/>
      </c>
      <c r="F42" s="106" t="str">
        <f>IF(ISBLANK(Term3_Day_1[[#This Row],[Activity]]),"",IF(_xlfn.XLOOKUP(Term3_Day_1[[#This Row],[Activity]],Types_of_Activity[Type of Activity],Types_of_Activity[Classification])=1,Term3_Day_1[[#This Row],[Elapsed]],0))</f>
        <v/>
      </c>
      <c r="G42" s="106" t="str">
        <f>IF(ISBLANK(Term3_Day_1[[#This Row],[Activity]]),"",IF(_xlfn.XLOOKUP(Term3_Day_1[[#This Row],[Activity]],Types_of_Activity[Type of Activity],Types_of_Activity[Classification])=2,Term3_Day_1[[#This Row],[Elapsed]],0))</f>
        <v/>
      </c>
      <c r="I42" s="136"/>
      <c r="J42" s="136"/>
      <c r="K42" s="103"/>
      <c r="L42" s="106" t="str">
        <f>IF(OR(ISBLANK(Term3_Day_2[[#This Row],[Start]]),ISBLANK(Term3_Day_2[[#This Row],[End]])),"",(Term3_Day_2[[#This Row],[End]]-Term3_Day_2[[#This Row],[Start]])*1440)</f>
        <v/>
      </c>
      <c r="M42" s="106" t="str">
        <f>IF(ISBLANK(Term3_Day_2[[#This Row],[Activity]]),"",IF(_xlfn.XLOOKUP(Term3_Day_2[[#This Row],[Activity]],Types_of_Activity[Type of Activity],Types_of_Activity[Classification])=1,Term3_Day_2[[#This Row],[Elapsed]],0))</f>
        <v/>
      </c>
      <c r="N42" s="106" t="str">
        <f>IF(ISBLANK(Term3_Day_2[[#This Row],[Activity]]),"",IF(_xlfn.XLOOKUP(Term3_Day_2[[#This Row],[Activity]],Types_of_Activity[Type of Activity],Types_of_Activity[Classification])=2,Term3_Day_2[[#This Row],[Elapsed]],0))</f>
        <v/>
      </c>
      <c r="P42" s="136"/>
      <c r="Q42" s="136"/>
      <c r="R42" s="103"/>
      <c r="S42" s="106" t="str">
        <f>IF(OR(ISBLANK(Term3_Day_3[[#This Row],[Start]]),ISBLANK(Term3_Day_3[[#This Row],[End]])),"",(Term3_Day_3[[#This Row],[End]]-Term3_Day_3[[#This Row],[Start]])*1440)</f>
        <v/>
      </c>
      <c r="T42" s="106" t="str">
        <f>IF(ISBLANK(Term3_Day_3[[#This Row],[Activity]]),"",IF(_xlfn.XLOOKUP(Term3_Day_3[[#This Row],[Activity]],Types_of_Activity[Type of Activity],Types_of_Activity[Classification])=1,Term3_Day_3[[#This Row],[Elapsed]],0))</f>
        <v/>
      </c>
      <c r="U42" s="106" t="str">
        <f>IF(ISBLANK(Term3_Day_3[[#This Row],[Activity]]),"",IF(_xlfn.XLOOKUP(Term3_Day_3[[#This Row],[Activity]],Types_of_Activity[Type of Activity],Types_of_Activity[Classification])=2,Term3_Day_3[[#This Row],[Elapsed]],0))</f>
        <v/>
      </c>
      <c r="W42" s="136"/>
      <c r="X42" s="136"/>
      <c r="Y42" s="103"/>
      <c r="Z42" s="106" t="str">
        <f>IF(OR(ISBLANK(Term3_Day_4[[#This Row],[Start]]),ISBLANK(Term3_Day_4[[#This Row],[End]])),"",(Term3_Day_4[[#This Row],[End]]-Term3_Day_4[[#This Row],[Start]])*1440)</f>
        <v/>
      </c>
      <c r="AA42" s="106" t="str">
        <f>IF(ISBLANK(Term3_Day_4[[#This Row],[Activity]]),"",IF(_xlfn.XLOOKUP(Term3_Day_4[[#This Row],[Activity]],Types_of_Activity[Type of Activity],Types_of_Activity[Classification])=1,Term3_Day_4[[#This Row],[Elapsed]],0))</f>
        <v/>
      </c>
      <c r="AB42" s="106" t="str">
        <f>IF(ISBLANK(Term3_Day_4[[#This Row],[Activity]]),"",IF(_xlfn.XLOOKUP(Term3_Day_4[[#This Row],[Activity]],Types_of_Activity[Type of Activity],Types_of_Activity[Classification])=2,Term3_Day_4[[#This Row],[Elapsed]],0))</f>
        <v/>
      </c>
      <c r="AD42" s="136"/>
      <c r="AE42" s="136"/>
      <c r="AF42" s="103"/>
      <c r="AG42" s="106" t="str">
        <f>IF(OR(ISBLANK(Term3_Day_5[[#This Row],[Start]]),ISBLANK(Term3_Day_5[[#This Row],[End]])),"",(Term3_Day_5[[#This Row],[End]]-Term3_Day_5[[#This Row],[Start]])*1440)</f>
        <v/>
      </c>
      <c r="AH42" s="106" t="str">
        <f>IF(ISBLANK(Term3_Day_5[[#This Row],[Activity]]),"",IF(_xlfn.XLOOKUP(Term3_Day_5[[#This Row],[Activity]],Types_of_Activity[Type of Activity],Types_of_Activity[Classification])=1,Term3_Day_5[[#This Row],[Elapsed]],0))</f>
        <v/>
      </c>
      <c r="AI42" s="106" t="str">
        <f>IF(ISBLANK(Term3_Day_5[[#This Row],[Activity]]),"",IF(_xlfn.XLOOKUP(Term3_Day_5[[#This Row],[Activity]],Types_of_Activity[Type of Activity],Types_of_Activity[Classification])=2,Term3_Day_5[[#This Row],[Elapsed]],0))</f>
        <v/>
      </c>
      <c r="AJ42" s="107"/>
      <c r="AK42" s="136"/>
      <c r="AL42" s="136"/>
      <c r="AM42" s="103"/>
      <c r="AN42" s="106" t="str">
        <f>IF(OR(ISBLANK(Term3_Day_6[[#This Row],[Start]]),ISBLANK(Term3_Day_6[[#This Row],[End]])),"",(Term3_Day_6[[#This Row],[End]]-Term3_Day_6[[#This Row],[Start]])*1440)</f>
        <v/>
      </c>
      <c r="AO42" s="106" t="str">
        <f>IF(ISBLANK(Term3_Day_6[[#This Row],[Activity]]),"",IF(_xlfn.XLOOKUP(Term3_Day_6[[#This Row],[Activity]],Types_of_Activity[Type of Activity],Types_of_Activity[Classification])=1,Term3_Day_6[[#This Row],[Elapsed]],0))</f>
        <v/>
      </c>
      <c r="AP42" s="106" t="str">
        <f>IF(ISBLANK(Term3_Day_6[[#This Row],[Activity]]),"",IF(_xlfn.XLOOKUP(Term3_Day_6[[#This Row],[Activity]],Types_of_Activity[Type of Activity],Types_of_Activity[Classification])=2,Term3_Day_6[[#This Row],[Elapsed]],0))</f>
        <v/>
      </c>
      <c r="AQ42" s="107"/>
      <c r="AR42" s="136"/>
      <c r="AS42" s="136"/>
      <c r="AT42" s="103"/>
      <c r="AU42" s="106" t="str">
        <f>IF(OR(ISBLANK(Term3_Day_7[[#This Row],[Start]]),ISBLANK(Term3_Day_7[[#This Row],[End]])),"",(Term3_Day_7[[#This Row],[End]]-Term3_Day_7[[#This Row],[Start]])*1440)</f>
        <v/>
      </c>
      <c r="AV42" s="106" t="str">
        <f>IF(ISBLANK(Term3_Day_7[[#This Row],[Activity]]),"",IF(_xlfn.XLOOKUP(Term3_Day_7[[#This Row],[Activity]],Types_of_Activity[Type of Activity],Types_of_Activity[Classification])=1,Term3_Day_7[[#This Row],[Elapsed]],0))</f>
        <v/>
      </c>
      <c r="AW42" s="106" t="str">
        <f>IF(ISBLANK(Term3_Day_7[[#This Row],[Activity]]),"",IF(_xlfn.XLOOKUP(Term3_Day_7[[#This Row],[Activity]],Types_of_Activity[Type of Activity],Types_of_Activity[Classification])=2,Term3_Day_7[[#This Row],[Elapsed]],0))</f>
        <v/>
      </c>
      <c r="AX42" s="107"/>
      <c r="AY42" s="136"/>
      <c r="AZ42" s="136"/>
      <c r="BA42" s="103"/>
      <c r="BB42" s="106" t="str">
        <f>IF(OR(ISBLANK(Term3_Day_8[[#This Row],[Start]]),ISBLANK(Term3_Day_8[[#This Row],[End]])),"",(Term3_Day_8[[#This Row],[End]]-Term3_Day_8[[#This Row],[Start]])*1440)</f>
        <v/>
      </c>
      <c r="BC42" s="106" t="str">
        <f>IF(ISBLANK(Term3_Day_8[[#This Row],[Activity]]),"",IF(_xlfn.XLOOKUP(Term3_Day_8[[#This Row],[Activity]],Types_of_Activity[Type of Activity],Types_of_Activity[Classification])=1,Term3_Day_8[[#This Row],[Elapsed]],0))</f>
        <v/>
      </c>
      <c r="BD42" s="106" t="str">
        <f>IF(ISBLANK(Term3_Day_8[[#This Row],[Activity]]),"",IF(_xlfn.XLOOKUP(Term3_Day_8[[#This Row],[Activity]],Types_of_Activity[Type of Activity],Types_of_Activity[Classification])=2,Term3_Day_8[[#This Row],[Elapsed]],0))</f>
        <v/>
      </c>
      <c r="BE42" s="107"/>
      <c r="BF42" s="136"/>
      <c r="BG42" s="136"/>
      <c r="BH42" s="103"/>
      <c r="BI42" s="106" t="str">
        <f>IF(OR(ISBLANK(Term3_Day_9[[#This Row],[Start]]),ISBLANK(Term3_Day_9[[#This Row],[End]])),"",(Term3_Day_9[[#This Row],[End]]-Term3_Day_9[[#This Row],[Start]])*1440)</f>
        <v/>
      </c>
      <c r="BJ42" s="106" t="str">
        <f>IF(ISBLANK(Term3_Day_9[[#This Row],[Activity]]),"",IF(_xlfn.XLOOKUP(Term3_Day_9[[#This Row],[Activity]],Types_of_Activity[Type of Activity],Types_of_Activity[Classification])=1,Term3_Day_9[[#This Row],[Elapsed]],0))</f>
        <v/>
      </c>
      <c r="BK42" s="106" t="str">
        <f>IF(ISBLANK(Term3_Day_9[[#This Row],[Activity]]),"",IF(_xlfn.XLOOKUP(Term3_Day_9[[#This Row],[Activity]],Types_of_Activity[Type of Activity],Types_of_Activity[Classification])=2,Term3_Day_9[[#This Row],[Elapsed]],0))</f>
        <v/>
      </c>
      <c r="BL42" s="107"/>
      <c r="BM42" s="136"/>
      <c r="BN42" s="136"/>
      <c r="BO42" s="103"/>
      <c r="BP42" s="106" t="str">
        <f>IF(OR(ISBLANK(Term3_Day_10[[#This Row],[Start]]),ISBLANK(Term3_Day_10[[#This Row],[End]])),"",(Term3_Day_10[[#This Row],[End]]-Term3_Day_10[[#This Row],[Start]])*1440)</f>
        <v/>
      </c>
      <c r="BQ42" s="106" t="str">
        <f>IF(ISBLANK(Term3_Day_10[[#This Row],[Activity]]),"",IF(_xlfn.XLOOKUP(Term3_Day_10[[#This Row],[Activity]],Types_of_Activity[Type of Activity],Types_of_Activity[Classification])=1,Term3_Day_10[[#This Row],[Elapsed]],0))</f>
        <v/>
      </c>
      <c r="BR42" s="106" t="str">
        <f>IF(ISBLANK(Term3_Day_10[[#This Row],[Activity]]),"",IF(_xlfn.XLOOKUP(Term3_Day_10[[#This Row],[Activity]],Types_of_Activity[Type of Activity],Types_of_Activity[Classification])=2,Term3_Day_10[[#This Row],[Elapsed]],0))</f>
        <v/>
      </c>
      <c r="BS42" s="107"/>
    </row>
    <row r="43" spans="2:71" x14ac:dyDescent="0.3">
      <c r="B43" s="136"/>
      <c r="C43" s="136"/>
      <c r="D43" s="103"/>
      <c r="E43" s="106" t="str">
        <f>IF(OR(ISBLANK(Term3_Day_1[[#This Row],[Start]]),ISBLANK(Term3_Day_1[[#This Row],[End]])),"",(Term3_Day_1[[#This Row],[End]]-Term3_Day_1[[#This Row],[Start]])*1440)</f>
        <v/>
      </c>
      <c r="F43" s="106" t="str">
        <f>IF(ISBLANK(Term3_Day_1[[#This Row],[Activity]]),"",IF(_xlfn.XLOOKUP(Term3_Day_1[[#This Row],[Activity]],Types_of_Activity[Type of Activity],Types_of_Activity[Classification])=1,Term3_Day_1[[#This Row],[Elapsed]],0))</f>
        <v/>
      </c>
      <c r="G43" s="106" t="str">
        <f>IF(ISBLANK(Term3_Day_1[[#This Row],[Activity]]),"",IF(_xlfn.XLOOKUP(Term3_Day_1[[#This Row],[Activity]],Types_of_Activity[Type of Activity],Types_of_Activity[Classification])=2,Term3_Day_1[[#This Row],[Elapsed]],0))</f>
        <v/>
      </c>
      <c r="I43" s="136"/>
      <c r="J43" s="136"/>
      <c r="K43" s="103"/>
      <c r="L43" s="106" t="str">
        <f>IF(OR(ISBLANK(Term3_Day_2[[#This Row],[Start]]),ISBLANK(Term3_Day_2[[#This Row],[End]])),"",(Term3_Day_2[[#This Row],[End]]-Term3_Day_2[[#This Row],[Start]])*1440)</f>
        <v/>
      </c>
      <c r="M43" s="106" t="str">
        <f>IF(ISBLANK(Term3_Day_2[[#This Row],[Activity]]),"",IF(_xlfn.XLOOKUP(Term3_Day_2[[#This Row],[Activity]],Types_of_Activity[Type of Activity],Types_of_Activity[Classification])=1,Term3_Day_2[[#This Row],[Elapsed]],0))</f>
        <v/>
      </c>
      <c r="N43" s="106" t="str">
        <f>IF(ISBLANK(Term3_Day_2[[#This Row],[Activity]]),"",IF(_xlfn.XLOOKUP(Term3_Day_2[[#This Row],[Activity]],Types_of_Activity[Type of Activity],Types_of_Activity[Classification])=2,Term3_Day_2[[#This Row],[Elapsed]],0))</f>
        <v/>
      </c>
      <c r="P43" s="136"/>
      <c r="Q43" s="136"/>
      <c r="R43" s="103"/>
      <c r="S43" s="106" t="str">
        <f>IF(OR(ISBLANK(Term3_Day_3[[#This Row],[Start]]),ISBLANK(Term3_Day_3[[#This Row],[End]])),"",(Term3_Day_3[[#This Row],[End]]-Term3_Day_3[[#This Row],[Start]])*1440)</f>
        <v/>
      </c>
      <c r="T43" s="106" t="str">
        <f>IF(ISBLANK(Term3_Day_3[[#This Row],[Activity]]),"",IF(_xlfn.XLOOKUP(Term3_Day_3[[#This Row],[Activity]],Types_of_Activity[Type of Activity],Types_of_Activity[Classification])=1,Term3_Day_3[[#This Row],[Elapsed]],0))</f>
        <v/>
      </c>
      <c r="U43" s="106" t="str">
        <f>IF(ISBLANK(Term3_Day_3[[#This Row],[Activity]]),"",IF(_xlfn.XLOOKUP(Term3_Day_3[[#This Row],[Activity]],Types_of_Activity[Type of Activity],Types_of_Activity[Classification])=2,Term3_Day_3[[#This Row],[Elapsed]],0))</f>
        <v/>
      </c>
      <c r="W43" s="136"/>
      <c r="X43" s="136"/>
      <c r="Y43" s="103"/>
      <c r="Z43" s="106" t="str">
        <f>IF(OR(ISBLANK(Term3_Day_4[[#This Row],[Start]]),ISBLANK(Term3_Day_4[[#This Row],[End]])),"",(Term3_Day_4[[#This Row],[End]]-Term3_Day_4[[#This Row],[Start]])*1440)</f>
        <v/>
      </c>
      <c r="AA43" s="106" t="str">
        <f>IF(ISBLANK(Term3_Day_4[[#This Row],[Activity]]),"",IF(_xlfn.XLOOKUP(Term3_Day_4[[#This Row],[Activity]],Types_of_Activity[Type of Activity],Types_of_Activity[Classification])=1,Term3_Day_4[[#This Row],[Elapsed]],0))</f>
        <v/>
      </c>
      <c r="AB43" s="106" t="str">
        <f>IF(ISBLANK(Term3_Day_4[[#This Row],[Activity]]),"",IF(_xlfn.XLOOKUP(Term3_Day_4[[#This Row],[Activity]],Types_of_Activity[Type of Activity],Types_of_Activity[Classification])=2,Term3_Day_4[[#This Row],[Elapsed]],0))</f>
        <v/>
      </c>
      <c r="AD43" s="136"/>
      <c r="AE43" s="136"/>
      <c r="AF43" s="103"/>
      <c r="AG43" s="106" t="str">
        <f>IF(OR(ISBLANK(Term3_Day_5[[#This Row],[Start]]),ISBLANK(Term3_Day_5[[#This Row],[End]])),"",(Term3_Day_5[[#This Row],[End]]-Term3_Day_5[[#This Row],[Start]])*1440)</f>
        <v/>
      </c>
      <c r="AH43" s="106" t="str">
        <f>IF(ISBLANK(Term3_Day_5[[#This Row],[Activity]]),"",IF(_xlfn.XLOOKUP(Term3_Day_5[[#This Row],[Activity]],Types_of_Activity[Type of Activity],Types_of_Activity[Classification])=1,Term3_Day_5[[#This Row],[Elapsed]],0))</f>
        <v/>
      </c>
      <c r="AI43" s="106" t="str">
        <f>IF(ISBLANK(Term3_Day_5[[#This Row],[Activity]]),"",IF(_xlfn.XLOOKUP(Term3_Day_5[[#This Row],[Activity]],Types_of_Activity[Type of Activity],Types_of_Activity[Classification])=2,Term3_Day_5[[#This Row],[Elapsed]],0))</f>
        <v/>
      </c>
      <c r="AJ43" s="107"/>
      <c r="AK43" s="136"/>
      <c r="AL43" s="136"/>
      <c r="AM43" s="103"/>
      <c r="AN43" s="106" t="str">
        <f>IF(OR(ISBLANK(Term3_Day_6[[#This Row],[Start]]),ISBLANK(Term3_Day_6[[#This Row],[End]])),"",(Term3_Day_6[[#This Row],[End]]-Term3_Day_6[[#This Row],[Start]])*1440)</f>
        <v/>
      </c>
      <c r="AO43" s="106" t="str">
        <f>IF(ISBLANK(Term3_Day_6[[#This Row],[Activity]]),"",IF(_xlfn.XLOOKUP(Term3_Day_6[[#This Row],[Activity]],Types_of_Activity[Type of Activity],Types_of_Activity[Classification])=1,Term3_Day_6[[#This Row],[Elapsed]],0))</f>
        <v/>
      </c>
      <c r="AP43" s="106" t="str">
        <f>IF(ISBLANK(Term3_Day_6[[#This Row],[Activity]]),"",IF(_xlfn.XLOOKUP(Term3_Day_6[[#This Row],[Activity]],Types_of_Activity[Type of Activity],Types_of_Activity[Classification])=2,Term3_Day_6[[#This Row],[Elapsed]],0))</f>
        <v/>
      </c>
      <c r="AQ43" s="107"/>
      <c r="AR43" s="136"/>
      <c r="AS43" s="136"/>
      <c r="AT43" s="103"/>
      <c r="AU43" s="106" t="str">
        <f>IF(OR(ISBLANK(Term3_Day_7[[#This Row],[Start]]),ISBLANK(Term3_Day_7[[#This Row],[End]])),"",(Term3_Day_7[[#This Row],[End]]-Term3_Day_7[[#This Row],[Start]])*1440)</f>
        <v/>
      </c>
      <c r="AV43" s="106" t="str">
        <f>IF(ISBLANK(Term3_Day_7[[#This Row],[Activity]]),"",IF(_xlfn.XLOOKUP(Term3_Day_7[[#This Row],[Activity]],Types_of_Activity[Type of Activity],Types_of_Activity[Classification])=1,Term3_Day_7[[#This Row],[Elapsed]],0))</f>
        <v/>
      </c>
      <c r="AW43" s="106" t="str">
        <f>IF(ISBLANK(Term3_Day_7[[#This Row],[Activity]]),"",IF(_xlfn.XLOOKUP(Term3_Day_7[[#This Row],[Activity]],Types_of_Activity[Type of Activity],Types_of_Activity[Classification])=2,Term3_Day_7[[#This Row],[Elapsed]],0))</f>
        <v/>
      </c>
      <c r="AX43" s="107"/>
      <c r="AY43" s="136"/>
      <c r="AZ43" s="136"/>
      <c r="BA43" s="103"/>
      <c r="BB43" s="106" t="str">
        <f>IF(OR(ISBLANK(Term3_Day_8[[#This Row],[Start]]),ISBLANK(Term3_Day_8[[#This Row],[End]])),"",(Term3_Day_8[[#This Row],[End]]-Term3_Day_8[[#This Row],[Start]])*1440)</f>
        <v/>
      </c>
      <c r="BC43" s="106" t="str">
        <f>IF(ISBLANK(Term3_Day_8[[#This Row],[Activity]]),"",IF(_xlfn.XLOOKUP(Term3_Day_8[[#This Row],[Activity]],Types_of_Activity[Type of Activity],Types_of_Activity[Classification])=1,Term3_Day_8[[#This Row],[Elapsed]],0))</f>
        <v/>
      </c>
      <c r="BD43" s="106" t="str">
        <f>IF(ISBLANK(Term3_Day_8[[#This Row],[Activity]]),"",IF(_xlfn.XLOOKUP(Term3_Day_8[[#This Row],[Activity]],Types_of_Activity[Type of Activity],Types_of_Activity[Classification])=2,Term3_Day_8[[#This Row],[Elapsed]],0))</f>
        <v/>
      </c>
      <c r="BE43" s="107"/>
      <c r="BF43" s="136"/>
      <c r="BG43" s="136"/>
      <c r="BH43" s="103"/>
      <c r="BI43" s="106" t="str">
        <f>IF(OR(ISBLANK(Term3_Day_9[[#This Row],[Start]]),ISBLANK(Term3_Day_9[[#This Row],[End]])),"",(Term3_Day_9[[#This Row],[End]]-Term3_Day_9[[#This Row],[Start]])*1440)</f>
        <v/>
      </c>
      <c r="BJ43" s="106" t="str">
        <f>IF(ISBLANK(Term3_Day_9[[#This Row],[Activity]]),"",IF(_xlfn.XLOOKUP(Term3_Day_9[[#This Row],[Activity]],Types_of_Activity[Type of Activity],Types_of_Activity[Classification])=1,Term3_Day_9[[#This Row],[Elapsed]],0))</f>
        <v/>
      </c>
      <c r="BK43" s="106" t="str">
        <f>IF(ISBLANK(Term3_Day_9[[#This Row],[Activity]]),"",IF(_xlfn.XLOOKUP(Term3_Day_9[[#This Row],[Activity]],Types_of_Activity[Type of Activity],Types_of_Activity[Classification])=2,Term3_Day_9[[#This Row],[Elapsed]],0))</f>
        <v/>
      </c>
      <c r="BL43" s="107"/>
      <c r="BM43" s="136"/>
      <c r="BN43" s="136"/>
      <c r="BO43" s="103"/>
      <c r="BP43" s="106" t="str">
        <f>IF(OR(ISBLANK(Term3_Day_10[[#This Row],[Start]]),ISBLANK(Term3_Day_10[[#This Row],[End]])),"",(Term3_Day_10[[#This Row],[End]]-Term3_Day_10[[#This Row],[Start]])*1440)</f>
        <v/>
      </c>
      <c r="BQ43" s="106" t="str">
        <f>IF(ISBLANK(Term3_Day_10[[#This Row],[Activity]]),"",IF(_xlfn.XLOOKUP(Term3_Day_10[[#This Row],[Activity]],Types_of_Activity[Type of Activity],Types_of_Activity[Classification])=1,Term3_Day_10[[#This Row],[Elapsed]],0))</f>
        <v/>
      </c>
      <c r="BR43" s="106" t="str">
        <f>IF(ISBLANK(Term3_Day_10[[#This Row],[Activity]]),"",IF(_xlfn.XLOOKUP(Term3_Day_10[[#This Row],[Activity]],Types_of_Activity[Type of Activity],Types_of_Activity[Classification])=2,Term3_Day_10[[#This Row],[Elapsed]],0))</f>
        <v/>
      </c>
      <c r="BS43" s="107"/>
    </row>
    <row r="44" spans="2:71" x14ac:dyDescent="0.3">
      <c r="B44" s="136"/>
      <c r="C44" s="136"/>
      <c r="D44" s="103"/>
      <c r="E44" s="106" t="str">
        <f>IF(OR(ISBLANK(Term3_Day_1[[#This Row],[Start]]),ISBLANK(Term3_Day_1[[#This Row],[End]])),"",(Term3_Day_1[[#This Row],[End]]-Term3_Day_1[[#This Row],[Start]])*1440)</f>
        <v/>
      </c>
      <c r="F44" s="106" t="str">
        <f>IF(ISBLANK(Term3_Day_1[[#This Row],[Activity]]),"",IF(_xlfn.XLOOKUP(Term3_Day_1[[#This Row],[Activity]],Types_of_Activity[Type of Activity],Types_of_Activity[Classification])=1,Term3_Day_1[[#This Row],[Elapsed]],0))</f>
        <v/>
      </c>
      <c r="G44" s="106" t="str">
        <f>IF(ISBLANK(Term3_Day_1[[#This Row],[Activity]]),"",IF(_xlfn.XLOOKUP(Term3_Day_1[[#This Row],[Activity]],Types_of_Activity[Type of Activity],Types_of_Activity[Classification])=2,Term3_Day_1[[#This Row],[Elapsed]],0))</f>
        <v/>
      </c>
      <c r="I44" s="136"/>
      <c r="J44" s="136"/>
      <c r="K44" s="103"/>
      <c r="L44" s="106" t="str">
        <f>IF(OR(ISBLANK(Term3_Day_2[[#This Row],[Start]]),ISBLANK(Term3_Day_2[[#This Row],[End]])),"",(Term3_Day_2[[#This Row],[End]]-Term3_Day_2[[#This Row],[Start]])*1440)</f>
        <v/>
      </c>
      <c r="M44" s="106" t="str">
        <f>IF(ISBLANK(Term3_Day_2[[#This Row],[Activity]]),"",IF(_xlfn.XLOOKUP(Term3_Day_2[[#This Row],[Activity]],Types_of_Activity[Type of Activity],Types_of_Activity[Classification])=1,Term3_Day_2[[#This Row],[Elapsed]],0))</f>
        <v/>
      </c>
      <c r="N44" s="106" t="str">
        <f>IF(ISBLANK(Term3_Day_2[[#This Row],[Activity]]),"",IF(_xlfn.XLOOKUP(Term3_Day_2[[#This Row],[Activity]],Types_of_Activity[Type of Activity],Types_of_Activity[Classification])=2,Term3_Day_2[[#This Row],[Elapsed]],0))</f>
        <v/>
      </c>
      <c r="P44" s="136"/>
      <c r="Q44" s="136"/>
      <c r="R44" s="103"/>
      <c r="S44" s="106" t="str">
        <f>IF(OR(ISBLANK(Term3_Day_3[[#This Row],[Start]]),ISBLANK(Term3_Day_3[[#This Row],[End]])),"",(Term3_Day_3[[#This Row],[End]]-Term3_Day_3[[#This Row],[Start]])*1440)</f>
        <v/>
      </c>
      <c r="T44" s="106" t="str">
        <f>IF(ISBLANK(Term3_Day_3[[#This Row],[Activity]]),"",IF(_xlfn.XLOOKUP(Term3_Day_3[[#This Row],[Activity]],Types_of_Activity[Type of Activity],Types_of_Activity[Classification])=1,Term3_Day_3[[#This Row],[Elapsed]],0))</f>
        <v/>
      </c>
      <c r="U44" s="106" t="str">
        <f>IF(ISBLANK(Term3_Day_3[[#This Row],[Activity]]),"",IF(_xlfn.XLOOKUP(Term3_Day_3[[#This Row],[Activity]],Types_of_Activity[Type of Activity],Types_of_Activity[Classification])=2,Term3_Day_3[[#This Row],[Elapsed]],0))</f>
        <v/>
      </c>
      <c r="W44" s="136"/>
      <c r="X44" s="136"/>
      <c r="Y44" s="103"/>
      <c r="Z44" s="106" t="str">
        <f>IF(OR(ISBLANK(Term3_Day_4[[#This Row],[Start]]),ISBLANK(Term3_Day_4[[#This Row],[End]])),"",(Term3_Day_4[[#This Row],[End]]-Term3_Day_4[[#This Row],[Start]])*1440)</f>
        <v/>
      </c>
      <c r="AA44" s="106" t="str">
        <f>IF(ISBLANK(Term3_Day_4[[#This Row],[Activity]]),"",IF(_xlfn.XLOOKUP(Term3_Day_4[[#This Row],[Activity]],Types_of_Activity[Type of Activity],Types_of_Activity[Classification])=1,Term3_Day_4[[#This Row],[Elapsed]],0))</f>
        <v/>
      </c>
      <c r="AB44" s="106" t="str">
        <f>IF(ISBLANK(Term3_Day_4[[#This Row],[Activity]]),"",IF(_xlfn.XLOOKUP(Term3_Day_4[[#This Row],[Activity]],Types_of_Activity[Type of Activity],Types_of_Activity[Classification])=2,Term3_Day_4[[#This Row],[Elapsed]],0))</f>
        <v/>
      </c>
      <c r="AD44" s="136"/>
      <c r="AE44" s="136"/>
      <c r="AF44" s="103"/>
      <c r="AG44" s="106" t="str">
        <f>IF(OR(ISBLANK(Term3_Day_5[[#This Row],[Start]]),ISBLANK(Term3_Day_5[[#This Row],[End]])),"",(Term3_Day_5[[#This Row],[End]]-Term3_Day_5[[#This Row],[Start]])*1440)</f>
        <v/>
      </c>
      <c r="AH44" s="106" t="str">
        <f>IF(ISBLANK(Term3_Day_5[[#This Row],[Activity]]),"",IF(_xlfn.XLOOKUP(Term3_Day_5[[#This Row],[Activity]],Types_of_Activity[Type of Activity],Types_of_Activity[Classification])=1,Term3_Day_5[[#This Row],[Elapsed]],0))</f>
        <v/>
      </c>
      <c r="AI44" s="106" t="str">
        <f>IF(ISBLANK(Term3_Day_5[[#This Row],[Activity]]),"",IF(_xlfn.XLOOKUP(Term3_Day_5[[#This Row],[Activity]],Types_of_Activity[Type of Activity],Types_of_Activity[Classification])=2,Term3_Day_5[[#This Row],[Elapsed]],0))</f>
        <v/>
      </c>
      <c r="AJ44" s="107"/>
      <c r="AK44" s="136"/>
      <c r="AL44" s="136"/>
      <c r="AM44" s="103"/>
      <c r="AN44" s="106" t="str">
        <f>IF(OR(ISBLANK(Term3_Day_6[[#This Row],[Start]]),ISBLANK(Term3_Day_6[[#This Row],[End]])),"",(Term3_Day_6[[#This Row],[End]]-Term3_Day_6[[#This Row],[Start]])*1440)</f>
        <v/>
      </c>
      <c r="AO44" s="106" t="str">
        <f>IF(ISBLANK(Term3_Day_6[[#This Row],[Activity]]),"",IF(_xlfn.XLOOKUP(Term3_Day_6[[#This Row],[Activity]],Types_of_Activity[Type of Activity],Types_of_Activity[Classification])=1,Term3_Day_6[[#This Row],[Elapsed]],0))</f>
        <v/>
      </c>
      <c r="AP44" s="106" t="str">
        <f>IF(ISBLANK(Term3_Day_6[[#This Row],[Activity]]),"",IF(_xlfn.XLOOKUP(Term3_Day_6[[#This Row],[Activity]],Types_of_Activity[Type of Activity],Types_of_Activity[Classification])=2,Term3_Day_6[[#This Row],[Elapsed]],0))</f>
        <v/>
      </c>
      <c r="AQ44" s="107"/>
      <c r="AR44" s="136"/>
      <c r="AS44" s="136"/>
      <c r="AT44" s="103"/>
      <c r="AU44" s="106" t="str">
        <f>IF(OR(ISBLANK(Term3_Day_7[[#This Row],[Start]]),ISBLANK(Term3_Day_7[[#This Row],[End]])),"",(Term3_Day_7[[#This Row],[End]]-Term3_Day_7[[#This Row],[Start]])*1440)</f>
        <v/>
      </c>
      <c r="AV44" s="106" t="str">
        <f>IF(ISBLANK(Term3_Day_7[[#This Row],[Activity]]),"",IF(_xlfn.XLOOKUP(Term3_Day_7[[#This Row],[Activity]],Types_of_Activity[Type of Activity],Types_of_Activity[Classification])=1,Term3_Day_7[[#This Row],[Elapsed]],0))</f>
        <v/>
      </c>
      <c r="AW44" s="106" t="str">
        <f>IF(ISBLANK(Term3_Day_7[[#This Row],[Activity]]),"",IF(_xlfn.XLOOKUP(Term3_Day_7[[#This Row],[Activity]],Types_of_Activity[Type of Activity],Types_of_Activity[Classification])=2,Term3_Day_7[[#This Row],[Elapsed]],0))</f>
        <v/>
      </c>
      <c r="AX44" s="107"/>
      <c r="AY44" s="136"/>
      <c r="AZ44" s="136"/>
      <c r="BA44" s="103"/>
      <c r="BB44" s="106" t="str">
        <f>IF(OR(ISBLANK(Term3_Day_8[[#This Row],[Start]]),ISBLANK(Term3_Day_8[[#This Row],[End]])),"",(Term3_Day_8[[#This Row],[End]]-Term3_Day_8[[#This Row],[Start]])*1440)</f>
        <v/>
      </c>
      <c r="BC44" s="106" t="str">
        <f>IF(ISBLANK(Term3_Day_8[[#This Row],[Activity]]),"",IF(_xlfn.XLOOKUP(Term3_Day_8[[#This Row],[Activity]],Types_of_Activity[Type of Activity],Types_of_Activity[Classification])=1,Term3_Day_8[[#This Row],[Elapsed]],0))</f>
        <v/>
      </c>
      <c r="BD44" s="106" t="str">
        <f>IF(ISBLANK(Term3_Day_8[[#This Row],[Activity]]),"",IF(_xlfn.XLOOKUP(Term3_Day_8[[#This Row],[Activity]],Types_of_Activity[Type of Activity],Types_of_Activity[Classification])=2,Term3_Day_8[[#This Row],[Elapsed]],0))</f>
        <v/>
      </c>
      <c r="BE44" s="107"/>
      <c r="BF44" s="136"/>
      <c r="BG44" s="136"/>
      <c r="BH44" s="103"/>
      <c r="BI44" s="106" t="str">
        <f>IF(OR(ISBLANK(Term3_Day_9[[#This Row],[Start]]),ISBLANK(Term3_Day_9[[#This Row],[End]])),"",(Term3_Day_9[[#This Row],[End]]-Term3_Day_9[[#This Row],[Start]])*1440)</f>
        <v/>
      </c>
      <c r="BJ44" s="106" t="str">
        <f>IF(ISBLANK(Term3_Day_9[[#This Row],[Activity]]),"",IF(_xlfn.XLOOKUP(Term3_Day_9[[#This Row],[Activity]],Types_of_Activity[Type of Activity],Types_of_Activity[Classification])=1,Term3_Day_9[[#This Row],[Elapsed]],0))</f>
        <v/>
      </c>
      <c r="BK44" s="106" t="str">
        <f>IF(ISBLANK(Term3_Day_9[[#This Row],[Activity]]),"",IF(_xlfn.XLOOKUP(Term3_Day_9[[#This Row],[Activity]],Types_of_Activity[Type of Activity],Types_of_Activity[Classification])=2,Term3_Day_9[[#This Row],[Elapsed]],0))</f>
        <v/>
      </c>
      <c r="BL44" s="107"/>
      <c r="BM44" s="136"/>
      <c r="BN44" s="136"/>
      <c r="BO44" s="103"/>
      <c r="BP44" s="106" t="str">
        <f>IF(OR(ISBLANK(Term3_Day_10[[#This Row],[Start]]),ISBLANK(Term3_Day_10[[#This Row],[End]])),"",(Term3_Day_10[[#This Row],[End]]-Term3_Day_10[[#This Row],[Start]])*1440)</f>
        <v/>
      </c>
      <c r="BQ44" s="106" t="str">
        <f>IF(ISBLANK(Term3_Day_10[[#This Row],[Activity]]),"",IF(_xlfn.XLOOKUP(Term3_Day_10[[#This Row],[Activity]],Types_of_Activity[Type of Activity],Types_of_Activity[Classification])=1,Term3_Day_10[[#This Row],[Elapsed]],0))</f>
        <v/>
      </c>
      <c r="BR44" s="106" t="str">
        <f>IF(ISBLANK(Term3_Day_10[[#This Row],[Activity]]),"",IF(_xlfn.XLOOKUP(Term3_Day_10[[#This Row],[Activity]],Types_of_Activity[Type of Activity],Types_of_Activity[Classification])=2,Term3_Day_10[[#This Row],[Elapsed]],0))</f>
        <v/>
      </c>
      <c r="BS44" s="107"/>
    </row>
    <row r="45" spans="2:71" x14ac:dyDescent="0.3">
      <c r="B45" s="136"/>
      <c r="C45" s="136"/>
      <c r="D45" s="103"/>
      <c r="E45" s="106" t="str">
        <f>IF(OR(ISBLANK(Term3_Day_1[[#This Row],[Start]]),ISBLANK(Term3_Day_1[[#This Row],[End]])),"",(Term3_Day_1[[#This Row],[End]]-Term3_Day_1[[#This Row],[Start]])*1440)</f>
        <v/>
      </c>
      <c r="F45" s="106" t="str">
        <f>IF(ISBLANK(Term3_Day_1[[#This Row],[Activity]]),"",IF(_xlfn.XLOOKUP(Term3_Day_1[[#This Row],[Activity]],Types_of_Activity[Type of Activity],Types_of_Activity[Classification])=1,Term3_Day_1[[#This Row],[Elapsed]],0))</f>
        <v/>
      </c>
      <c r="G45" s="106" t="str">
        <f>IF(ISBLANK(Term3_Day_1[[#This Row],[Activity]]),"",IF(_xlfn.XLOOKUP(Term3_Day_1[[#This Row],[Activity]],Types_of_Activity[Type of Activity],Types_of_Activity[Classification])=2,Term3_Day_1[[#This Row],[Elapsed]],0))</f>
        <v/>
      </c>
      <c r="I45" s="136"/>
      <c r="J45" s="136"/>
      <c r="K45" s="103"/>
      <c r="L45" s="106" t="str">
        <f>IF(OR(ISBLANK(Term3_Day_2[[#This Row],[Start]]),ISBLANK(Term3_Day_2[[#This Row],[End]])),"",(Term3_Day_2[[#This Row],[End]]-Term3_Day_2[[#This Row],[Start]])*1440)</f>
        <v/>
      </c>
      <c r="M45" s="106" t="str">
        <f>IF(ISBLANK(Term3_Day_2[[#This Row],[Activity]]),"",IF(_xlfn.XLOOKUP(Term3_Day_2[[#This Row],[Activity]],Types_of_Activity[Type of Activity],Types_of_Activity[Classification])=1,Term3_Day_2[[#This Row],[Elapsed]],0))</f>
        <v/>
      </c>
      <c r="N45" s="106" t="str">
        <f>IF(ISBLANK(Term3_Day_2[[#This Row],[Activity]]),"",IF(_xlfn.XLOOKUP(Term3_Day_2[[#This Row],[Activity]],Types_of_Activity[Type of Activity],Types_of_Activity[Classification])=2,Term3_Day_2[[#This Row],[Elapsed]],0))</f>
        <v/>
      </c>
      <c r="P45" s="136"/>
      <c r="Q45" s="136"/>
      <c r="R45" s="103"/>
      <c r="S45" s="106" t="str">
        <f>IF(OR(ISBLANK(Term3_Day_3[[#This Row],[Start]]),ISBLANK(Term3_Day_3[[#This Row],[End]])),"",(Term3_Day_3[[#This Row],[End]]-Term3_Day_3[[#This Row],[Start]])*1440)</f>
        <v/>
      </c>
      <c r="T45" s="106" t="str">
        <f>IF(ISBLANK(Term3_Day_3[[#This Row],[Activity]]),"",IF(_xlfn.XLOOKUP(Term3_Day_3[[#This Row],[Activity]],Types_of_Activity[Type of Activity],Types_of_Activity[Classification])=1,Term3_Day_3[[#This Row],[Elapsed]],0))</f>
        <v/>
      </c>
      <c r="U45" s="106" t="str">
        <f>IF(ISBLANK(Term3_Day_3[[#This Row],[Activity]]),"",IF(_xlfn.XLOOKUP(Term3_Day_3[[#This Row],[Activity]],Types_of_Activity[Type of Activity],Types_of_Activity[Classification])=2,Term3_Day_3[[#This Row],[Elapsed]],0))</f>
        <v/>
      </c>
      <c r="W45" s="136"/>
      <c r="X45" s="136"/>
      <c r="Y45" s="103"/>
      <c r="Z45" s="106" t="str">
        <f>IF(OR(ISBLANK(Term3_Day_4[[#This Row],[Start]]),ISBLANK(Term3_Day_4[[#This Row],[End]])),"",(Term3_Day_4[[#This Row],[End]]-Term3_Day_4[[#This Row],[Start]])*1440)</f>
        <v/>
      </c>
      <c r="AA45" s="106" t="str">
        <f>IF(ISBLANK(Term3_Day_4[[#This Row],[Activity]]),"",IF(_xlfn.XLOOKUP(Term3_Day_4[[#This Row],[Activity]],Types_of_Activity[Type of Activity],Types_of_Activity[Classification])=1,Term3_Day_4[[#This Row],[Elapsed]],0))</f>
        <v/>
      </c>
      <c r="AB45" s="106" t="str">
        <f>IF(ISBLANK(Term3_Day_4[[#This Row],[Activity]]),"",IF(_xlfn.XLOOKUP(Term3_Day_4[[#This Row],[Activity]],Types_of_Activity[Type of Activity],Types_of_Activity[Classification])=2,Term3_Day_4[[#This Row],[Elapsed]],0))</f>
        <v/>
      </c>
      <c r="AD45" s="136"/>
      <c r="AE45" s="136"/>
      <c r="AF45" s="103"/>
      <c r="AG45" s="106" t="str">
        <f>IF(OR(ISBLANK(Term3_Day_5[[#This Row],[Start]]),ISBLANK(Term3_Day_5[[#This Row],[End]])),"",(Term3_Day_5[[#This Row],[End]]-Term3_Day_5[[#This Row],[Start]])*1440)</f>
        <v/>
      </c>
      <c r="AH45" s="106" t="str">
        <f>IF(ISBLANK(Term3_Day_5[[#This Row],[Activity]]),"",IF(_xlfn.XLOOKUP(Term3_Day_5[[#This Row],[Activity]],Types_of_Activity[Type of Activity],Types_of_Activity[Classification])=1,Term3_Day_5[[#This Row],[Elapsed]],0))</f>
        <v/>
      </c>
      <c r="AI45" s="106" t="str">
        <f>IF(ISBLANK(Term3_Day_5[[#This Row],[Activity]]),"",IF(_xlfn.XLOOKUP(Term3_Day_5[[#This Row],[Activity]],Types_of_Activity[Type of Activity],Types_of_Activity[Classification])=2,Term3_Day_5[[#This Row],[Elapsed]],0))</f>
        <v/>
      </c>
      <c r="AJ45" s="107"/>
      <c r="AK45" s="136"/>
      <c r="AL45" s="136"/>
      <c r="AM45" s="103"/>
      <c r="AN45" s="106" t="str">
        <f>IF(OR(ISBLANK(Term3_Day_6[[#This Row],[Start]]),ISBLANK(Term3_Day_6[[#This Row],[End]])),"",(Term3_Day_6[[#This Row],[End]]-Term3_Day_6[[#This Row],[Start]])*1440)</f>
        <v/>
      </c>
      <c r="AO45" s="106" t="str">
        <f>IF(ISBLANK(Term3_Day_6[[#This Row],[Activity]]),"",IF(_xlfn.XLOOKUP(Term3_Day_6[[#This Row],[Activity]],Types_of_Activity[Type of Activity],Types_of_Activity[Classification])=1,Term3_Day_6[[#This Row],[Elapsed]],0))</f>
        <v/>
      </c>
      <c r="AP45" s="106" t="str">
        <f>IF(ISBLANK(Term3_Day_6[[#This Row],[Activity]]),"",IF(_xlfn.XLOOKUP(Term3_Day_6[[#This Row],[Activity]],Types_of_Activity[Type of Activity],Types_of_Activity[Classification])=2,Term3_Day_6[[#This Row],[Elapsed]],0))</f>
        <v/>
      </c>
      <c r="AQ45" s="107"/>
      <c r="AR45" s="136"/>
      <c r="AS45" s="136"/>
      <c r="AT45" s="103"/>
      <c r="AU45" s="106" t="str">
        <f>IF(OR(ISBLANK(Term3_Day_7[[#This Row],[Start]]),ISBLANK(Term3_Day_7[[#This Row],[End]])),"",(Term3_Day_7[[#This Row],[End]]-Term3_Day_7[[#This Row],[Start]])*1440)</f>
        <v/>
      </c>
      <c r="AV45" s="106" t="str">
        <f>IF(ISBLANK(Term3_Day_7[[#This Row],[Activity]]),"",IF(_xlfn.XLOOKUP(Term3_Day_7[[#This Row],[Activity]],Types_of_Activity[Type of Activity],Types_of_Activity[Classification])=1,Term3_Day_7[[#This Row],[Elapsed]],0))</f>
        <v/>
      </c>
      <c r="AW45" s="106" t="str">
        <f>IF(ISBLANK(Term3_Day_7[[#This Row],[Activity]]),"",IF(_xlfn.XLOOKUP(Term3_Day_7[[#This Row],[Activity]],Types_of_Activity[Type of Activity],Types_of_Activity[Classification])=2,Term3_Day_7[[#This Row],[Elapsed]],0))</f>
        <v/>
      </c>
      <c r="AX45" s="107"/>
      <c r="AY45" s="136"/>
      <c r="AZ45" s="136"/>
      <c r="BA45" s="103"/>
      <c r="BB45" s="106" t="str">
        <f>IF(OR(ISBLANK(Term3_Day_8[[#This Row],[Start]]),ISBLANK(Term3_Day_8[[#This Row],[End]])),"",(Term3_Day_8[[#This Row],[End]]-Term3_Day_8[[#This Row],[Start]])*1440)</f>
        <v/>
      </c>
      <c r="BC45" s="106" t="str">
        <f>IF(ISBLANK(Term3_Day_8[[#This Row],[Activity]]),"",IF(_xlfn.XLOOKUP(Term3_Day_8[[#This Row],[Activity]],Types_of_Activity[Type of Activity],Types_of_Activity[Classification])=1,Term3_Day_8[[#This Row],[Elapsed]],0))</f>
        <v/>
      </c>
      <c r="BD45" s="106" t="str">
        <f>IF(ISBLANK(Term3_Day_8[[#This Row],[Activity]]),"",IF(_xlfn.XLOOKUP(Term3_Day_8[[#This Row],[Activity]],Types_of_Activity[Type of Activity],Types_of_Activity[Classification])=2,Term3_Day_8[[#This Row],[Elapsed]],0))</f>
        <v/>
      </c>
      <c r="BE45" s="107"/>
      <c r="BF45" s="136"/>
      <c r="BG45" s="136"/>
      <c r="BH45" s="103"/>
      <c r="BI45" s="106" t="str">
        <f>IF(OR(ISBLANK(Term3_Day_9[[#This Row],[Start]]),ISBLANK(Term3_Day_9[[#This Row],[End]])),"",(Term3_Day_9[[#This Row],[End]]-Term3_Day_9[[#This Row],[Start]])*1440)</f>
        <v/>
      </c>
      <c r="BJ45" s="106" t="str">
        <f>IF(ISBLANK(Term3_Day_9[[#This Row],[Activity]]),"",IF(_xlfn.XLOOKUP(Term3_Day_9[[#This Row],[Activity]],Types_of_Activity[Type of Activity],Types_of_Activity[Classification])=1,Term3_Day_9[[#This Row],[Elapsed]],0))</f>
        <v/>
      </c>
      <c r="BK45" s="106" t="str">
        <f>IF(ISBLANK(Term3_Day_9[[#This Row],[Activity]]),"",IF(_xlfn.XLOOKUP(Term3_Day_9[[#This Row],[Activity]],Types_of_Activity[Type of Activity],Types_of_Activity[Classification])=2,Term3_Day_9[[#This Row],[Elapsed]],0))</f>
        <v/>
      </c>
      <c r="BL45" s="107"/>
      <c r="BM45" s="136"/>
      <c r="BN45" s="136"/>
      <c r="BO45" s="103"/>
      <c r="BP45" s="106" t="str">
        <f>IF(OR(ISBLANK(Term3_Day_10[[#This Row],[Start]]),ISBLANK(Term3_Day_10[[#This Row],[End]])),"",(Term3_Day_10[[#This Row],[End]]-Term3_Day_10[[#This Row],[Start]])*1440)</f>
        <v/>
      </c>
      <c r="BQ45" s="106" t="str">
        <f>IF(ISBLANK(Term3_Day_10[[#This Row],[Activity]]),"",IF(_xlfn.XLOOKUP(Term3_Day_10[[#This Row],[Activity]],Types_of_Activity[Type of Activity],Types_of_Activity[Classification])=1,Term3_Day_10[[#This Row],[Elapsed]],0))</f>
        <v/>
      </c>
      <c r="BR45" s="106" t="str">
        <f>IF(ISBLANK(Term3_Day_10[[#This Row],[Activity]]),"",IF(_xlfn.XLOOKUP(Term3_Day_10[[#This Row],[Activity]],Types_of_Activity[Type of Activity],Types_of_Activity[Classification])=2,Term3_Day_10[[#This Row],[Elapsed]],0))</f>
        <v/>
      </c>
      <c r="BS45" s="107"/>
    </row>
    <row r="46" spans="2:71" x14ac:dyDescent="0.3">
      <c r="B46" s="136"/>
      <c r="C46" s="136"/>
      <c r="D46" s="103"/>
      <c r="E46" s="106" t="str">
        <f>IF(OR(ISBLANK(Term3_Day_1[[#This Row],[Start]]),ISBLANK(Term3_Day_1[[#This Row],[End]])),"",(Term3_Day_1[[#This Row],[End]]-Term3_Day_1[[#This Row],[Start]])*1440)</f>
        <v/>
      </c>
      <c r="F46" s="106" t="str">
        <f>IF(ISBLANK(Term3_Day_1[[#This Row],[Activity]]),"",IF(_xlfn.XLOOKUP(Term3_Day_1[[#This Row],[Activity]],Types_of_Activity[Type of Activity],Types_of_Activity[Classification])=1,Term3_Day_1[[#This Row],[Elapsed]],0))</f>
        <v/>
      </c>
      <c r="G46" s="106" t="str">
        <f>IF(ISBLANK(Term3_Day_1[[#This Row],[Activity]]),"",IF(_xlfn.XLOOKUP(Term3_Day_1[[#This Row],[Activity]],Types_of_Activity[Type of Activity],Types_of_Activity[Classification])=2,Term3_Day_1[[#This Row],[Elapsed]],0))</f>
        <v/>
      </c>
      <c r="I46" s="136"/>
      <c r="J46" s="136"/>
      <c r="K46" s="103"/>
      <c r="L46" s="106" t="str">
        <f>IF(OR(ISBLANK(Term3_Day_2[[#This Row],[Start]]),ISBLANK(Term3_Day_2[[#This Row],[End]])),"",(Term3_Day_2[[#This Row],[End]]-Term3_Day_2[[#This Row],[Start]])*1440)</f>
        <v/>
      </c>
      <c r="M46" s="106" t="str">
        <f>IF(ISBLANK(Term3_Day_2[[#This Row],[Activity]]),"",IF(_xlfn.XLOOKUP(Term3_Day_2[[#This Row],[Activity]],Types_of_Activity[Type of Activity],Types_of_Activity[Classification])=1,Term3_Day_2[[#This Row],[Elapsed]],0))</f>
        <v/>
      </c>
      <c r="N46" s="106" t="str">
        <f>IF(ISBLANK(Term3_Day_2[[#This Row],[Activity]]),"",IF(_xlfn.XLOOKUP(Term3_Day_2[[#This Row],[Activity]],Types_of_Activity[Type of Activity],Types_of_Activity[Classification])=2,Term3_Day_2[[#This Row],[Elapsed]],0))</f>
        <v/>
      </c>
      <c r="P46" s="136"/>
      <c r="Q46" s="136"/>
      <c r="R46" s="103"/>
      <c r="S46" s="106" t="str">
        <f>IF(OR(ISBLANK(Term3_Day_3[[#This Row],[Start]]),ISBLANK(Term3_Day_3[[#This Row],[End]])),"",(Term3_Day_3[[#This Row],[End]]-Term3_Day_3[[#This Row],[Start]])*1440)</f>
        <v/>
      </c>
      <c r="T46" s="106" t="str">
        <f>IF(ISBLANK(Term3_Day_3[[#This Row],[Activity]]),"",IF(_xlfn.XLOOKUP(Term3_Day_3[[#This Row],[Activity]],Types_of_Activity[Type of Activity],Types_of_Activity[Classification])=1,Term3_Day_3[[#This Row],[Elapsed]],0))</f>
        <v/>
      </c>
      <c r="U46" s="106" t="str">
        <f>IF(ISBLANK(Term3_Day_3[[#This Row],[Activity]]),"",IF(_xlfn.XLOOKUP(Term3_Day_3[[#This Row],[Activity]],Types_of_Activity[Type of Activity],Types_of_Activity[Classification])=2,Term3_Day_3[[#This Row],[Elapsed]],0))</f>
        <v/>
      </c>
      <c r="W46" s="136"/>
      <c r="X46" s="136"/>
      <c r="Y46" s="103"/>
      <c r="Z46" s="106" t="str">
        <f>IF(OR(ISBLANK(Term3_Day_4[[#This Row],[Start]]),ISBLANK(Term3_Day_4[[#This Row],[End]])),"",(Term3_Day_4[[#This Row],[End]]-Term3_Day_4[[#This Row],[Start]])*1440)</f>
        <v/>
      </c>
      <c r="AA46" s="106" t="str">
        <f>IF(ISBLANK(Term3_Day_4[[#This Row],[Activity]]),"",IF(_xlfn.XLOOKUP(Term3_Day_4[[#This Row],[Activity]],Types_of_Activity[Type of Activity],Types_of_Activity[Classification])=1,Term3_Day_4[[#This Row],[Elapsed]],0))</f>
        <v/>
      </c>
      <c r="AB46" s="106" t="str">
        <f>IF(ISBLANK(Term3_Day_4[[#This Row],[Activity]]),"",IF(_xlfn.XLOOKUP(Term3_Day_4[[#This Row],[Activity]],Types_of_Activity[Type of Activity],Types_of_Activity[Classification])=2,Term3_Day_4[[#This Row],[Elapsed]],0))</f>
        <v/>
      </c>
      <c r="AD46" s="136"/>
      <c r="AE46" s="136"/>
      <c r="AF46" s="103"/>
      <c r="AG46" s="106" t="str">
        <f>IF(OR(ISBLANK(Term3_Day_5[[#This Row],[Start]]),ISBLANK(Term3_Day_5[[#This Row],[End]])),"",(Term3_Day_5[[#This Row],[End]]-Term3_Day_5[[#This Row],[Start]])*1440)</f>
        <v/>
      </c>
      <c r="AH46" s="106" t="str">
        <f>IF(ISBLANK(Term3_Day_5[[#This Row],[Activity]]),"",IF(_xlfn.XLOOKUP(Term3_Day_5[[#This Row],[Activity]],Types_of_Activity[Type of Activity],Types_of_Activity[Classification])=1,Term3_Day_5[[#This Row],[Elapsed]],0))</f>
        <v/>
      </c>
      <c r="AI46" s="106" t="str">
        <f>IF(ISBLANK(Term3_Day_5[[#This Row],[Activity]]),"",IF(_xlfn.XLOOKUP(Term3_Day_5[[#This Row],[Activity]],Types_of_Activity[Type of Activity],Types_of_Activity[Classification])=2,Term3_Day_5[[#This Row],[Elapsed]],0))</f>
        <v/>
      </c>
      <c r="AJ46" s="107"/>
      <c r="AK46" s="136"/>
      <c r="AL46" s="136"/>
      <c r="AM46" s="103"/>
      <c r="AN46" s="106" t="str">
        <f>IF(OR(ISBLANK(Term3_Day_6[[#This Row],[Start]]),ISBLANK(Term3_Day_6[[#This Row],[End]])),"",(Term3_Day_6[[#This Row],[End]]-Term3_Day_6[[#This Row],[Start]])*1440)</f>
        <v/>
      </c>
      <c r="AO46" s="106" t="str">
        <f>IF(ISBLANK(Term3_Day_6[[#This Row],[Activity]]),"",IF(_xlfn.XLOOKUP(Term3_Day_6[[#This Row],[Activity]],Types_of_Activity[Type of Activity],Types_of_Activity[Classification])=1,Term3_Day_6[[#This Row],[Elapsed]],0))</f>
        <v/>
      </c>
      <c r="AP46" s="106" t="str">
        <f>IF(ISBLANK(Term3_Day_6[[#This Row],[Activity]]),"",IF(_xlfn.XLOOKUP(Term3_Day_6[[#This Row],[Activity]],Types_of_Activity[Type of Activity],Types_of_Activity[Classification])=2,Term3_Day_6[[#This Row],[Elapsed]],0))</f>
        <v/>
      </c>
      <c r="AQ46" s="107"/>
      <c r="AR46" s="136"/>
      <c r="AS46" s="136"/>
      <c r="AT46" s="103"/>
      <c r="AU46" s="106" t="str">
        <f>IF(OR(ISBLANK(Term3_Day_7[[#This Row],[Start]]),ISBLANK(Term3_Day_7[[#This Row],[End]])),"",(Term3_Day_7[[#This Row],[End]]-Term3_Day_7[[#This Row],[Start]])*1440)</f>
        <v/>
      </c>
      <c r="AV46" s="106" t="str">
        <f>IF(ISBLANK(Term3_Day_7[[#This Row],[Activity]]),"",IF(_xlfn.XLOOKUP(Term3_Day_7[[#This Row],[Activity]],Types_of_Activity[Type of Activity],Types_of_Activity[Classification])=1,Term3_Day_7[[#This Row],[Elapsed]],0))</f>
        <v/>
      </c>
      <c r="AW46" s="106" t="str">
        <f>IF(ISBLANK(Term3_Day_7[[#This Row],[Activity]]),"",IF(_xlfn.XLOOKUP(Term3_Day_7[[#This Row],[Activity]],Types_of_Activity[Type of Activity],Types_of_Activity[Classification])=2,Term3_Day_7[[#This Row],[Elapsed]],0))</f>
        <v/>
      </c>
      <c r="AX46" s="107"/>
      <c r="AY46" s="136"/>
      <c r="AZ46" s="136"/>
      <c r="BA46" s="103"/>
      <c r="BB46" s="106" t="str">
        <f>IF(OR(ISBLANK(Term3_Day_8[[#This Row],[Start]]),ISBLANK(Term3_Day_8[[#This Row],[End]])),"",(Term3_Day_8[[#This Row],[End]]-Term3_Day_8[[#This Row],[Start]])*1440)</f>
        <v/>
      </c>
      <c r="BC46" s="106" t="str">
        <f>IF(ISBLANK(Term3_Day_8[[#This Row],[Activity]]),"",IF(_xlfn.XLOOKUP(Term3_Day_8[[#This Row],[Activity]],Types_of_Activity[Type of Activity],Types_of_Activity[Classification])=1,Term3_Day_8[[#This Row],[Elapsed]],0))</f>
        <v/>
      </c>
      <c r="BD46" s="106" t="str">
        <f>IF(ISBLANK(Term3_Day_8[[#This Row],[Activity]]),"",IF(_xlfn.XLOOKUP(Term3_Day_8[[#This Row],[Activity]],Types_of_Activity[Type of Activity],Types_of_Activity[Classification])=2,Term3_Day_8[[#This Row],[Elapsed]],0))</f>
        <v/>
      </c>
      <c r="BE46" s="107"/>
      <c r="BF46" s="136"/>
      <c r="BG46" s="136"/>
      <c r="BH46" s="103"/>
      <c r="BI46" s="106" t="str">
        <f>IF(OR(ISBLANK(Term3_Day_9[[#This Row],[Start]]),ISBLANK(Term3_Day_9[[#This Row],[End]])),"",(Term3_Day_9[[#This Row],[End]]-Term3_Day_9[[#This Row],[Start]])*1440)</f>
        <v/>
      </c>
      <c r="BJ46" s="106" t="str">
        <f>IF(ISBLANK(Term3_Day_9[[#This Row],[Activity]]),"",IF(_xlfn.XLOOKUP(Term3_Day_9[[#This Row],[Activity]],Types_of_Activity[Type of Activity],Types_of_Activity[Classification])=1,Term3_Day_9[[#This Row],[Elapsed]],0))</f>
        <v/>
      </c>
      <c r="BK46" s="106" t="str">
        <f>IF(ISBLANK(Term3_Day_9[[#This Row],[Activity]]),"",IF(_xlfn.XLOOKUP(Term3_Day_9[[#This Row],[Activity]],Types_of_Activity[Type of Activity],Types_of_Activity[Classification])=2,Term3_Day_9[[#This Row],[Elapsed]],0))</f>
        <v/>
      </c>
      <c r="BL46" s="107"/>
      <c r="BM46" s="136"/>
      <c r="BN46" s="136"/>
      <c r="BO46" s="103"/>
      <c r="BP46" s="106" t="str">
        <f>IF(OR(ISBLANK(Term3_Day_10[[#This Row],[Start]]),ISBLANK(Term3_Day_10[[#This Row],[End]])),"",(Term3_Day_10[[#This Row],[End]]-Term3_Day_10[[#This Row],[Start]])*1440)</f>
        <v/>
      </c>
      <c r="BQ46" s="106" t="str">
        <f>IF(ISBLANK(Term3_Day_10[[#This Row],[Activity]]),"",IF(_xlfn.XLOOKUP(Term3_Day_10[[#This Row],[Activity]],Types_of_Activity[Type of Activity],Types_of_Activity[Classification])=1,Term3_Day_10[[#This Row],[Elapsed]],0))</f>
        <v/>
      </c>
      <c r="BR46" s="106" t="str">
        <f>IF(ISBLANK(Term3_Day_10[[#This Row],[Activity]]),"",IF(_xlfn.XLOOKUP(Term3_Day_10[[#This Row],[Activity]],Types_of_Activity[Type of Activity],Types_of_Activity[Classification])=2,Term3_Day_10[[#This Row],[Elapsed]],0))</f>
        <v/>
      </c>
      <c r="BS46" s="107"/>
    </row>
    <row r="47" spans="2:71" x14ac:dyDescent="0.3">
      <c r="B47" s="136"/>
      <c r="C47" s="136"/>
      <c r="D47" s="103"/>
      <c r="E47" s="106" t="str">
        <f>IF(OR(ISBLANK(Term3_Day_1[[#This Row],[Start]]),ISBLANK(Term3_Day_1[[#This Row],[End]])),"",(Term3_Day_1[[#This Row],[End]]-Term3_Day_1[[#This Row],[Start]])*1440)</f>
        <v/>
      </c>
      <c r="F47" s="106" t="str">
        <f>IF(ISBLANK(Term3_Day_1[[#This Row],[Activity]]),"",IF(_xlfn.XLOOKUP(Term3_Day_1[[#This Row],[Activity]],Types_of_Activity[Type of Activity],Types_of_Activity[Classification])=1,Term3_Day_1[[#This Row],[Elapsed]],0))</f>
        <v/>
      </c>
      <c r="G47" s="106" t="str">
        <f>IF(ISBLANK(Term3_Day_1[[#This Row],[Activity]]),"",IF(_xlfn.XLOOKUP(Term3_Day_1[[#This Row],[Activity]],Types_of_Activity[Type of Activity],Types_of_Activity[Classification])=2,Term3_Day_1[[#This Row],[Elapsed]],0))</f>
        <v/>
      </c>
      <c r="I47" s="136"/>
      <c r="J47" s="136"/>
      <c r="K47" s="103"/>
      <c r="L47" s="106" t="str">
        <f>IF(OR(ISBLANK(Term3_Day_2[[#This Row],[Start]]),ISBLANK(Term3_Day_2[[#This Row],[End]])),"",(Term3_Day_2[[#This Row],[End]]-Term3_Day_2[[#This Row],[Start]])*1440)</f>
        <v/>
      </c>
      <c r="M47" s="106" t="str">
        <f>IF(ISBLANK(Term3_Day_2[[#This Row],[Activity]]),"",IF(_xlfn.XLOOKUP(Term3_Day_2[[#This Row],[Activity]],Types_of_Activity[Type of Activity],Types_of_Activity[Classification])=1,Term3_Day_2[[#This Row],[Elapsed]],0))</f>
        <v/>
      </c>
      <c r="N47" s="106" t="str">
        <f>IF(ISBLANK(Term3_Day_2[[#This Row],[Activity]]),"",IF(_xlfn.XLOOKUP(Term3_Day_2[[#This Row],[Activity]],Types_of_Activity[Type of Activity],Types_of_Activity[Classification])=2,Term3_Day_2[[#This Row],[Elapsed]],0))</f>
        <v/>
      </c>
      <c r="P47" s="136"/>
      <c r="Q47" s="136"/>
      <c r="R47" s="103"/>
      <c r="S47" s="106" t="str">
        <f>IF(OR(ISBLANK(Term3_Day_3[[#This Row],[Start]]),ISBLANK(Term3_Day_3[[#This Row],[End]])),"",(Term3_Day_3[[#This Row],[End]]-Term3_Day_3[[#This Row],[Start]])*1440)</f>
        <v/>
      </c>
      <c r="T47" s="106" t="str">
        <f>IF(ISBLANK(Term3_Day_3[[#This Row],[Activity]]),"",IF(_xlfn.XLOOKUP(Term3_Day_3[[#This Row],[Activity]],Types_of_Activity[Type of Activity],Types_of_Activity[Classification])=1,Term3_Day_3[[#This Row],[Elapsed]],0))</f>
        <v/>
      </c>
      <c r="U47" s="106" t="str">
        <f>IF(ISBLANK(Term3_Day_3[[#This Row],[Activity]]),"",IF(_xlfn.XLOOKUP(Term3_Day_3[[#This Row],[Activity]],Types_of_Activity[Type of Activity],Types_of_Activity[Classification])=2,Term3_Day_3[[#This Row],[Elapsed]],0))</f>
        <v/>
      </c>
      <c r="W47" s="136"/>
      <c r="X47" s="136"/>
      <c r="Y47" s="103"/>
      <c r="Z47" s="106" t="str">
        <f>IF(OR(ISBLANK(Term3_Day_4[[#This Row],[Start]]),ISBLANK(Term3_Day_4[[#This Row],[End]])),"",(Term3_Day_4[[#This Row],[End]]-Term3_Day_4[[#This Row],[Start]])*1440)</f>
        <v/>
      </c>
      <c r="AA47" s="106" t="str">
        <f>IF(ISBLANK(Term3_Day_4[[#This Row],[Activity]]),"",IF(_xlfn.XLOOKUP(Term3_Day_4[[#This Row],[Activity]],Types_of_Activity[Type of Activity],Types_of_Activity[Classification])=1,Term3_Day_4[[#This Row],[Elapsed]],0))</f>
        <v/>
      </c>
      <c r="AB47" s="106" t="str">
        <f>IF(ISBLANK(Term3_Day_4[[#This Row],[Activity]]),"",IF(_xlfn.XLOOKUP(Term3_Day_4[[#This Row],[Activity]],Types_of_Activity[Type of Activity],Types_of_Activity[Classification])=2,Term3_Day_4[[#This Row],[Elapsed]],0))</f>
        <v/>
      </c>
      <c r="AD47" s="136"/>
      <c r="AE47" s="136"/>
      <c r="AF47" s="103"/>
      <c r="AG47" s="106" t="str">
        <f>IF(OR(ISBLANK(Term3_Day_5[[#This Row],[Start]]),ISBLANK(Term3_Day_5[[#This Row],[End]])),"",(Term3_Day_5[[#This Row],[End]]-Term3_Day_5[[#This Row],[Start]])*1440)</f>
        <v/>
      </c>
      <c r="AH47" s="106" t="str">
        <f>IF(ISBLANK(Term3_Day_5[[#This Row],[Activity]]),"",IF(_xlfn.XLOOKUP(Term3_Day_5[[#This Row],[Activity]],Types_of_Activity[Type of Activity],Types_of_Activity[Classification])=1,Term3_Day_5[[#This Row],[Elapsed]],0))</f>
        <v/>
      </c>
      <c r="AI47" s="106" t="str">
        <f>IF(ISBLANK(Term3_Day_5[[#This Row],[Activity]]),"",IF(_xlfn.XLOOKUP(Term3_Day_5[[#This Row],[Activity]],Types_of_Activity[Type of Activity],Types_of_Activity[Classification])=2,Term3_Day_5[[#This Row],[Elapsed]],0))</f>
        <v/>
      </c>
      <c r="AJ47" s="107"/>
      <c r="AK47" s="136"/>
      <c r="AL47" s="136"/>
      <c r="AM47" s="103"/>
      <c r="AN47" s="106" t="str">
        <f>IF(OR(ISBLANK(Term3_Day_6[[#This Row],[Start]]),ISBLANK(Term3_Day_6[[#This Row],[End]])),"",(Term3_Day_6[[#This Row],[End]]-Term3_Day_6[[#This Row],[Start]])*1440)</f>
        <v/>
      </c>
      <c r="AO47" s="106" t="str">
        <f>IF(ISBLANK(Term3_Day_6[[#This Row],[Activity]]),"",IF(_xlfn.XLOOKUP(Term3_Day_6[[#This Row],[Activity]],Types_of_Activity[Type of Activity],Types_of_Activity[Classification])=1,Term3_Day_6[[#This Row],[Elapsed]],0))</f>
        <v/>
      </c>
      <c r="AP47" s="106" t="str">
        <f>IF(ISBLANK(Term3_Day_6[[#This Row],[Activity]]),"",IF(_xlfn.XLOOKUP(Term3_Day_6[[#This Row],[Activity]],Types_of_Activity[Type of Activity],Types_of_Activity[Classification])=2,Term3_Day_6[[#This Row],[Elapsed]],0))</f>
        <v/>
      </c>
      <c r="AQ47" s="107"/>
      <c r="AR47" s="136"/>
      <c r="AS47" s="136"/>
      <c r="AT47" s="103"/>
      <c r="AU47" s="106" t="str">
        <f>IF(OR(ISBLANK(Term3_Day_7[[#This Row],[Start]]),ISBLANK(Term3_Day_7[[#This Row],[End]])),"",(Term3_Day_7[[#This Row],[End]]-Term3_Day_7[[#This Row],[Start]])*1440)</f>
        <v/>
      </c>
      <c r="AV47" s="106" t="str">
        <f>IF(ISBLANK(Term3_Day_7[[#This Row],[Activity]]),"",IF(_xlfn.XLOOKUP(Term3_Day_7[[#This Row],[Activity]],Types_of_Activity[Type of Activity],Types_of_Activity[Classification])=1,Term3_Day_7[[#This Row],[Elapsed]],0))</f>
        <v/>
      </c>
      <c r="AW47" s="106" t="str">
        <f>IF(ISBLANK(Term3_Day_7[[#This Row],[Activity]]),"",IF(_xlfn.XLOOKUP(Term3_Day_7[[#This Row],[Activity]],Types_of_Activity[Type of Activity],Types_of_Activity[Classification])=2,Term3_Day_7[[#This Row],[Elapsed]],0))</f>
        <v/>
      </c>
      <c r="AX47" s="107"/>
      <c r="AY47" s="136"/>
      <c r="AZ47" s="136"/>
      <c r="BA47" s="103"/>
      <c r="BB47" s="106" t="str">
        <f>IF(OR(ISBLANK(Term3_Day_8[[#This Row],[Start]]),ISBLANK(Term3_Day_8[[#This Row],[End]])),"",(Term3_Day_8[[#This Row],[End]]-Term3_Day_8[[#This Row],[Start]])*1440)</f>
        <v/>
      </c>
      <c r="BC47" s="106" t="str">
        <f>IF(ISBLANK(Term3_Day_8[[#This Row],[Activity]]),"",IF(_xlfn.XLOOKUP(Term3_Day_8[[#This Row],[Activity]],Types_of_Activity[Type of Activity],Types_of_Activity[Classification])=1,Term3_Day_8[[#This Row],[Elapsed]],0))</f>
        <v/>
      </c>
      <c r="BD47" s="106" t="str">
        <f>IF(ISBLANK(Term3_Day_8[[#This Row],[Activity]]),"",IF(_xlfn.XLOOKUP(Term3_Day_8[[#This Row],[Activity]],Types_of_Activity[Type of Activity],Types_of_Activity[Classification])=2,Term3_Day_8[[#This Row],[Elapsed]],0))</f>
        <v/>
      </c>
      <c r="BE47" s="107"/>
      <c r="BF47" s="136"/>
      <c r="BG47" s="136"/>
      <c r="BH47" s="103"/>
      <c r="BI47" s="106" t="str">
        <f>IF(OR(ISBLANK(Term3_Day_9[[#This Row],[Start]]),ISBLANK(Term3_Day_9[[#This Row],[End]])),"",(Term3_Day_9[[#This Row],[End]]-Term3_Day_9[[#This Row],[Start]])*1440)</f>
        <v/>
      </c>
      <c r="BJ47" s="106" t="str">
        <f>IF(ISBLANK(Term3_Day_9[[#This Row],[Activity]]),"",IF(_xlfn.XLOOKUP(Term3_Day_9[[#This Row],[Activity]],Types_of_Activity[Type of Activity],Types_of_Activity[Classification])=1,Term3_Day_9[[#This Row],[Elapsed]],0))</f>
        <v/>
      </c>
      <c r="BK47" s="106" t="str">
        <f>IF(ISBLANK(Term3_Day_9[[#This Row],[Activity]]),"",IF(_xlfn.XLOOKUP(Term3_Day_9[[#This Row],[Activity]],Types_of_Activity[Type of Activity],Types_of_Activity[Classification])=2,Term3_Day_9[[#This Row],[Elapsed]],0))</f>
        <v/>
      </c>
      <c r="BL47" s="107"/>
      <c r="BM47" s="136"/>
      <c r="BN47" s="136"/>
      <c r="BO47" s="103"/>
      <c r="BP47" s="106" t="str">
        <f>IF(OR(ISBLANK(Term3_Day_10[[#This Row],[Start]]),ISBLANK(Term3_Day_10[[#This Row],[End]])),"",(Term3_Day_10[[#This Row],[End]]-Term3_Day_10[[#This Row],[Start]])*1440)</f>
        <v/>
      </c>
      <c r="BQ47" s="106" t="str">
        <f>IF(ISBLANK(Term3_Day_10[[#This Row],[Activity]]),"",IF(_xlfn.XLOOKUP(Term3_Day_10[[#This Row],[Activity]],Types_of_Activity[Type of Activity],Types_of_Activity[Classification])=1,Term3_Day_10[[#This Row],[Elapsed]],0))</f>
        <v/>
      </c>
      <c r="BR47" s="106" t="str">
        <f>IF(ISBLANK(Term3_Day_10[[#This Row],[Activity]]),"",IF(_xlfn.XLOOKUP(Term3_Day_10[[#This Row],[Activity]],Types_of_Activity[Type of Activity],Types_of_Activity[Classification])=2,Term3_Day_10[[#This Row],[Elapsed]],0))</f>
        <v/>
      </c>
      <c r="BS47" s="107"/>
    </row>
    <row r="48" spans="2:71" x14ac:dyDescent="0.3">
      <c r="B48" s="136"/>
      <c r="C48" s="136"/>
      <c r="D48" s="103"/>
      <c r="E48" s="106" t="str">
        <f>IF(OR(ISBLANK(Term3_Day_1[[#This Row],[Start]]),ISBLANK(Term3_Day_1[[#This Row],[End]])),"",(Term3_Day_1[[#This Row],[End]]-Term3_Day_1[[#This Row],[Start]])*1440)</f>
        <v/>
      </c>
      <c r="F48" s="106" t="str">
        <f>IF(ISBLANK(Term3_Day_1[[#This Row],[Activity]]),"",IF(_xlfn.XLOOKUP(Term3_Day_1[[#This Row],[Activity]],Types_of_Activity[Type of Activity],Types_of_Activity[Classification])=1,Term3_Day_1[[#This Row],[Elapsed]],0))</f>
        <v/>
      </c>
      <c r="G48" s="106" t="str">
        <f>IF(ISBLANK(Term3_Day_1[[#This Row],[Activity]]),"",IF(_xlfn.XLOOKUP(Term3_Day_1[[#This Row],[Activity]],Types_of_Activity[Type of Activity],Types_of_Activity[Classification])=2,Term3_Day_1[[#This Row],[Elapsed]],0))</f>
        <v/>
      </c>
      <c r="I48" s="136"/>
      <c r="J48" s="136"/>
      <c r="K48" s="103"/>
      <c r="L48" s="106" t="str">
        <f>IF(OR(ISBLANK(Term3_Day_2[[#This Row],[Start]]),ISBLANK(Term3_Day_2[[#This Row],[End]])),"",(Term3_Day_2[[#This Row],[End]]-Term3_Day_2[[#This Row],[Start]])*1440)</f>
        <v/>
      </c>
      <c r="M48" s="106" t="str">
        <f>IF(ISBLANK(Term3_Day_2[[#This Row],[Activity]]),"",IF(_xlfn.XLOOKUP(Term3_Day_2[[#This Row],[Activity]],Types_of_Activity[Type of Activity],Types_of_Activity[Classification])=1,Term3_Day_2[[#This Row],[Elapsed]],0))</f>
        <v/>
      </c>
      <c r="N48" s="106" t="str">
        <f>IF(ISBLANK(Term3_Day_2[[#This Row],[Activity]]),"",IF(_xlfn.XLOOKUP(Term3_Day_2[[#This Row],[Activity]],Types_of_Activity[Type of Activity],Types_of_Activity[Classification])=2,Term3_Day_2[[#This Row],[Elapsed]],0))</f>
        <v/>
      </c>
      <c r="P48" s="136"/>
      <c r="Q48" s="136"/>
      <c r="R48" s="103"/>
      <c r="S48" s="106" t="str">
        <f>IF(OR(ISBLANK(Term3_Day_3[[#This Row],[Start]]),ISBLANK(Term3_Day_3[[#This Row],[End]])),"",(Term3_Day_3[[#This Row],[End]]-Term3_Day_3[[#This Row],[Start]])*1440)</f>
        <v/>
      </c>
      <c r="T48" s="106" t="str">
        <f>IF(ISBLANK(Term3_Day_3[[#This Row],[Activity]]),"",IF(_xlfn.XLOOKUP(Term3_Day_3[[#This Row],[Activity]],Types_of_Activity[Type of Activity],Types_of_Activity[Classification])=1,Term3_Day_3[[#This Row],[Elapsed]],0))</f>
        <v/>
      </c>
      <c r="U48" s="106" t="str">
        <f>IF(ISBLANK(Term3_Day_3[[#This Row],[Activity]]),"",IF(_xlfn.XLOOKUP(Term3_Day_3[[#This Row],[Activity]],Types_of_Activity[Type of Activity],Types_of_Activity[Classification])=2,Term3_Day_3[[#This Row],[Elapsed]],0))</f>
        <v/>
      </c>
      <c r="W48" s="136"/>
      <c r="X48" s="136"/>
      <c r="Y48" s="103"/>
      <c r="Z48" s="106" t="str">
        <f>IF(OR(ISBLANK(Term3_Day_4[[#This Row],[Start]]),ISBLANK(Term3_Day_4[[#This Row],[End]])),"",(Term3_Day_4[[#This Row],[End]]-Term3_Day_4[[#This Row],[Start]])*1440)</f>
        <v/>
      </c>
      <c r="AA48" s="106" t="str">
        <f>IF(ISBLANK(Term3_Day_4[[#This Row],[Activity]]),"",IF(_xlfn.XLOOKUP(Term3_Day_4[[#This Row],[Activity]],Types_of_Activity[Type of Activity],Types_of_Activity[Classification])=1,Term3_Day_4[[#This Row],[Elapsed]],0))</f>
        <v/>
      </c>
      <c r="AB48" s="106" t="str">
        <f>IF(ISBLANK(Term3_Day_4[[#This Row],[Activity]]),"",IF(_xlfn.XLOOKUP(Term3_Day_4[[#This Row],[Activity]],Types_of_Activity[Type of Activity],Types_of_Activity[Classification])=2,Term3_Day_4[[#This Row],[Elapsed]],0))</f>
        <v/>
      </c>
      <c r="AD48" s="136"/>
      <c r="AE48" s="136"/>
      <c r="AF48" s="103"/>
      <c r="AG48" s="106" t="str">
        <f>IF(OR(ISBLANK(Term3_Day_5[[#This Row],[Start]]),ISBLANK(Term3_Day_5[[#This Row],[End]])),"",(Term3_Day_5[[#This Row],[End]]-Term3_Day_5[[#This Row],[Start]])*1440)</f>
        <v/>
      </c>
      <c r="AH48" s="106" t="str">
        <f>IF(ISBLANK(Term3_Day_5[[#This Row],[Activity]]),"",IF(_xlfn.XLOOKUP(Term3_Day_5[[#This Row],[Activity]],Types_of_Activity[Type of Activity],Types_of_Activity[Classification])=1,Term3_Day_5[[#This Row],[Elapsed]],0))</f>
        <v/>
      </c>
      <c r="AI48" s="106" t="str">
        <f>IF(ISBLANK(Term3_Day_5[[#This Row],[Activity]]),"",IF(_xlfn.XLOOKUP(Term3_Day_5[[#This Row],[Activity]],Types_of_Activity[Type of Activity],Types_of_Activity[Classification])=2,Term3_Day_5[[#This Row],[Elapsed]],0))</f>
        <v/>
      </c>
      <c r="AJ48" s="107"/>
      <c r="AK48" s="136"/>
      <c r="AL48" s="136"/>
      <c r="AM48" s="103"/>
      <c r="AN48" s="106" t="str">
        <f>IF(OR(ISBLANK(Term3_Day_6[[#This Row],[Start]]),ISBLANK(Term3_Day_6[[#This Row],[End]])),"",(Term3_Day_6[[#This Row],[End]]-Term3_Day_6[[#This Row],[Start]])*1440)</f>
        <v/>
      </c>
      <c r="AO48" s="106" t="str">
        <f>IF(ISBLANK(Term3_Day_6[[#This Row],[Activity]]),"",IF(_xlfn.XLOOKUP(Term3_Day_6[[#This Row],[Activity]],Types_of_Activity[Type of Activity],Types_of_Activity[Classification])=1,Term3_Day_6[[#This Row],[Elapsed]],0))</f>
        <v/>
      </c>
      <c r="AP48" s="106" t="str">
        <f>IF(ISBLANK(Term3_Day_6[[#This Row],[Activity]]),"",IF(_xlfn.XLOOKUP(Term3_Day_6[[#This Row],[Activity]],Types_of_Activity[Type of Activity],Types_of_Activity[Classification])=2,Term3_Day_6[[#This Row],[Elapsed]],0))</f>
        <v/>
      </c>
      <c r="AQ48" s="107"/>
      <c r="AR48" s="136"/>
      <c r="AS48" s="136"/>
      <c r="AT48" s="103"/>
      <c r="AU48" s="106" t="str">
        <f>IF(OR(ISBLANK(Term3_Day_7[[#This Row],[Start]]),ISBLANK(Term3_Day_7[[#This Row],[End]])),"",(Term3_Day_7[[#This Row],[End]]-Term3_Day_7[[#This Row],[Start]])*1440)</f>
        <v/>
      </c>
      <c r="AV48" s="106" t="str">
        <f>IF(ISBLANK(Term3_Day_7[[#This Row],[Activity]]),"",IF(_xlfn.XLOOKUP(Term3_Day_7[[#This Row],[Activity]],Types_of_Activity[Type of Activity],Types_of_Activity[Classification])=1,Term3_Day_7[[#This Row],[Elapsed]],0))</f>
        <v/>
      </c>
      <c r="AW48" s="106" t="str">
        <f>IF(ISBLANK(Term3_Day_7[[#This Row],[Activity]]),"",IF(_xlfn.XLOOKUP(Term3_Day_7[[#This Row],[Activity]],Types_of_Activity[Type of Activity],Types_of_Activity[Classification])=2,Term3_Day_7[[#This Row],[Elapsed]],0))</f>
        <v/>
      </c>
      <c r="AX48" s="107"/>
      <c r="AY48" s="136"/>
      <c r="AZ48" s="136"/>
      <c r="BA48" s="103"/>
      <c r="BB48" s="106" t="str">
        <f>IF(OR(ISBLANK(Term3_Day_8[[#This Row],[Start]]),ISBLANK(Term3_Day_8[[#This Row],[End]])),"",(Term3_Day_8[[#This Row],[End]]-Term3_Day_8[[#This Row],[Start]])*1440)</f>
        <v/>
      </c>
      <c r="BC48" s="106" t="str">
        <f>IF(ISBLANK(Term3_Day_8[[#This Row],[Activity]]),"",IF(_xlfn.XLOOKUP(Term3_Day_8[[#This Row],[Activity]],Types_of_Activity[Type of Activity],Types_of_Activity[Classification])=1,Term3_Day_8[[#This Row],[Elapsed]],0))</f>
        <v/>
      </c>
      <c r="BD48" s="106" t="str">
        <f>IF(ISBLANK(Term3_Day_8[[#This Row],[Activity]]),"",IF(_xlfn.XLOOKUP(Term3_Day_8[[#This Row],[Activity]],Types_of_Activity[Type of Activity],Types_of_Activity[Classification])=2,Term3_Day_8[[#This Row],[Elapsed]],0))</f>
        <v/>
      </c>
      <c r="BE48" s="107"/>
      <c r="BF48" s="136"/>
      <c r="BG48" s="136"/>
      <c r="BH48" s="103"/>
      <c r="BI48" s="106" t="str">
        <f>IF(OR(ISBLANK(Term3_Day_9[[#This Row],[Start]]),ISBLANK(Term3_Day_9[[#This Row],[End]])),"",(Term3_Day_9[[#This Row],[End]]-Term3_Day_9[[#This Row],[Start]])*1440)</f>
        <v/>
      </c>
      <c r="BJ48" s="106" t="str">
        <f>IF(ISBLANK(Term3_Day_9[[#This Row],[Activity]]),"",IF(_xlfn.XLOOKUP(Term3_Day_9[[#This Row],[Activity]],Types_of_Activity[Type of Activity],Types_of_Activity[Classification])=1,Term3_Day_9[[#This Row],[Elapsed]],0))</f>
        <v/>
      </c>
      <c r="BK48" s="106" t="str">
        <f>IF(ISBLANK(Term3_Day_9[[#This Row],[Activity]]),"",IF(_xlfn.XLOOKUP(Term3_Day_9[[#This Row],[Activity]],Types_of_Activity[Type of Activity],Types_of_Activity[Classification])=2,Term3_Day_9[[#This Row],[Elapsed]],0))</f>
        <v/>
      </c>
      <c r="BL48" s="107"/>
      <c r="BM48" s="136"/>
      <c r="BN48" s="136"/>
      <c r="BO48" s="103"/>
      <c r="BP48" s="106" t="str">
        <f>IF(OR(ISBLANK(Term3_Day_10[[#This Row],[Start]]),ISBLANK(Term3_Day_10[[#This Row],[End]])),"",(Term3_Day_10[[#This Row],[End]]-Term3_Day_10[[#This Row],[Start]])*1440)</f>
        <v/>
      </c>
      <c r="BQ48" s="106" t="str">
        <f>IF(ISBLANK(Term3_Day_10[[#This Row],[Activity]]),"",IF(_xlfn.XLOOKUP(Term3_Day_10[[#This Row],[Activity]],Types_of_Activity[Type of Activity],Types_of_Activity[Classification])=1,Term3_Day_10[[#This Row],[Elapsed]],0))</f>
        <v/>
      </c>
      <c r="BR48" s="106" t="str">
        <f>IF(ISBLANK(Term3_Day_10[[#This Row],[Activity]]),"",IF(_xlfn.XLOOKUP(Term3_Day_10[[#This Row],[Activity]],Types_of_Activity[Type of Activity],Types_of_Activity[Classification])=2,Term3_Day_10[[#This Row],[Elapsed]],0))</f>
        <v/>
      </c>
      <c r="BS48" s="107"/>
    </row>
    <row r="49" spans="2:71" x14ac:dyDescent="0.3">
      <c r="B49" s="136"/>
      <c r="C49" s="136"/>
      <c r="D49" s="103"/>
      <c r="E49" s="106" t="str">
        <f>IF(OR(ISBLANK(Term3_Day_1[[#This Row],[Start]]),ISBLANK(Term3_Day_1[[#This Row],[End]])),"",(Term3_Day_1[[#This Row],[End]]-Term3_Day_1[[#This Row],[Start]])*1440)</f>
        <v/>
      </c>
      <c r="F49" s="106" t="str">
        <f>IF(ISBLANK(Term3_Day_1[[#This Row],[Activity]]),"",IF(_xlfn.XLOOKUP(Term3_Day_1[[#This Row],[Activity]],Types_of_Activity[Type of Activity],Types_of_Activity[Classification])=1,Term3_Day_1[[#This Row],[Elapsed]],0))</f>
        <v/>
      </c>
      <c r="G49" s="106" t="str">
        <f>IF(ISBLANK(Term3_Day_1[[#This Row],[Activity]]),"",IF(_xlfn.XLOOKUP(Term3_Day_1[[#This Row],[Activity]],Types_of_Activity[Type of Activity],Types_of_Activity[Classification])=2,Term3_Day_1[[#This Row],[Elapsed]],0))</f>
        <v/>
      </c>
      <c r="I49" s="136"/>
      <c r="J49" s="136"/>
      <c r="K49" s="103"/>
      <c r="L49" s="106" t="str">
        <f>IF(OR(ISBLANK(Term3_Day_2[[#This Row],[Start]]),ISBLANK(Term3_Day_2[[#This Row],[End]])),"",(Term3_Day_2[[#This Row],[End]]-Term3_Day_2[[#This Row],[Start]])*1440)</f>
        <v/>
      </c>
      <c r="M49" s="106" t="str">
        <f>IF(ISBLANK(Term3_Day_2[[#This Row],[Activity]]),"",IF(_xlfn.XLOOKUP(Term3_Day_2[[#This Row],[Activity]],Types_of_Activity[Type of Activity],Types_of_Activity[Classification])=1,Term3_Day_2[[#This Row],[Elapsed]],0))</f>
        <v/>
      </c>
      <c r="N49" s="106" t="str">
        <f>IF(ISBLANK(Term3_Day_2[[#This Row],[Activity]]),"",IF(_xlfn.XLOOKUP(Term3_Day_2[[#This Row],[Activity]],Types_of_Activity[Type of Activity],Types_of_Activity[Classification])=2,Term3_Day_2[[#This Row],[Elapsed]],0))</f>
        <v/>
      </c>
      <c r="P49" s="136"/>
      <c r="Q49" s="136"/>
      <c r="R49" s="103"/>
      <c r="S49" s="106" t="str">
        <f>IF(OR(ISBLANK(Term3_Day_3[[#This Row],[Start]]),ISBLANK(Term3_Day_3[[#This Row],[End]])),"",(Term3_Day_3[[#This Row],[End]]-Term3_Day_3[[#This Row],[Start]])*1440)</f>
        <v/>
      </c>
      <c r="T49" s="106" t="str">
        <f>IF(ISBLANK(Term3_Day_3[[#This Row],[Activity]]),"",IF(_xlfn.XLOOKUP(Term3_Day_3[[#This Row],[Activity]],Types_of_Activity[Type of Activity],Types_of_Activity[Classification])=1,Term3_Day_3[[#This Row],[Elapsed]],0))</f>
        <v/>
      </c>
      <c r="U49" s="106" t="str">
        <f>IF(ISBLANK(Term3_Day_3[[#This Row],[Activity]]),"",IF(_xlfn.XLOOKUP(Term3_Day_3[[#This Row],[Activity]],Types_of_Activity[Type of Activity],Types_of_Activity[Classification])=2,Term3_Day_3[[#This Row],[Elapsed]],0))</f>
        <v/>
      </c>
      <c r="W49" s="136"/>
      <c r="X49" s="136"/>
      <c r="Y49" s="103"/>
      <c r="Z49" s="106" t="str">
        <f>IF(OR(ISBLANK(Term3_Day_4[[#This Row],[Start]]),ISBLANK(Term3_Day_4[[#This Row],[End]])),"",(Term3_Day_4[[#This Row],[End]]-Term3_Day_4[[#This Row],[Start]])*1440)</f>
        <v/>
      </c>
      <c r="AA49" s="106" t="str">
        <f>IF(ISBLANK(Term3_Day_4[[#This Row],[Activity]]),"",IF(_xlfn.XLOOKUP(Term3_Day_4[[#This Row],[Activity]],Types_of_Activity[Type of Activity],Types_of_Activity[Classification])=1,Term3_Day_4[[#This Row],[Elapsed]],0))</f>
        <v/>
      </c>
      <c r="AB49" s="106" t="str">
        <f>IF(ISBLANK(Term3_Day_4[[#This Row],[Activity]]),"",IF(_xlfn.XLOOKUP(Term3_Day_4[[#This Row],[Activity]],Types_of_Activity[Type of Activity],Types_of_Activity[Classification])=2,Term3_Day_4[[#This Row],[Elapsed]],0))</f>
        <v/>
      </c>
      <c r="AD49" s="136"/>
      <c r="AE49" s="136"/>
      <c r="AF49" s="103"/>
      <c r="AG49" s="106" t="str">
        <f>IF(OR(ISBLANK(Term3_Day_5[[#This Row],[Start]]),ISBLANK(Term3_Day_5[[#This Row],[End]])),"",(Term3_Day_5[[#This Row],[End]]-Term3_Day_5[[#This Row],[Start]])*1440)</f>
        <v/>
      </c>
      <c r="AH49" s="106" t="str">
        <f>IF(ISBLANK(Term3_Day_5[[#This Row],[Activity]]),"",IF(_xlfn.XLOOKUP(Term3_Day_5[[#This Row],[Activity]],Types_of_Activity[Type of Activity],Types_of_Activity[Classification])=1,Term3_Day_5[[#This Row],[Elapsed]],0))</f>
        <v/>
      </c>
      <c r="AI49" s="106" t="str">
        <f>IF(ISBLANK(Term3_Day_5[[#This Row],[Activity]]),"",IF(_xlfn.XLOOKUP(Term3_Day_5[[#This Row],[Activity]],Types_of_Activity[Type of Activity],Types_of_Activity[Classification])=2,Term3_Day_5[[#This Row],[Elapsed]],0))</f>
        <v/>
      </c>
      <c r="AJ49" s="107"/>
      <c r="AK49" s="136"/>
      <c r="AL49" s="136"/>
      <c r="AM49" s="103"/>
      <c r="AN49" s="106" t="str">
        <f>IF(OR(ISBLANK(Term3_Day_6[[#This Row],[Start]]),ISBLANK(Term3_Day_6[[#This Row],[End]])),"",(Term3_Day_6[[#This Row],[End]]-Term3_Day_6[[#This Row],[Start]])*1440)</f>
        <v/>
      </c>
      <c r="AO49" s="106" t="str">
        <f>IF(ISBLANK(Term3_Day_6[[#This Row],[Activity]]),"",IF(_xlfn.XLOOKUP(Term3_Day_6[[#This Row],[Activity]],Types_of_Activity[Type of Activity],Types_of_Activity[Classification])=1,Term3_Day_6[[#This Row],[Elapsed]],0))</f>
        <v/>
      </c>
      <c r="AP49" s="106" t="str">
        <f>IF(ISBLANK(Term3_Day_6[[#This Row],[Activity]]),"",IF(_xlfn.XLOOKUP(Term3_Day_6[[#This Row],[Activity]],Types_of_Activity[Type of Activity],Types_of_Activity[Classification])=2,Term3_Day_6[[#This Row],[Elapsed]],0))</f>
        <v/>
      </c>
      <c r="AQ49" s="107"/>
      <c r="AR49" s="136"/>
      <c r="AS49" s="136"/>
      <c r="AT49" s="103"/>
      <c r="AU49" s="106" t="str">
        <f>IF(OR(ISBLANK(Term3_Day_7[[#This Row],[Start]]),ISBLANK(Term3_Day_7[[#This Row],[End]])),"",(Term3_Day_7[[#This Row],[End]]-Term3_Day_7[[#This Row],[Start]])*1440)</f>
        <v/>
      </c>
      <c r="AV49" s="106" t="str">
        <f>IF(ISBLANK(Term3_Day_7[[#This Row],[Activity]]),"",IF(_xlfn.XLOOKUP(Term3_Day_7[[#This Row],[Activity]],Types_of_Activity[Type of Activity],Types_of_Activity[Classification])=1,Term3_Day_7[[#This Row],[Elapsed]],0))</f>
        <v/>
      </c>
      <c r="AW49" s="106" t="str">
        <f>IF(ISBLANK(Term3_Day_7[[#This Row],[Activity]]),"",IF(_xlfn.XLOOKUP(Term3_Day_7[[#This Row],[Activity]],Types_of_Activity[Type of Activity],Types_of_Activity[Classification])=2,Term3_Day_7[[#This Row],[Elapsed]],0))</f>
        <v/>
      </c>
      <c r="AX49" s="107"/>
      <c r="AY49" s="136"/>
      <c r="AZ49" s="136"/>
      <c r="BA49" s="103"/>
      <c r="BB49" s="106" t="str">
        <f>IF(OR(ISBLANK(Term3_Day_8[[#This Row],[Start]]),ISBLANK(Term3_Day_8[[#This Row],[End]])),"",(Term3_Day_8[[#This Row],[End]]-Term3_Day_8[[#This Row],[Start]])*1440)</f>
        <v/>
      </c>
      <c r="BC49" s="106" t="str">
        <f>IF(ISBLANK(Term3_Day_8[[#This Row],[Activity]]),"",IF(_xlfn.XLOOKUP(Term3_Day_8[[#This Row],[Activity]],Types_of_Activity[Type of Activity],Types_of_Activity[Classification])=1,Term3_Day_8[[#This Row],[Elapsed]],0))</f>
        <v/>
      </c>
      <c r="BD49" s="106" t="str">
        <f>IF(ISBLANK(Term3_Day_8[[#This Row],[Activity]]),"",IF(_xlfn.XLOOKUP(Term3_Day_8[[#This Row],[Activity]],Types_of_Activity[Type of Activity],Types_of_Activity[Classification])=2,Term3_Day_8[[#This Row],[Elapsed]],0))</f>
        <v/>
      </c>
      <c r="BE49" s="107"/>
      <c r="BF49" s="136"/>
      <c r="BG49" s="136"/>
      <c r="BH49" s="103"/>
      <c r="BI49" s="106" t="str">
        <f>IF(OR(ISBLANK(Term3_Day_9[[#This Row],[Start]]),ISBLANK(Term3_Day_9[[#This Row],[End]])),"",(Term3_Day_9[[#This Row],[End]]-Term3_Day_9[[#This Row],[Start]])*1440)</f>
        <v/>
      </c>
      <c r="BJ49" s="106" t="str">
        <f>IF(ISBLANK(Term3_Day_9[[#This Row],[Activity]]),"",IF(_xlfn.XLOOKUP(Term3_Day_9[[#This Row],[Activity]],Types_of_Activity[Type of Activity],Types_of_Activity[Classification])=1,Term3_Day_9[[#This Row],[Elapsed]],0))</f>
        <v/>
      </c>
      <c r="BK49" s="106" t="str">
        <f>IF(ISBLANK(Term3_Day_9[[#This Row],[Activity]]),"",IF(_xlfn.XLOOKUP(Term3_Day_9[[#This Row],[Activity]],Types_of_Activity[Type of Activity],Types_of_Activity[Classification])=2,Term3_Day_9[[#This Row],[Elapsed]],0))</f>
        <v/>
      </c>
      <c r="BL49" s="107"/>
      <c r="BM49" s="136"/>
      <c r="BN49" s="136"/>
      <c r="BO49" s="103"/>
      <c r="BP49" s="106" t="str">
        <f>IF(OR(ISBLANK(Term3_Day_10[[#This Row],[Start]]),ISBLANK(Term3_Day_10[[#This Row],[End]])),"",(Term3_Day_10[[#This Row],[End]]-Term3_Day_10[[#This Row],[Start]])*1440)</f>
        <v/>
      </c>
      <c r="BQ49" s="106" t="str">
        <f>IF(ISBLANK(Term3_Day_10[[#This Row],[Activity]]),"",IF(_xlfn.XLOOKUP(Term3_Day_10[[#This Row],[Activity]],Types_of_Activity[Type of Activity],Types_of_Activity[Classification])=1,Term3_Day_10[[#This Row],[Elapsed]],0))</f>
        <v/>
      </c>
      <c r="BR49" s="106" t="str">
        <f>IF(ISBLANK(Term3_Day_10[[#This Row],[Activity]]),"",IF(_xlfn.XLOOKUP(Term3_Day_10[[#This Row],[Activity]],Types_of_Activity[Type of Activity],Types_of_Activity[Classification])=2,Term3_Day_10[[#This Row],[Elapsed]],0))</f>
        <v/>
      </c>
      <c r="BS49" s="107"/>
    </row>
    <row r="50" spans="2:71" x14ac:dyDescent="0.3">
      <c r="B50" s="136"/>
      <c r="C50" s="136"/>
      <c r="D50" s="103"/>
      <c r="E50" s="106" t="str">
        <f>IF(OR(ISBLANK(Term3_Day_1[[#This Row],[Start]]),ISBLANK(Term3_Day_1[[#This Row],[End]])),"",(Term3_Day_1[[#This Row],[End]]-Term3_Day_1[[#This Row],[Start]])*1440)</f>
        <v/>
      </c>
      <c r="F50" s="106" t="str">
        <f>IF(ISBLANK(Term3_Day_1[[#This Row],[Activity]]),"",IF(_xlfn.XLOOKUP(Term3_Day_1[[#This Row],[Activity]],Types_of_Activity[Type of Activity],Types_of_Activity[Classification])=1,Term3_Day_1[[#This Row],[Elapsed]],0))</f>
        <v/>
      </c>
      <c r="G50" s="106" t="str">
        <f>IF(ISBLANK(Term3_Day_1[[#This Row],[Activity]]),"",IF(_xlfn.XLOOKUP(Term3_Day_1[[#This Row],[Activity]],Types_of_Activity[Type of Activity],Types_of_Activity[Classification])=2,Term3_Day_1[[#This Row],[Elapsed]],0))</f>
        <v/>
      </c>
      <c r="I50" s="136"/>
      <c r="J50" s="136"/>
      <c r="K50" s="103"/>
      <c r="L50" s="106" t="str">
        <f>IF(OR(ISBLANK(Term3_Day_2[[#This Row],[Start]]),ISBLANK(Term3_Day_2[[#This Row],[End]])),"",(Term3_Day_2[[#This Row],[End]]-Term3_Day_2[[#This Row],[Start]])*1440)</f>
        <v/>
      </c>
      <c r="M50" s="106" t="str">
        <f>IF(ISBLANK(Term3_Day_2[[#This Row],[Activity]]),"",IF(_xlfn.XLOOKUP(Term3_Day_2[[#This Row],[Activity]],Types_of_Activity[Type of Activity],Types_of_Activity[Classification])=1,Term3_Day_2[[#This Row],[Elapsed]],0))</f>
        <v/>
      </c>
      <c r="N50" s="106" t="str">
        <f>IF(ISBLANK(Term3_Day_2[[#This Row],[Activity]]),"",IF(_xlfn.XLOOKUP(Term3_Day_2[[#This Row],[Activity]],Types_of_Activity[Type of Activity],Types_of_Activity[Classification])=2,Term3_Day_2[[#This Row],[Elapsed]],0))</f>
        <v/>
      </c>
      <c r="P50" s="136"/>
      <c r="Q50" s="136"/>
      <c r="R50" s="103"/>
      <c r="S50" s="106" t="str">
        <f>IF(OR(ISBLANK(Term3_Day_3[[#This Row],[Start]]),ISBLANK(Term3_Day_3[[#This Row],[End]])),"",(Term3_Day_3[[#This Row],[End]]-Term3_Day_3[[#This Row],[Start]])*1440)</f>
        <v/>
      </c>
      <c r="T50" s="106" t="str">
        <f>IF(ISBLANK(Term3_Day_3[[#This Row],[Activity]]),"",IF(_xlfn.XLOOKUP(Term3_Day_3[[#This Row],[Activity]],Types_of_Activity[Type of Activity],Types_of_Activity[Classification])=1,Term3_Day_3[[#This Row],[Elapsed]],0))</f>
        <v/>
      </c>
      <c r="U50" s="106" t="str">
        <f>IF(ISBLANK(Term3_Day_3[[#This Row],[Activity]]),"",IF(_xlfn.XLOOKUP(Term3_Day_3[[#This Row],[Activity]],Types_of_Activity[Type of Activity],Types_of_Activity[Classification])=2,Term3_Day_3[[#This Row],[Elapsed]],0))</f>
        <v/>
      </c>
      <c r="W50" s="136"/>
      <c r="X50" s="136"/>
      <c r="Y50" s="103"/>
      <c r="Z50" s="106" t="str">
        <f>IF(OR(ISBLANK(Term3_Day_4[[#This Row],[Start]]),ISBLANK(Term3_Day_4[[#This Row],[End]])),"",(Term3_Day_4[[#This Row],[End]]-Term3_Day_4[[#This Row],[Start]])*1440)</f>
        <v/>
      </c>
      <c r="AA50" s="106" t="str">
        <f>IF(ISBLANK(Term3_Day_4[[#This Row],[Activity]]),"",IF(_xlfn.XLOOKUP(Term3_Day_4[[#This Row],[Activity]],Types_of_Activity[Type of Activity],Types_of_Activity[Classification])=1,Term3_Day_4[[#This Row],[Elapsed]],0))</f>
        <v/>
      </c>
      <c r="AB50" s="106" t="str">
        <f>IF(ISBLANK(Term3_Day_4[[#This Row],[Activity]]),"",IF(_xlfn.XLOOKUP(Term3_Day_4[[#This Row],[Activity]],Types_of_Activity[Type of Activity],Types_of_Activity[Classification])=2,Term3_Day_4[[#This Row],[Elapsed]],0))</f>
        <v/>
      </c>
      <c r="AD50" s="136"/>
      <c r="AE50" s="136"/>
      <c r="AF50" s="103"/>
      <c r="AG50" s="106" t="str">
        <f>IF(OR(ISBLANK(Term3_Day_5[[#This Row],[Start]]),ISBLANK(Term3_Day_5[[#This Row],[End]])),"",(Term3_Day_5[[#This Row],[End]]-Term3_Day_5[[#This Row],[Start]])*1440)</f>
        <v/>
      </c>
      <c r="AH50" s="106" t="str">
        <f>IF(ISBLANK(Term3_Day_5[[#This Row],[Activity]]),"",IF(_xlfn.XLOOKUP(Term3_Day_5[[#This Row],[Activity]],Types_of_Activity[Type of Activity],Types_of_Activity[Classification])=1,Term3_Day_5[[#This Row],[Elapsed]],0))</f>
        <v/>
      </c>
      <c r="AI50" s="106" t="str">
        <f>IF(ISBLANK(Term3_Day_5[[#This Row],[Activity]]),"",IF(_xlfn.XLOOKUP(Term3_Day_5[[#This Row],[Activity]],Types_of_Activity[Type of Activity],Types_of_Activity[Classification])=2,Term3_Day_5[[#This Row],[Elapsed]],0))</f>
        <v/>
      </c>
      <c r="AJ50" s="107"/>
      <c r="AK50" s="136"/>
      <c r="AL50" s="136"/>
      <c r="AM50" s="103"/>
      <c r="AN50" s="106" t="str">
        <f>IF(OR(ISBLANK(Term3_Day_6[[#This Row],[Start]]),ISBLANK(Term3_Day_6[[#This Row],[End]])),"",(Term3_Day_6[[#This Row],[End]]-Term3_Day_6[[#This Row],[Start]])*1440)</f>
        <v/>
      </c>
      <c r="AO50" s="106" t="str">
        <f>IF(ISBLANK(Term3_Day_6[[#This Row],[Activity]]),"",IF(_xlfn.XLOOKUP(Term3_Day_6[[#This Row],[Activity]],Types_of_Activity[Type of Activity],Types_of_Activity[Classification])=1,Term3_Day_6[[#This Row],[Elapsed]],0))</f>
        <v/>
      </c>
      <c r="AP50" s="106" t="str">
        <f>IF(ISBLANK(Term3_Day_6[[#This Row],[Activity]]),"",IF(_xlfn.XLOOKUP(Term3_Day_6[[#This Row],[Activity]],Types_of_Activity[Type of Activity],Types_of_Activity[Classification])=2,Term3_Day_6[[#This Row],[Elapsed]],0))</f>
        <v/>
      </c>
      <c r="AQ50" s="107"/>
      <c r="AR50" s="136"/>
      <c r="AS50" s="136"/>
      <c r="AT50" s="103"/>
      <c r="AU50" s="106" t="str">
        <f>IF(OR(ISBLANK(Term3_Day_7[[#This Row],[Start]]),ISBLANK(Term3_Day_7[[#This Row],[End]])),"",(Term3_Day_7[[#This Row],[End]]-Term3_Day_7[[#This Row],[Start]])*1440)</f>
        <v/>
      </c>
      <c r="AV50" s="106" t="str">
        <f>IF(ISBLANK(Term3_Day_7[[#This Row],[Activity]]),"",IF(_xlfn.XLOOKUP(Term3_Day_7[[#This Row],[Activity]],Types_of_Activity[Type of Activity],Types_of_Activity[Classification])=1,Term3_Day_7[[#This Row],[Elapsed]],0))</f>
        <v/>
      </c>
      <c r="AW50" s="106" t="str">
        <f>IF(ISBLANK(Term3_Day_7[[#This Row],[Activity]]),"",IF(_xlfn.XLOOKUP(Term3_Day_7[[#This Row],[Activity]],Types_of_Activity[Type of Activity],Types_of_Activity[Classification])=2,Term3_Day_7[[#This Row],[Elapsed]],0))</f>
        <v/>
      </c>
      <c r="AX50" s="107"/>
      <c r="AY50" s="136"/>
      <c r="AZ50" s="136"/>
      <c r="BA50" s="103"/>
      <c r="BB50" s="106" t="str">
        <f>IF(OR(ISBLANK(Term3_Day_8[[#This Row],[Start]]),ISBLANK(Term3_Day_8[[#This Row],[End]])),"",(Term3_Day_8[[#This Row],[End]]-Term3_Day_8[[#This Row],[Start]])*1440)</f>
        <v/>
      </c>
      <c r="BC50" s="106" t="str">
        <f>IF(ISBLANK(Term3_Day_8[[#This Row],[Activity]]),"",IF(_xlfn.XLOOKUP(Term3_Day_8[[#This Row],[Activity]],Types_of_Activity[Type of Activity],Types_of_Activity[Classification])=1,Term3_Day_8[[#This Row],[Elapsed]],0))</f>
        <v/>
      </c>
      <c r="BD50" s="106" t="str">
        <f>IF(ISBLANK(Term3_Day_8[[#This Row],[Activity]]),"",IF(_xlfn.XLOOKUP(Term3_Day_8[[#This Row],[Activity]],Types_of_Activity[Type of Activity],Types_of_Activity[Classification])=2,Term3_Day_8[[#This Row],[Elapsed]],0))</f>
        <v/>
      </c>
      <c r="BE50" s="107"/>
      <c r="BF50" s="136"/>
      <c r="BG50" s="136"/>
      <c r="BH50" s="103"/>
      <c r="BI50" s="106" t="str">
        <f>IF(OR(ISBLANK(Term3_Day_9[[#This Row],[Start]]),ISBLANK(Term3_Day_9[[#This Row],[End]])),"",(Term3_Day_9[[#This Row],[End]]-Term3_Day_9[[#This Row],[Start]])*1440)</f>
        <v/>
      </c>
      <c r="BJ50" s="106" t="str">
        <f>IF(ISBLANK(Term3_Day_9[[#This Row],[Activity]]),"",IF(_xlfn.XLOOKUP(Term3_Day_9[[#This Row],[Activity]],Types_of_Activity[Type of Activity],Types_of_Activity[Classification])=1,Term3_Day_9[[#This Row],[Elapsed]],0))</f>
        <v/>
      </c>
      <c r="BK50" s="106" t="str">
        <f>IF(ISBLANK(Term3_Day_9[[#This Row],[Activity]]),"",IF(_xlfn.XLOOKUP(Term3_Day_9[[#This Row],[Activity]],Types_of_Activity[Type of Activity],Types_of_Activity[Classification])=2,Term3_Day_9[[#This Row],[Elapsed]],0))</f>
        <v/>
      </c>
      <c r="BL50" s="107"/>
      <c r="BM50" s="136"/>
      <c r="BN50" s="136"/>
      <c r="BO50" s="103"/>
      <c r="BP50" s="106" t="str">
        <f>IF(OR(ISBLANK(Term3_Day_10[[#This Row],[Start]]),ISBLANK(Term3_Day_10[[#This Row],[End]])),"",(Term3_Day_10[[#This Row],[End]]-Term3_Day_10[[#This Row],[Start]])*1440)</f>
        <v/>
      </c>
      <c r="BQ50" s="106" t="str">
        <f>IF(ISBLANK(Term3_Day_10[[#This Row],[Activity]]),"",IF(_xlfn.XLOOKUP(Term3_Day_10[[#This Row],[Activity]],Types_of_Activity[Type of Activity],Types_of_Activity[Classification])=1,Term3_Day_10[[#This Row],[Elapsed]],0))</f>
        <v/>
      </c>
      <c r="BR50" s="106" t="str">
        <f>IF(ISBLANK(Term3_Day_10[[#This Row],[Activity]]),"",IF(_xlfn.XLOOKUP(Term3_Day_10[[#This Row],[Activity]],Types_of_Activity[Type of Activity],Types_of_Activity[Classification])=2,Term3_Day_10[[#This Row],[Elapsed]],0))</f>
        <v/>
      </c>
      <c r="BS50" s="107"/>
    </row>
    <row r="55" spans="2:71" ht="30.75" x14ac:dyDescent="0.45">
      <c r="B55" s="105" t="s">
        <v>22</v>
      </c>
      <c r="F55" s="106"/>
      <c r="G55" s="106"/>
      <c r="H55"/>
      <c r="I55" s="105" t="s">
        <v>23</v>
      </c>
      <c r="M55" s="106"/>
      <c r="N55" s="106"/>
      <c r="O55"/>
      <c r="P55" s="105" t="s">
        <v>24</v>
      </c>
      <c r="T55" s="106"/>
      <c r="U55" s="106"/>
      <c r="W55" s="105" t="s">
        <v>4133</v>
      </c>
      <c r="AA55" s="106"/>
      <c r="AB55" s="106"/>
      <c r="AD55" s="105" t="s">
        <v>4134</v>
      </c>
      <c r="AH55" s="106"/>
      <c r="AI55" s="106"/>
      <c r="AK55" s="105" t="s">
        <v>4135</v>
      </c>
      <c r="AO55" s="106"/>
      <c r="AP55" s="106"/>
    </row>
    <row r="56" spans="2:71" ht="33" x14ac:dyDescent="0.3">
      <c r="B56" s="120" t="s">
        <v>16</v>
      </c>
      <c r="C56" s="120" t="s">
        <v>17</v>
      </c>
      <c r="D56" s="120" t="s">
        <v>19</v>
      </c>
      <c r="E56" s="120" t="s">
        <v>18</v>
      </c>
      <c r="F56" s="120" t="s">
        <v>20</v>
      </c>
      <c r="G56" s="121" t="s">
        <v>4100</v>
      </c>
      <c r="H56"/>
      <c r="I56" s="120" t="s">
        <v>16</v>
      </c>
      <c r="J56" s="120" t="s">
        <v>17</v>
      </c>
      <c r="K56" s="120" t="s">
        <v>19</v>
      </c>
      <c r="L56" s="120" t="s">
        <v>18</v>
      </c>
      <c r="M56" s="120" t="s">
        <v>20</v>
      </c>
      <c r="N56" s="121" t="s">
        <v>4100</v>
      </c>
      <c r="O56"/>
      <c r="P56" s="120" t="s">
        <v>16</v>
      </c>
      <c r="Q56" s="120" t="s">
        <v>17</v>
      </c>
      <c r="R56" s="120" t="s">
        <v>19</v>
      </c>
      <c r="S56" s="120" t="s">
        <v>18</v>
      </c>
      <c r="T56" s="120" t="s">
        <v>20</v>
      </c>
      <c r="U56" s="121" t="s">
        <v>4100</v>
      </c>
      <c r="W56" s="120" t="s">
        <v>16</v>
      </c>
      <c r="X56" s="120" t="s">
        <v>17</v>
      </c>
      <c r="Y56" s="120" t="s">
        <v>19</v>
      </c>
      <c r="Z56" s="120" t="s">
        <v>18</v>
      </c>
      <c r="AA56" s="120" t="s">
        <v>20</v>
      </c>
      <c r="AB56" s="121" t="s">
        <v>4100</v>
      </c>
      <c r="AD56" s="120" t="s">
        <v>16</v>
      </c>
      <c r="AE56" s="120" t="s">
        <v>17</v>
      </c>
      <c r="AF56" s="120" t="s">
        <v>19</v>
      </c>
      <c r="AG56" s="120" t="s">
        <v>18</v>
      </c>
      <c r="AH56" s="120" t="s">
        <v>20</v>
      </c>
      <c r="AI56" s="121" t="s">
        <v>4100</v>
      </c>
      <c r="AK56" s="120" t="s">
        <v>16</v>
      </c>
      <c r="AL56" s="120" t="s">
        <v>17</v>
      </c>
      <c r="AM56" s="120" t="s">
        <v>19</v>
      </c>
      <c r="AN56" s="120" t="s">
        <v>18</v>
      </c>
      <c r="AO56" s="120" t="s">
        <v>20</v>
      </c>
      <c r="AP56" s="121" t="s">
        <v>4100</v>
      </c>
    </row>
    <row r="57" spans="2:71" x14ac:dyDescent="0.3">
      <c r="B57" s="136"/>
      <c r="C57" s="136"/>
      <c r="D57" s="103"/>
      <c r="E57" s="106" t="str">
        <f>IF(OR(ISBLANK(Term3_Early_Dismissal_1[[#This Row],[Start]]),ISBLANK(Term3_Early_Dismissal_1[[#This Row],[End]])),"",(Term3_Early_Dismissal_1[[#This Row],[End]]-Term3_Early_Dismissal_1[[#This Row],[Start]])*1440)</f>
        <v/>
      </c>
      <c r="F57" s="106" t="str">
        <f>IF(ISBLANK(Term3_Early_Dismissal_1[[#This Row],[Activity]]),"",IF(_xlfn.XLOOKUP(Term3_Early_Dismissal_1[[#This Row],[Activity]],Types_of_Activity[Type of Activity],Types_of_Activity[Classification])=1,Term3_Early_Dismissal_1[[#This Row],[Elapsed]],0))</f>
        <v/>
      </c>
      <c r="G57" s="106" t="str">
        <f>IF(ISBLANK(Term3_Early_Dismissal_1[[#This Row],[Activity]]),"",IF(_xlfn.XLOOKUP(Term3_Early_Dismissal_1[[#This Row],[Activity]],Types_of_Activity[Type of Activity],Types_of_Activity[Classification])=2,Term3_Early_Dismissal_1[[#This Row],[Elapsed]],0))</f>
        <v/>
      </c>
      <c r="H57"/>
      <c r="I57" s="136"/>
      <c r="J57" s="136"/>
      <c r="K57" s="103"/>
      <c r="L57" s="106" t="str">
        <f>IF(OR(ISBLANK(Term3_Early_Dismissal_2[[#This Row],[Start]]),ISBLANK(Term3_Early_Dismissal_2[[#This Row],[End]])),"",(Term3_Early_Dismissal_2[[#This Row],[End]]-Term3_Early_Dismissal_2[[#This Row],[Start]])*1440)</f>
        <v/>
      </c>
      <c r="M57" s="106" t="str">
        <f>IF(ISBLANK(Term3_Early_Dismissal_2[[#This Row],[Activity]]),"",IF(_xlfn.XLOOKUP(Term3_Early_Dismissal_2[[#This Row],[Activity]],Types_of_Activity[Type of Activity],Types_of_Activity[Classification])=1,Term3_Early_Dismissal_2[[#This Row],[Elapsed]],0))</f>
        <v/>
      </c>
      <c r="N57" s="106" t="str">
        <f>IF(ISBLANK(Term3_Early_Dismissal_2[[#This Row],[Activity]]),"",IF(_xlfn.XLOOKUP(Term3_Early_Dismissal_2[[#This Row],[Activity]],Types_of_Activity[Type of Activity],Types_of_Activity[Classification])=2,Term3_Early_Dismissal_2[[#This Row],[Elapsed]],0))</f>
        <v/>
      </c>
      <c r="O57"/>
      <c r="P57" s="136"/>
      <c r="Q57" s="136"/>
      <c r="R57" s="103"/>
      <c r="S57" s="106" t="str">
        <f>IF(OR(ISBLANK(Term3_Early_Dismissal_3[[#This Row],[Start]]),ISBLANK(Term3_Early_Dismissal_3[[#This Row],[End]])),"",(Term3_Early_Dismissal_3[[#This Row],[End]]-Term3_Early_Dismissal_3[[#This Row],[Start]])*1440)</f>
        <v/>
      </c>
      <c r="T57" s="106" t="str">
        <f>IF(ISBLANK(Term3_Early_Dismissal_3[[#This Row],[Activity]]),"",IF(_xlfn.XLOOKUP(Term3_Early_Dismissal_3[[#This Row],[Activity]],Types_of_Activity[Type of Activity],Types_of_Activity[Classification])=1,Term3_Early_Dismissal_3[[#This Row],[Elapsed]],0))</f>
        <v/>
      </c>
      <c r="U57" s="106" t="str">
        <f>IF(ISBLANK(Term3_Early_Dismissal_3[[#This Row],[Activity]]),"",IF(_xlfn.XLOOKUP(Term3_Early_Dismissal_3[[#This Row],[Activity]],Types_of_Activity[Type of Activity],Types_of_Activity[Classification])=2,Term3_Early_Dismissal_3[[#This Row],[Elapsed]],0))</f>
        <v/>
      </c>
      <c r="W57" s="136"/>
      <c r="X57" s="136"/>
      <c r="Y57" s="103"/>
      <c r="Z57" s="106" t="str">
        <f>IF(OR(ISBLANK(Term3_Early_Dismissal_4[[#This Row],[Start]]),ISBLANK(Term3_Early_Dismissal_4[[#This Row],[End]])),"",(Term3_Early_Dismissal_4[[#This Row],[End]]-Term3_Early_Dismissal_4[[#This Row],[Start]])*1440)</f>
        <v/>
      </c>
      <c r="AA57" s="106" t="str">
        <f>IF(ISBLANK(Term3_Early_Dismissal_4[[#This Row],[Activity]]),"",IF(_xlfn.XLOOKUP(Term3_Early_Dismissal_4[[#This Row],[Activity]],Types_of_Activity[Type of Activity],Types_of_Activity[Classification])=1,Term3_Early_Dismissal_4[[#This Row],[Elapsed]],0))</f>
        <v/>
      </c>
      <c r="AB57" s="106" t="str">
        <f>IF(ISBLANK(Term3_Early_Dismissal_4[[#This Row],[Activity]]),"",IF(_xlfn.XLOOKUP(Term3_Early_Dismissal_4[[#This Row],[Activity]],Types_of_Activity[Type of Activity],Types_of_Activity[Classification])=2,Term3_Early_Dismissal_4[[#This Row],[Elapsed]],0))</f>
        <v/>
      </c>
      <c r="AD57" s="136"/>
      <c r="AE57" s="136"/>
      <c r="AF57" s="103"/>
      <c r="AG57" s="106" t="str">
        <f>IF(OR(ISBLANK(Term3_Early_Dismissal_5[[#This Row],[Start]]),ISBLANK(Term3_Early_Dismissal_5[[#This Row],[End]])),"",(Term3_Early_Dismissal_5[[#This Row],[End]]-Term3_Early_Dismissal_5[[#This Row],[Start]])*1440)</f>
        <v/>
      </c>
      <c r="AH57" s="106" t="str">
        <f>IF(ISBLANK(Term3_Early_Dismissal_5[[#This Row],[Activity]]),"",IF(_xlfn.XLOOKUP(Term3_Early_Dismissal_5[[#This Row],[Activity]],Types_of_Activity[Type of Activity],Types_of_Activity[Classification])=1,Term3_Early_Dismissal_5[[#This Row],[Elapsed]],0))</f>
        <v/>
      </c>
      <c r="AI57" s="106" t="str">
        <f>IF(ISBLANK(Term3_Early_Dismissal_5[[#This Row],[Activity]]),"",IF(_xlfn.XLOOKUP(Term3_Early_Dismissal_5[[#This Row],[Activity]],Types_of_Activity[Type of Activity],Types_of_Activity[Classification])=2,Term3_Early_Dismissal_5[[#This Row],[Elapsed]],0))</f>
        <v/>
      </c>
      <c r="AK57" s="136"/>
      <c r="AL57" s="136"/>
      <c r="AM57" s="103"/>
      <c r="AN57" s="106" t="str">
        <f>IF(OR(ISBLANK(Term3_Early_Dismissal_6[[#This Row],[Start]]),ISBLANK(Term3_Early_Dismissal_6[[#This Row],[End]])),"",(Term3_Early_Dismissal_6[[#This Row],[End]]-Term3_Early_Dismissal_6[[#This Row],[Start]])*1440)</f>
        <v/>
      </c>
      <c r="AO57" s="106" t="str">
        <f>IF(ISBLANK(Term3_Early_Dismissal_6[[#This Row],[Activity]]),"",IF(_xlfn.XLOOKUP(Term3_Early_Dismissal_6[[#This Row],[Activity]],Types_of_Activity[Type of Activity],Types_of_Activity[Classification])=1,Term3_Early_Dismissal_6[[#This Row],[Elapsed]],0))</f>
        <v/>
      </c>
      <c r="AP57" s="106" t="str">
        <f>IF(ISBLANK(Term3_Early_Dismissal_6[[#This Row],[Activity]]),"",IF(_xlfn.XLOOKUP(Term3_Early_Dismissal_6[[#This Row],[Activity]],Types_of_Activity[Type of Activity],Types_of_Activity[Classification])=2,Term3_Early_Dismissal_6[[#This Row],[Elapsed]],0))</f>
        <v/>
      </c>
    </row>
    <row r="58" spans="2:71" x14ac:dyDescent="0.3">
      <c r="B58" s="136"/>
      <c r="C58" s="136"/>
      <c r="D58" s="103"/>
      <c r="E58" s="106" t="str">
        <f>IF(OR(ISBLANK(Term3_Early_Dismissal_1[[#This Row],[Start]]),ISBLANK(Term3_Early_Dismissal_1[[#This Row],[End]])),"",(Term3_Early_Dismissal_1[[#This Row],[End]]-Term3_Early_Dismissal_1[[#This Row],[Start]])*1440)</f>
        <v/>
      </c>
      <c r="F58" s="106" t="str">
        <f>IF(ISBLANK(Term3_Early_Dismissal_1[[#This Row],[Activity]]),"",IF(_xlfn.XLOOKUP(Term3_Early_Dismissal_1[[#This Row],[Activity]],Types_of_Activity[Type of Activity],Types_of_Activity[Classification])=1,Term3_Early_Dismissal_1[[#This Row],[Elapsed]],0))</f>
        <v/>
      </c>
      <c r="G58" s="106" t="str">
        <f>IF(ISBLANK(Term3_Early_Dismissal_1[[#This Row],[Activity]]),"",IF(_xlfn.XLOOKUP(Term3_Early_Dismissal_1[[#This Row],[Activity]],Types_of_Activity[Type of Activity],Types_of_Activity[Classification])=2,Term3_Early_Dismissal_1[[#This Row],[Elapsed]],0))</f>
        <v/>
      </c>
      <c r="H58"/>
      <c r="I58" s="136"/>
      <c r="J58" s="136"/>
      <c r="K58" s="103"/>
      <c r="L58" s="106" t="str">
        <f>IF(OR(ISBLANK(Term3_Early_Dismissal_2[[#This Row],[Start]]),ISBLANK(Term3_Early_Dismissal_2[[#This Row],[End]])),"",(Term3_Early_Dismissal_2[[#This Row],[End]]-Term3_Early_Dismissal_2[[#This Row],[Start]])*1440)</f>
        <v/>
      </c>
      <c r="M58" s="106" t="str">
        <f>IF(ISBLANK(Term3_Early_Dismissal_2[[#This Row],[Activity]]),"",IF(_xlfn.XLOOKUP(Term3_Early_Dismissal_2[[#This Row],[Activity]],Types_of_Activity[Type of Activity],Types_of_Activity[Classification])=1,Term3_Early_Dismissal_2[[#This Row],[Elapsed]],0))</f>
        <v/>
      </c>
      <c r="N58" s="106" t="str">
        <f>IF(ISBLANK(Term3_Early_Dismissal_2[[#This Row],[Activity]]),"",IF(_xlfn.XLOOKUP(Term3_Early_Dismissal_2[[#This Row],[Activity]],Types_of_Activity[Type of Activity],Types_of_Activity[Classification])=2,Term3_Early_Dismissal_2[[#This Row],[Elapsed]],0))</f>
        <v/>
      </c>
      <c r="O58"/>
      <c r="P58" s="136"/>
      <c r="Q58" s="136"/>
      <c r="R58" s="103"/>
      <c r="S58" s="106" t="str">
        <f>IF(OR(ISBLANK(Term3_Early_Dismissal_3[[#This Row],[Start]]),ISBLANK(Term3_Early_Dismissal_3[[#This Row],[End]])),"",(Term3_Early_Dismissal_3[[#This Row],[End]]-Term3_Early_Dismissal_3[[#This Row],[Start]])*1440)</f>
        <v/>
      </c>
      <c r="T58" s="106" t="str">
        <f>IF(ISBLANK(Term3_Early_Dismissal_3[[#This Row],[Activity]]),"",IF(_xlfn.XLOOKUP(Term3_Early_Dismissal_3[[#This Row],[Activity]],Types_of_Activity[Type of Activity],Types_of_Activity[Classification])=1,Term3_Early_Dismissal_3[[#This Row],[Elapsed]],0))</f>
        <v/>
      </c>
      <c r="U58" s="106" t="str">
        <f>IF(ISBLANK(Term3_Early_Dismissal_3[[#This Row],[Activity]]),"",IF(_xlfn.XLOOKUP(Term3_Early_Dismissal_3[[#This Row],[Activity]],Types_of_Activity[Type of Activity],Types_of_Activity[Classification])=2,Term3_Early_Dismissal_3[[#This Row],[Elapsed]],0))</f>
        <v/>
      </c>
      <c r="W58" s="136"/>
      <c r="X58" s="136"/>
      <c r="Y58" s="103"/>
      <c r="Z58" s="106" t="str">
        <f>IF(OR(ISBLANK(Term3_Early_Dismissal_4[[#This Row],[Start]]),ISBLANK(Term3_Early_Dismissal_4[[#This Row],[End]])),"",(Term3_Early_Dismissal_4[[#This Row],[End]]-Term3_Early_Dismissal_4[[#This Row],[Start]])*1440)</f>
        <v/>
      </c>
      <c r="AA58" s="106" t="str">
        <f>IF(ISBLANK(Term3_Early_Dismissal_4[[#This Row],[Activity]]),"",IF(_xlfn.XLOOKUP(Term3_Early_Dismissal_4[[#This Row],[Activity]],Types_of_Activity[Type of Activity],Types_of_Activity[Classification])=1,Term3_Early_Dismissal_4[[#This Row],[Elapsed]],0))</f>
        <v/>
      </c>
      <c r="AB58" s="106" t="str">
        <f>IF(ISBLANK(Term3_Early_Dismissal_4[[#This Row],[Activity]]),"",IF(_xlfn.XLOOKUP(Term3_Early_Dismissal_4[[#This Row],[Activity]],Types_of_Activity[Type of Activity],Types_of_Activity[Classification])=2,Term3_Early_Dismissal_4[[#This Row],[Elapsed]],0))</f>
        <v/>
      </c>
      <c r="AD58" s="136"/>
      <c r="AE58" s="136"/>
      <c r="AF58" s="103"/>
      <c r="AG58" s="106" t="str">
        <f>IF(OR(ISBLANK(Term3_Early_Dismissal_5[[#This Row],[Start]]),ISBLANK(Term3_Early_Dismissal_5[[#This Row],[End]])),"",(Term3_Early_Dismissal_5[[#This Row],[End]]-Term3_Early_Dismissal_5[[#This Row],[Start]])*1440)</f>
        <v/>
      </c>
      <c r="AH58" s="106" t="str">
        <f>IF(ISBLANK(Term3_Early_Dismissal_5[[#This Row],[Activity]]),"",IF(_xlfn.XLOOKUP(Term3_Early_Dismissal_5[[#This Row],[Activity]],Types_of_Activity[Type of Activity],Types_of_Activity[Classification])=1,Term3_Early_Dismissal_5[[#This Row],[Elapsed]],0))</f>
        <v/>
      </c>
      <c r="AI58" s="106" t="str">
        <f>IF(ISBLANK(Term3_Early_Dismissal_5[[#This Row],[Activity]]),"",IF(_xlfn.XLOOKUP(Term3_Early_Dismissal_5[[#This Row],[Activity]],Types_of_Activity[Type of Activity],Types_of_Activity[Classification])=2,Term3_Early_Dismissal_5[[#This Row],[Elapsed]],0))</f>
        <v/>
      </c>
      <c r="AK58" s="136"/>
      <c r="AL58" s="136"/>
      <c r="AM58" s="103"/>
      <c r="AN58" s="106" t="str">
        <f>IF(OR(ISBLANK(Term3_Early_Dismissal_6[[#This Row],[Start]]),ISBLANK(Term3_Early_Dismissal_6[[#This Row],[End]])),"",(Term3_Early_Dismissal_6[[#This Row],[End]]-Term3_Early_Dismissal_6[[#This Row],[Start]])*1440)</f>
        <v/>
      </c>
      <c r="AO58" s="106" t="str">
        <f>IF(ISBLANK(Term3_Early_Dismissal_6[[#This Row],[Activity]]),"",IF(_xlfn.XLOOKUP(Term3_Early_Dismissal_6[[#This Row],[Activity]],Types_of_Activity[Type of Activity],Types_of_Activity[Classification])=1,Term3_Early_Dismissal_6[[#This Row],[Elapsed]],0))</f>
        <v/>
      </c>
      <c r="AP58" s="106" t="str">
        <f>IF(ISBLANK(Term3_Early_Dismissal_6[[#This Row],[Activity]]),"",IF(_xlfn.XLOOKUP(Term3_Early_Dismissal_6[[#This Row],[Activity]],Types_of_Activity[Type of Activity],Types_of_Activity[Classification])=2,Term3_Early_Dismissal_6[[#This Row],[Elapsed]],0))</f>
        <v/>
      </c>
    </row>
    <row r="59" spans="2:71" x14ac:dyDescent="0.3">
      <c r="B59" s="136"/>
      <c r="C59" s="136"/>
      <c r="D59" s="103"/>
      <c r="E59" s="106" t="str">
        <f>IF(OR(ISBLANK(Term3_Early_Dismissal_1[[#This Row],[Start]]),ISBLANK(Term3_Early_Dismissal_1[[#This Row],[End]])),"",(Term3_Early_Dismissal_1[[#This Row],[End]]-Term3_Early_Dismissal_1[[#This Row],[Start]])*1440)</f>
        <v/>
      </c>
      <c r="F59" s="106" t="str">
        <f>IF(ISBLANK(Term3_Early_Dismissal_1[[#This Row],[Activity]]),"",IF(_xlfn.XLOOKUP(Term3_Early_Dismissal_1[[#This Row],[Activity]],Types_of_Activity[Type of Activity],Types_of_Activity[Classification])=1,Term3_Early_Dismissal_1[[#This Row],[Elapsed]],0))</f>
        <v/>
      </c>
      <c r="G59" s="106" t="str">
        <f>IF(ISBLANK(Term3_Early_Dismissal_1[[#This Row],[Activity]]),"",IF(_xlfn.XLOOKUP(Term3_Early_Dismissal_1[[#This Row],[Activity]],Types_of_Activity[Type of Activity],Types_of_Activity[Classification])=2,Term3_Early_Dismissal_1[[#This Row],[Elapsed]],0))</f>
        <v/>
      </c>
      <c r="H59"/>
      <c r="I59" s="136"/>
      <c r="J59" s="136"/>
      <c r="K59" s="103"/>
      <c r="L59" s="106" t="str">
        <f>IF(OR(ISBLANK(Term3_Early_Dismissal_2[[#This Row],[Start]]),ISBLANK(Term3_Early_Dismissal_2[[#This Row],[End]])),"",(Term3_Early_Dismissal_2[[#This Row],[End]]-Term3_Early_Dismissal_2[[#This Row],[Start]])*1440)</f>
        <v/>
      </c>
      <c r="M59" s="106" t="str">
        <f>IF(ISBLANK(Term3_Early_Dismissal_2[[#This Row],[Activity]]),"",IF(_xlfn.XLOOKUP(Term3_Early_Dismissal_2[[#This Row],[Activity]],Types_of_Activity[Type of Activity],Types_of_Activity[Classification])=1,Term3_Early_Dismissal_2[[#This Row],[Elapsed]],0))</f>
        <v/>
      </c>
      <c r="N59" s="106" t="str">
        <f>IF(ISBLANK(Term3_Early_Dismissal_2[[#This Row],[Activity]]),"",IF(_xlfn.XLOOKUP(Term3_Early_Dismissal_2[[#This Row],[Activity]],Types_of_Activity[Type of Activity],Types_of_Activity[Classification])=2,Term3_Early_Dismissal_2[[#This Row],[Elapsed]],0))</f>
        <v/>
      </c>
      <c r="O59"/>
      <c r="P59" s="136"/>
      <c r="Q59" s="136"/>
      <c r="R59" s="103"/>
      <c r="S59" s="106" t="str">
        <f>IF(OR(ISBLANK(Term3_Early_Dismissal_3[[#This Row],[Start]]),ISBLANK(Term3_Early_Dismissal_3[[#This Row],[End]])),"",(Term3_Early_Dismissal_3[[#This Row],[End]]-Term3_Early_Dismissal_3[[#This Row],[Start]])*1440)</f>
        <v/>
      </c>
      <c r="T59" s="106" t="str">
        <f>IF(ISBLANK(Term3_Early_Dismissal_3[[#This Row],[Activity]]),"",IF(_xlfn.XLOOKUP(Term3_Early_Dismissal_3[[#This Row],[Activity]],Types_of_Activity[Type of Activity],Types_of_Activity[Classification])=1,Term3_Early_Dismissal_3[[#This Row],[Elapsed]],0))</f>
        <v/>
      </c>
      <c r="U59" s="106" t="str">
        <f>IF(ISBLANK(Term3_Early_Dismissal_3[[#This Row],[Activity]]),"",IF(_xlfn.XLOOKUP(Term3_Early_Dismissal_3[[#This Row],[Activity]],Types_of_Activity[Type of Activity],Types_of_Activity[Classification])=2,Term3_Early_Dismissal_3[[#This Row],[Elapsed]],0))</f>
        <v/>
      </c>
      <c r="W59" s="136"/>
      <c r="X59" s="136"/>
      <c r="Y59" s="103"/>
      <c r="Z59" s="106" t="str">
        <f>IF(OR(ISBLANK(Term3_Early_Dismissal_4[[#This Row],[Start]]),ISBLANK(Term3_Early_Dismissal_4[[#This Row],[End]])),"",(Term3_Early_Dismissal_4[[#This Row],[End]]-Term3_Early_Dismissal_4[[#This Row],[Start]])*1440)</f>
        <v/>
      </c>
      <c r="AA59" s="106" t="str">
        <f>IF(ISBLANK(Term3_Early_Dismissal_4[[#This Row],[Activity]]),"",IF(_xlfn.XLOOKUP(Term3_Early_Dismissal_4[[#This Row],[Activity]],Types_of_Activity[Type of Activity],Types_of_Activity[Classification])=1,Term3_Early_Dismissal_4[[#This Row],[Elapsed]],0))</f>
        <v/>
      </c>
      <c r="AB59" s="106" t="str">
        <f>IF(ISBLANK(Term3_Early_Dismissal_4[[#This Row],[Activity]]),"",IF(_xlfn.XLOOKUP(Term3_Early_Dismissal_4[[#This Row],[Activity]],Types_of_Activity[Type of Activity],Types_of_Activity[Classification])=2,Term3_Early_Dismissal_4[[#This Row],[Elapsed]],0))</f>
        <v/>
      </c>
      <c r="AD59" s="136"/>
      <c r="AE59" s="136"/>
      <c r="AF59" s="103"/>
      <c r="AG59" s="106" t="str">
        <f>IF(OR(ISBLANK(Term3_Early_Dismissal_5[[#This Row],[Start]]),ISBLANK(Term3_Early_Dismissal_5[[#This Row],[End]])),"",(Term3_Early_Dismissal_5[[#This Row],[End]]-Term3_Early_Dismissal_5[[#This Row],[Start]])*1440)</f>
        <v/>
      </c>
      <c r="AH59" s="106" t="str">
        <f>IF(ISBLANK(Term3_Early_Dismissal_5[[#This Row],[Activity]]),"",IF(_xlfn.XLOOKUP(Term3_Early_Dismissal_5[[#This Row],[Activity]],Types_of_Activity[Type of Activity],Types_of_Activity[Classification])=1,Term3_Early_Dismissal_5[[#This Row],[Elapsed]],0))</f>
        <v/>
      </c>
      <c r="AI59" s="106" t="str">
        <f>IF(ISBLANK(Term3_Early_Dismissal_5[[#This Row],[Activity]]),"",IF(_xlfn.XLOOKUP(Term3_Early_Dismissal_5[[#This Row],[Activity]],Types_of_Activity[Type of Activity],Types_of_Activity[Classification])=2,Term3_Early_Dismissal_5[[#This Row],[Elapsed]],0))</f>
        <v/>
      </c>
      <c r="AK59" s="136"/>
      <c r="AL59" s="136"/>
      <c r="AM59" s="103"/>
      <c r="AN59" s="106" t="str">
        <f>IF(OR(ISBLANK(Term3_Early_Dismissal_6[[#This Row],[Start]]),ISBLANK(Term3_Early_Dismissal_6[[#This Row],[End]])),"",(Term3_Early_Dismissal_6[[#This Row],[End]]-Term3_Early_Dismissal_6[[#This Row],[Start]])*1440)</f>
        <v/>
      </c>
      <c r="AO59" s="106" t="str">
        <f>IF(ISBLANK(Term3_Early_Dismissal_6[[#This Row],[Activity]]),"",IF(_xlfn.XLOOKUP(Term3_Early_Dismissal_6[[#This Row],[Activity]],Types_of_Activity[Type of Activity],Types_of_Activity[Classification])=1,Term3_Early_Dismissal_6[[#This Row],[Elapsed]],0))</f>
        <v/>
      </c>
      <c r="AP59" s="106" t="str">
        <f>IF(ISBLANK(Term3_Early_Dismissal_6[[#This Row],[Activity]]),"",IF(_xlfn.XLOOKUP(Term3_Early_Dismissal_6[[#This Row],[Activity]],Types_of_Activity[Type of Activity],Types_of_Activity[Classification])=2,Term3_Early_Dismissal_6[[#This Row],[Elapsed]],0))</f>
        <v/>
      </c>
    </row>
    <row r="60" spans="2:71" x14ac:dyDescent="0.3">
      <c r="B60" s="136"/>
      <c r="C60" s="136"/>
      <c r="D60" s="103"/>
      <c r="E60" s="106" t="str">
        <f>IF(OR(ISBLANK(Term3_Early_Dismissal_1[[#This Row],[Start]]),ISBLANK(Term3_Early_Dismissal_1[[#This Row],[End]])),"",(Term3_Early_Dismissal_1[[#This Row],[End]]-Term3_Early_Dismissal_1[[#This Row],[Start]])*1440)</f>
        <v/>
      </c>
      <c r="F60" s="106" t="str">
        <f>IF(ISBLANK(Term3_Early_Dismissal_1[[#This Row],[Activity]]),"",IF(_xlfn.XLOOKUP(Term3_Early_Dismissal_1[[#This Row],[Activity]],Types_of_Activity[Type of Activity],Types_of_Activity[Classification])=1,Term3_Early_Dismissal_1[[#This Row],[Elapsed]],0))</f>
        <v/>
      </c>
      <c r="G60" s="106" t="str">
        <f>IF(ISBLANK(Term3_Early_Dismissal_1[[#This Row],[Activity]]),"",IF(_xlfn.XLOOKUP(Term3_Early_Dismissal_1[[#This Row],[Activity]],Types_of_Activity[Type of Activity],Types_of_Activity[Classification])=2,Term3_Early_Dismissal_1[[#This Row],[Elapsed]],0))</f>
        <v/>
      </c>
      <c r="H60"/>
      <c r="I60" s="136"/>
      <c r="J60" s="136"/>
      <c r="K60" s="103"/>
      <c r="L60" s="106" t="str">
        <f>IF(OR(ISBLANK(Term3_Early_Dismissal_2[[#This Row],[Start]]),ISBLANK(Term3_Early_Dismissal_2[[#This Row],[End]])),"",(Term3_Early_Dismissal_2[[#This Row],[End]]-Term3_Early_Dismissal_2[[#This Row],[Start]])*1440)</f>
        <v/>
      </c>
      <c r="M60" s="106" t="str">
        <f>IF(ISBLANK(Term3_Early_Dismissal_2[[#This Row],[Activity]]),"",IF(_xlfn.XLOOKUP(Term3_Early_Dismissal_2[[#This Row],[Activity]],Types_of_Activity[Type of Activity],Types_of_Activity[Classification])=1,Term3_Early_Dismissal_2[[#This Row],[Elapsed]],0))</f>
        <v/>
      </c>
      <c r="N60" s="106" t="str">
        <f>IF(ISBLANK(Term3_Early_Dismissal_2[[#This Row],[Activity]]),"",IF(_xlfn.XLOOKUP(Term3_Early_Dismissal_2[[#This Row],[Activity]],Types_of_Activity[Type of Activity],Types_of_Activity[Classification])=2,Term3_Early_Dismissal_2[[#This Row],[Elapsed]],0))</f>
        <v/>
      </c>
      <c r="O60"/>
      <c r="P60" s="136"/>
      <c r="Q60" s="136"/>
      <c r="R60" s="103"/>
      <c r="S60" s="106" t="str">
        <f>IF(OR(ISBLANK(Term3_Early_Dismissal_3[[#This Row],[Start]]),ISBLANK(Term3_Early_Dismissal_3[[#This Row],[End]])),"",(Term3_Early_Dismissal_3[[#This Row],[End]]-Term3_Early_Dismissal_3[[#This Row],[Start]])*1440)</f>
        <v/>
      </c>
      <c r="T60" s="106" t="str">
        <f>IF(ISBLANK(Term3_Early_Dismissal_3[[#This Row],[Activity]]),"",IF(_xlfn.XLOOKUP(Term3_Early_Dismissal_3[[#This Row],[Activity]],Types_of_Activity[Type of Activity],Types_of_Activity[Classification])=1,Term3_Early_Dismissal_3[[#This Row],[Elapsed]],0))</f>
        <v/>
      </c>
      <c r="U60" s="106" t="str">
        <f>IF(ISBLANK(Term3_Early_Dismissal_3[[#This Row],[Activity]]),"",IF(_xlfn.XLOOKUP(Term3_Early_Dismissal_3[[#This Row],[Activity]],Types_of_Activity[Type of Activity],Types_of_Activity[Classification])=2,Term3_Early_Dismissal_3[[#This Row],[Elapsed]],0))</f>
        <v/>
      </c>
      <c r="W60" s="136"/>
      <c r="X60" s="136"/>
      <c r="Y60" s="103"/>
      <c r="Z60" s="106" t="str">
        <f>IF(OR(ISBLANK(Term3_Early_Dismissal_4[[#This Row],[Start]]),ISBLANK(Term3_Early_Dismissal_4[[#This Row],[End]])),"",(Term3_Early_Dismissal_4[[#This Row],[End]]-Term3_Early_Dismissal_4[[#This Row],[Start]])*1440)</f>
        <v/>
      </c>
      <c r="AA60" s="106" t="str">
        <f>IF(ISBLANK(Term3_Early_Dismissal_4[[#This Row],[Activity]]),"",IF(_xlfn.XLOOKUP(Term3_Early_Dismissal_4[[#This Row],[Activity]],Types_of_Activity[Type of Activity],Types_of_Activity[Classification])=1,Term3_Early_Dismissal_4[[#This Row],[Elapsed]],0))</f>
        <v/>
      </c>
      <c r="AB60" s="106" t="str">
        <f>IF(ISBLANK(Term3_Early_Dismissal_4[[#This Row],[Activity]]),"",IF(_xlfn.XLOOKUP(Term3_Early_Dismissal_4[[#This Row],[Activity]],Types_of_Activity[Type of Activity],Types_of_Activity[Classification])=2,Term3_Early_Dismissal_4[[#This Row],[Elapsed]],0))</f>
        <v/>
      </c>
      <c r="AD60" s="136"/>
      <c r="AE60" s="136"/>
      <c r="AF60" s="103"/>
      <c r="AG60" s="106" t="str">
        <f>IF(OR(ISBLANK(Term3_Early_Dismissal_5[[#This Row],[Start]]),ISBLANK(Term3_Early_Dismissal_5[[#This Row],[End]])),"",(Term3_Early_Dismissal_5[[#This Row],[End]]-Term3_Early_Dismissal_5[[#This Row],[Start]])*1440)</f>
        <v/>
      </c>
      <c r="AH60" s="106" t="str">
        <f>IF(ISBLANK(Term3_Early_Dismissal_5[[#This Row],[Activity]]),"",IF(_xlfn.XLOOKUP(Term3_Early_Dismissal_5[[#This Row],[Activity]],Types_of_Activity[Type of Activity],Types_of_Activity[Classification])=1,Term3_Early_Dismissal_5[[#This Row],[Elapsed]],0))</f>
        <v/>
      </c>
      <c r="AI60" s="106" t="str">
        <f>IF(ISBLANK(Term3_Early_Dismissal_5[[#This Row],[Activity]]),"",IF(_xlfn.XLOOKUP(Term3_Early_Dismissal_5[[#This Row],[Activity]],Types_of_Activity[Type of Activity],Types_of_Activity[Classification])=2,Term3_Early_Dismissal_5[[#This Row],[Elapsed]],0))</f>
        <v/>
      </c>
      <c r="AK60" s="136"/>
      <c r="AL60" s="136"/>
      <c r="AM60" s="103"/>
      <c r="AN60" s="106" t="str">
        <f>IF(OR(ISBLANK(Term3_Early_Dismissal_6[[#This Row],[Start]]),ISBLANK(Term3_Early_Dismissal_6[[#This Row],[End]])),"",(Term3_Early_Dismissal_6[[#This Row],[End]]-Term3_Early_Dismissal_6[[#This Row],[Start]])*1440)</f>
        <v/>
      </c>
      <c r="AO60" s="106" t="str">
        <f>IF(ISBLANK(Term3_Early_Dismissal_6[[#This Row],[Activity]]),"",IF(_xlfn.XLOOKUP(Term3_Early_Dismissal_6[[#This Row],[Activity]],Types_of_Activity[Type of Activity],Types_of_Activity[Classification])=1,Term3_Early_Dismissal_6[[#This Row],[Elapsed]],0))</f>
        <v/>
      </c>
      <c r="AP60" s="106" t="str">
        <f>IF(ISBLANK(Term3_Early_Dismissal_6[[#This Row],[Activity]]),"",IF(_xlfn.XLOOKUP(Term3_Early_Dismissal_6[[#This Row],[Activity]],Types_of_Activity[Type of Activity],Types_of_Activity[Classification])=2,Term3_Early_Dismissal_6[[#This Row],[Elapsed]],0))</f>
        <v/>
      </c>
    </row>
    <row r="61" spans="2:71" x14ac:dyDescent="0.3">
      <c r="B61" s="136"/>
      <c r="C61" s="136"/>
      <c r="D61" s="103"/>
      <c r="E61" s="106" t="str">
        <f>IF(OR(ISBLANK(Term3_Early_Dismissal_1[[#This Row],[Start]]),ISBLANK(Term3_Early_Dismissal_1[[#This Row],[End]])),"",(Term3_Early_Dismissal_1[[#This Row],[End]]-Term3_Early_Dismissal_1[[#This Row],[Start]])*1440)</f>
        <v/>
      </c>
      <c r="F61" s="106" t="str">
        <f>IF(ISBLANK(Term3_Early_Dismissal_1[[#This Row],[Activity]]),"",IF(_xlfn.XLOOKUP(Term3_Early_Dismissal_1[[#This Row],[Activity]],Types_of_Activity[Type of Activity],Types_of_Activity[Classification])=1,Term3_Early_Dismissal_1[[#This Row],[Elapsed]],0))</f>
        <v/>
      </c>
      <c r="G61" s="106" t="str">
        <f>IF(ISBLANK(Term3_Early_Dismissal_1[[#This Row],[Activity]]),"",IF(_xlfn.XLOOKUP(Term3_Early_Dismissal_1[[#This Row],[Activity]],Types_of_Activity[Type of Activity],Types_of_Activity[Classification])=2,Term3_Early_Dismissal_1[[#This Row],[Elapsed]],0))</f>
        <v/>
      </c>
      <c r="H61"/>
      <c r="I61" s="136"/>
      <c r="J61" s="136"/>
      <c r="K61" s="103"/>
      <c r="L61" s="106" t="str">
        <f>IF(OR(ISBLANK(Term3_Early_Dismissal_2[[#This Row],[Start]]),ISBLANK(Term3_Early_Dismissal_2[[#This Row],[End]])),"",(Term3_Early_Dismissal_2[[#This Row],[End]]-Term3_Early_Dismissal_2[[#This Row],[Start]])*1440)</f>
        <v/>
      </c>
      <c r="M61" s="106" t="str">
        <f>IF(ISBLANK(Term3_Early_Dismissal_2[[#This Row],[Activity]]),"",IF(_xlfn.XLOOKUP(Term3_Early_Dismissal_2[[#This Row],[Activity]],Types_of_Activity[Type of Activity],Types_of_Activity[Classification])=1,Term3_Early_Dismissal_2[[#This Row],[Elapsed]],0))</f>
        <v/>
      </c>
      <c r="N61" s="106" t="str">
        <f>IF(ISBLANK(Term3_Early_Dismissal_2[[#This Row],[Activity]]),"",IF(_xlfn.XLOOKUP(Term3_Early_Dismissal_2[[#This Row],[Activity]],Types_of_Activity[Type of Activity],Types_of_Activity[Classification])=2,Term3_Early_Dismissal_2[[#This Row],[Elapsed]],0))</f>
        <v/>
      </c>
      <c r="O61"/>
      <c r="P61" s="136"/>
      <c r="Q61" s="136"/>
      <c r="R61" s="103"/>
      <c r="S61" s="106" t="str">
        <f>IF(OR(ISBLANK(Term3_Early_Dismissal_3[[#This Row],[Start]]),ISBLANK(Term3_Early_Dismissal_3[[#This Row],[End]])),"",(Term3_Early_Dismissal_3[[#This Row],[End]]-Term3_Early_Dismissal_3[[#This Row],[Start]])*1440)</f>
        <v/>
      </c>
      <c r="T61" s="106" t="str">
        <f>IF(ISBLANK(Term3_Early_Dismissal_3[[#This Row],[Activity]]),"",IF(_xlfn.XLOOKUP(Term3_Early_Dismissal_3[[#This Row],[Activity]],Types_of_Activity[Type of Activity],Types_of_Activity[Classification])=1,Term3_Early_Dismissal_3[[#This Row],[Elapsed]],0))</f>
        <v/>
      </c>
      <c r="U61" s="106" t="str">
        <f>IF(ISBLANK(Term3_Early_Dismissal_3[[#This Row],[Activity]]),"",IF(_xlfn.XLOOKUP(Term3_Early_Dismissal_3[[#This Row],[Activity]],Types_of_Activity[Type of Activity],Types_of_Activity[Classification])=2,Term3_Early_Dismissal_3[[#This Row],[Elapsed]],0))</f>
        <v/>
      </c>
      <c r="W61" s="136"/>
      <c r="X61" s="136"/>
      <c r="Y61" s="103"/>
      <c r="Z61" s="106" t="str">
        <f>IF(OR(ISBLANK(Term3_Early_Dismissal_4[[#This Row],[Start]]),ISBLANK(Term3_Early_Dismissal_4[[#This Row],[End]])),"",(Term3_Early_Dismissal_4[[#This Row],[End]]-Term3_Early_Dismissal_4[[#This Row],[Start]])*1440)</f>
        <v/>
      </c>
      <c r="AA61" s="106" t="str">
        <f>IF(ISBLANK(Term3_Early_Dismissal_4[[#This Row],[Activity]]),"",IF(_xlfn.XLOOKUP(Term3_Early_Dismissal_4[[#This Row],[Activity]],Types_of_Activity[Type of Activity],Types_of_Activity[Classification])=1,Term3_Early_Dismissal_4[[#This Row],[Elapsed]],0))</f>
        <v/>
      </c>
      <c r="AB61" s="106" t="str">
        <f>IF(ISBLANK(Term3_Early_Dismissal_4[[#This Row],[Activity]]),"",IF(_xlfn.XLOOKUP(Term3_Early_Dismissal_4[[#This Row],[Activity]],Types_of_Activity[Type of Activity],Types_of_Activity[Classification])=2,Term3_Early_Dismissal_4[[#This Row],[Elapsed]],0))</f>
        <v/>
      </c>
      <c r="AD61" s="136"/>
      <c r="AE61" s="136"/>
      <c r="AF61" s="103"/>
      <c r="AG61" s="106" t="str">
        <f>IF(OR(ISBLANK(Term3_Early_Dismissal_5[[#This Row],[Start]]),ISBLANK(Term3_Early_Dismissal_5[[#This Row],[End]])),"",(Term3_Early_Dismissal_5[[#This Row],[End]]-Term3_Early_Dismissal_5[[#This Row],[Start]])*1440)</f>
        <v/>
      </c>
      <c r="AH61" s="106" t="str">
        <f>IF(ISBLANK(Term3_Early_Dismissal_5[[#This Row],[Activity]]),"",IF(_xlfn.XLOOKUP(Term3_Early_Dismissal_5[[#This Row],[Activity]],Types_of_Activity[Type of Activity],Types_of_Activity[Classification])=1,Term3_Early_Dismissal_5[[#This Row],[Elapsed]],0))</f>
        <v/>
      </c>
      <c r="AI61" s="106" t="str">
        <f>IF(ISBLANK(Term3_Early_Dismissal_5[[#This Row],[Activity]]),"",IF(_xlfn.XLOOKUP(Term3_Early_Dismissal_5[[#This Row],[Activity]],Types_of_Activity[Type of Activity],Types_of_Activity[Classification])=2,Term3_Early_Dismissal_5[[#This Row],[Elapsed]],0))</f>
        <v/>
      </c>
      <c r="AK61" s="136"/>
      <c r="AL61" s="136"/>
      <c r="AM61" s="103"/>
      <c r="AN61" s="106" t="str">
        <f>IF(OR(ISBLANK(Term3_Early_Dismissal_6[[#This Row],[Start]]),ISBLANK(Term3_Early_Dismissal_6[[#This Row],[End]])),"",(Term3_Early_Dismissal_6[[#This Row],[End]]-Term3_Early_Dismissal_6[[#This Row],[Start]])*1440)</f>
        <v/>
      </c>
      <c r="AO61" s="106" t="str">
        <f>IF(ISBLANK(Term3_Early_Dismissal_6[[#This Row],[Activity]]),"",IF(_xlfn.XLOOKUP(Term3_Early_Dismissal_6[[#This Row],[Activity]],Types_of_Activity[Type of Activity],Types_of_Activity[Classification])=1,Term3_Early_Dismissal_6[[#This Row],[Elapsed]],0))</f>
        <v/>
      </c>
      <c r="AP61" s="106" t="str">
        <f>IF(ISBLANK(Term3_Early_Dismissal_6[[#This Row],[Activity]]),"",IF(_xlfn.XLOOKUP(Term3_Early_Dismissal_6[[#This Row],[Activity]],Types_of_Activity[Type of Activity],Types_of_Activity[Classification])=2,Term3_Early_Dismissal_6[[#This Row],[Elapsed]],0))</f>
        <v/>
      </c>
    </row>
    <row r="62" spans="2:71" x14ac:dyDescent="0.3">
      <c r="B62" s="136"/>
      <c r="C62" s="136"/>
      <c r="D62" s="103"/>
      <c r="E62" s="106" t="str">
        <f>IF(OR(ISBLANK(Term3_Early_Dismissal_1[[#This Row],[Start]]),ISBLANK(Term3_Early_Dismissal_1[[#This Row],[End]])),"",(Term3_Early_Dismissal_1[[#This Row],[End]]-Term3_Early_Dismissal_1[[#This Row],[Start]])*1440)</f>
        <v/>
      </c>
      <c r="F62" s="106" t="str">
        <f>IF(ISBLANK(Term3_Early_Dismissal_1[[#This Row],[Activity]]),"",IF(_xlfn.XLOOKUP(Term3_Early_Dismissal_1[[#This Row],[Activity]],Types_of_Activity[Type of Activity],Types_of_Activity[Classification])=1,Term3_Early_Dismissal_1[[#This Row],[Elapsed]],0))</f>
        <v/>
      </c>
      <c r="G62" s="106" t="str">
        <f>IF(ISBLANK(Term3_Early_Dismissal_1[[#This Row],[Activity]]),"",IF(_xlfn.XLOOKUP(Term3_Early_Dismissal_1[[#This Row],[Activity]],Types_of_Activity[Type of Activity],Types_of_Activity[Classification])=2,Term3_Early_Dismissal_1[[#This Row],[Elapsed]],0))</f>
        <v/>
      </c>
      <c r="H62"/>
      <c r="I62" s="136"/>
      <c r="J62" s="136"/>
      <c r="K62" s="103"/>
      <c r="L62" s="106" t="str">
        <f>IF(OR(ISBLANK(Term3_Early_Dismissal_2[[#This Row],[Start]]),ISBLANK(Term3_Early_Dismissal_2[[#This Row],[End]])),"",(Term3_Early_Dismissal_2[[#This Row],[End]]-Term3_Early_Dismissal_2[[#This Row],[Start]])*1440)</f>
        <v/>
      </c>
      <c r="M62" s="106" t="str">
        <f>IF(ISBLANK(Term3_Early_Dismissal_2[[#This Row],[Activity]]),"",IF(_xlfn.XLOOKUP(Term3_Early_Dismissal_2[[#This Row],[Activity]],Types_of_Activity[Type of Activity],Types_of_Activity[Classification])=1,Term3_Early_Dismissal_2[[#This Row],[Elapsed]],0))</f>
        <v/>
      </c>
      <c r="N62" s="106" t="str">
        <f>IF(ISBLANK(Term3_Early_Dismissal_2[[#This Row],[Activity]]),"",IF(_xlfn.XLOOKUP(Term3_Early_Dismissal_2[[#This Row],[Activity]],Types_of_Activity[Type of Activity],Types_of_Activity[Classification])=2,Term3_Early_Dismissal_2[[#This Row],[Elapsed]],0))</f>
        <v/>
      </c>
      <c r="O62"/>
      <c r="P62" s="136"/>
      <c r="Q62" s="136"/>
      <c r="R62" s="103"/>
      <c r="S62" s="106" t="str">
        <f>IF(OR(ISBLANK(Term3_Early_Dismissal_3[[#This Row],[Start]]),ISBLANK(Term3_Early_Dismissal_3[[#This Row],[End]])),"",(Term3_Early_Dismissal_3[[#This Row],[End]]-Term3_Early_Dismissal_3[[#This Row],[Start]])*1440)</f>
        <v/>
      </c>
      <c r="T62" s="106" t="str">
        <f>IF(ISBLANK(Term3_Early_Dismissal_3[[#This Row],[Activity]]),"",IF(_xlfn.XLOOKUP(Term3_Early_Dismissal_3[[#This Row],[Activity]],Types_of_Activity[Type of Activity],Types_of_Activity[Classification])=1,Term3_Early_Dismissal_3[[#This Row],[Elapsed]],0))</f>
        <v/>
      </c>
      <c r="U62" s="106" t="str">
        <f>IF(ISBLANK(Term3_Early_Dismissal_3[[#This Row],[Activity]]),"",IF(_xlfn.XLOOKUP(Term3_Early_Dismissal_3[[#This Row],[Activity]],Types_of_Activity[Type of Activity],Types_of_Activity[Classification])=2,Term3_Early_Dismissal_3[[#This Row],[Elapsed]],0))</f>
        <v/>
      </c>
      <c r="W62" s="136"/>
      <c r="X62" s="136"/>
      <c r="Y62" s="103"/>
      <c r="Z62" s="106" t="str">
        <f>IF(OR(ISBLANK(Term3_Early_Dismissal_4[[#This Row],[Start]]),ISBLANK(Term3_Early_Dismissal_4[[#This Row],[End]])),"",(Term3_Early_Dismissal_4[[#This Row],[End]]-Term3_Early_Dismissal_4[[#This Row],[Start]])*1440)</f>
        <v/>
      </c>
      <c r="AA62" s="106" t="str">
        <f>IF(ISBLANK(Term3_Early_Dismissal_4[[#This Row],[Activity]]),"",IF(_xlfn.XLOOKUP(Term3_Early_Dismissal_4[[#This Row],[Activity]],Types_of_Activity[Type of Activity],Types_of_Activity[Classification])=1,Term3_Early_Dismissal_4[[#This Row],[Elapsed]],0))</f>
        <v/>
      </c>
      <c r="AB62" s="106" t="str">
        <f>IF(ISBLANK(Term3_Early_Dismissal_4[[#This Row],[Activity]]),"",IF(_xlfn.XLOOKUP(Term3_Early_Dismissal_4[[#This Row],[Activity]],Types_of_Activity[Type of Activity],Types_of_Activity[Classification])=2,Term3_Early_Dismissal_4[[#This Row],[Elapsed]],0))</f>
        <v/>
      </c>
      <c r="AD62" s="136"/>
      <c r="AE62" s="136"/>
      <c r="AF62" s="103"/>
      <c r="AG62" s="106" t="str">
        <f>IF(OR(ISBLANK(Term3_Early_Dismissal_5[[#This Row],[Start]]),ISBLANK(Term3_Early_Dismissal_5[[#This Row],[End]])),"",(Term3_Early_Dismissal_5[[#This Row],[End]]-Term3_Early_Dismissal_5[[#This Row],[Start]])*1440)</f>
        <v/>
      </c>
      <c r="AH62" s="106" t="str">
        <f>IF(ISBLANK(Term3_Early_Dismissal_5[[#This Row],[Activity]]),"",IF(_xlfn.XLOOKUP(Term3_Early_Dismissal_5[[#This Row],[Activity]],Types_of_Activity[Type of Activity],Types_of_Activity[Classification])=1,Term3_Early_Dismissal_5[[#This Row],[Elapsed]],0))</f>
        <v/>
      </c>
      <c r="AI62" s="106" t="str">
        <f>IF(ISBLANK(Term3_Early_Dismissal_5[[#This Row],[Activity]]),"",IF(_xlfn.XLOOKUP(Term3_Early_Dismissal_5[[#This Row],[Activity]],Types_of_Activity[Type of Activity],Types_of_Activity[Classification])=2,Term3_Early_Dismissal_5[[#This Row],[Elapsed]],0))</f>
        <v/>
      </c>
      <c r="AK62" s="136"/>
      <c r="AL62" s="136"/>
      <c r="AM62" s="103"/>
      <c r="AN62" s="106" t="str">
        <f>IF(OR(ISBLANK(Term3_Early_Dismissal_6[[#This Row],[Start]]),ISBLANK(Term3_Early_Dismissal_6[[#This Row],[End]])),"",(Term3_Early_Dismissal_6[[#This Row],[End]]-Term3_Early_Dismissal_6[[#This Row],[Start]])*1440)</f>
        <v/>
      </c>
      <c r="AO62" s="106" t="str">
        <f>IF(ISBLANK(Term3_Early_Dismissal_6[[#This Row],[Activity]]),"",IF(_xlfn.XLOOKUP(Term3_Early_Dismissal_6[[#This Row],[Activity]],Types_of_Activity[Type of Activity],Types_of_Activity[Classification])=1,Term3_Early_Dismissal_6[[#This Row],[Elapsed]],0))</f>
        <v/>
      </c>
      <c r="AP62" s="106" t="str">
        <f>IF(ISBLANK(Term3_Early_Dismissal_6[[#This Row],[Activity]]),"",IF(_xlfn.XLOOKUP(Term3_Early_Dismissal_6[[#This Row],[Activity]],Types_of_Activity[Type of Activity],Types_of_Activity[Classification])=2,Term3_Early_Dismissal_6[[#This Row],[Elapsed]],0))</f>
        <v/>
      </c>
    </row>
    <row r="63" spans="2:71" x14ac:dyDescent="0.3">
      <c r="B63" s="136"/>
      <c r="C63" s="136"/>
      <c r="D63" s="103"/>
      <c r="E63" s="106" t="str">
        <f>IF(OR(ISBLANK(Term3_Early_Dismissal_1[[#This Row],[Start]]),ISBLANK(Term3_Early_Dismissal_1[[#This Row],[End]])),"",(Term3_Early_Dismissal_1[[#This Row],[End]]-Term3_Early_Dismissal_1[[#This Row],[Start]])*1440)</f>
        <v/>
      </c>
      <c r="F63" s="106" t="str">
        <f>IF(ISBLANK(Term3_Early_Dismissal_1[[#This Row],[Activity]]),"",IF(_xlfn.XLOOKUP(Term3_Early_Dismissal_1[[#This Row],[Activity]],Types_of_Activity[Type of Activity],Types_of_Activity[Classification])=1,Term3_Early_Dismissal_1[[#This Row],[Elapsed]],0))</f>
        <v/>
      </c>
      <c r="G63" s="106" t="str">
        <f>IF(ISBLANK(Term3_Early_Dismissal_1[[#This Row],[Activity]]),"",IF(_xlfn.XLOOKUP(Term3_Early_Dismissal_1[[#This Row],[Activity]],Types_of_Activity[Type of Activity],Types_of_Activity[Classification])=2,Term3_Early_Dismissal_1[[#This Row],[Elapsed]],0))</f>
        <v/>
      </c>
      <c r="H63"/>
      <c r="I63" s="136"/>
      <c r="J63" s="136"/>
      <c r="K63" s="103"/>
      <c r="L63" s="106" t="str">
        <f>IF(OR(ISBLANK(Term3_Early_Dismissal_2[[#This Row],[Start]]),ISBLANK(Term3_Early_Dismissal_2[[#This Row],[End]])),"",(Term3_Early_Dismissal_2[[#This Row],[End]]-Term3_Early_Dismissal_2[[#This Row],[Start]])*1440)</f>
        <v/>
      </c>
      <c r="M63" s="106" t="str">
        <f>IF(ISBLANK(Term3_Early_Dismissal_2[[#This Row],[Activity]]),"",IF(_xlfn.XLOOKUP(Term3_Early_Dismissal_2[[#This Row],[Activity]],Types_of_Activity[Type of Activity],Types_of_Activity[Classification])=1,Term3_Early_Dismissal_2[[#This Row],[Elapsed]],0))</f>
        <v/>
      </c>
      <c r="N63" s="106" t="str">
        <f>IF(ISBLANK(Term3_Early_Dismissal_2[[#This Row],[Activity]]),"",IF(_xlfn.XLOOKUP(Term3_Early_Dismissal_2[[#This Row],[Activity]],Types_of_Activity[Type of Activity],Types_of_Activity[Classification])=2,Term3_Early_Dismissal_2[[#This Row],[Elapsed]],0))</f>
        <v/>
      </c>
      <c r="O63"/>
      <c r="P63" s="136"/>
      <c r="Q63" s="136"/>
      <c r="R63" s="103"/>
      <c r="S63" s="106" t="str">
        <f>IF(OR(ISBLANK(Term3_Early_Dismissal_3[[#This Row],[Start]]),ISBLANK(Term3_Early_Dismissal_3[[#This Row],[End]])),"",(Term3_Early_Dismissal_3[[#This Row],[End]]-Term3_Early_Dismissal_3[[#This Row],[Start]])*1440)</f>
        <v/>
      </c>
      <c r="T63" s="106" t="str">
        <f>IF(ISBLANK(Term3_Early_Dismissal_3[[#This Row],[Activity]]),"",IF(_xlfn.XLOOKUP(Term3_Early_Dismissal_3[[#This Row],[Activity]],Types_of_Activity[Type of Activity],Types_of_Activity[Classification])=1,Term3_Early_Dismissal_3[[#This Row],[Elapsed]],0))</f>
        <v/>
      </c>
      <c r="U63" s="106" t="str">
        <f>IF(ISBLANK(Term3_Early_Dismissal_3[[#This Row],[Activity]]),"",IF(_xlfn.XLOOKUP(Term3_Early_Dismissal_3[[#This Row],[Activity]],Types_of_Activity[Type of Activity],Types_of_Activity[Classification])=2,Term3_Early_Dismissal_3[[#This Row],[Elapsed]],0))</f>
        <v/>
      </c>
      <c r="W63" s="136"/>
      <c r="X63" s="136"/>
      <c r="Y63" s="103"/>
      <c r="Z63" s="106" t="str">
        <f>IF(OR(ISBLANK(Term3_Early_Dismissal_4[[#This Row],[Start]]),ISBLANK(Term3_Early_Dismissal_4[[#This Row],[End]])),"",(Term3_Early_Dismissal_4[[#This Row],[End]]-Term3_Early_Dismissal_4[[#This Row],[Start]])*1440)</f>
        <v/>
      </c>
      <c r="AA63" s="106" t="str">
        <f>IF(ISBLANK(Term3_Early_Dismissal_4[[#This Row],[Activity]]),"",IF(_xlfn.XLOOKUP(Term3_Early_Dismissal_4[[#This Row],[Activity]],Types_of_Activity[Type of Activity],Types_of_Activity[Classification])=1,Term3_Early_Dismissal_4[[#This Row],[Elapsed]],0))</f>
        <v/>
      </c>
      <c r="AB63" s="106" t="str">
        <f>IF(ISBLANK(Term3_Early_Dismissal_4[[#This Row],[Activity]]),"",IF(_xlfn.XLOOKUP(Term3_Early_Dismissal_4[[#This Row],[Activity]],Types_of_Activity[Type of Activity],Types_of_Activity[Classification])=2,Term3_Early_Dismissal_4[[#This Row],[Elapsed]],0))</f>
        <v/>
      </c>
      <c r="AD63" s="136"/>
      <c r="AE63" s="136"/>
      <c r="AF63" s="103"/>
      <c r="AG63" s="106" t="str">
        <f>IF(OR(ISBLANK(Term3_Early_Dismissal_5[[#This Row],[Start]]),ISBLANK(Term3_Early_Dismissal_5[[#This Row],[End]])),"",(Term3_Early_Dismissal_5[[#This Row],[End]]-Term3_Early_Dismissal_5[[#This Row],[Start]])*1440)</f>
        <v/>
      </c>
      <c r="AH63" s="106" t="str">
        <f>IF(ISBLANK(Term3_Early_Dismissal_5[[#This Row],[Activity]]),"",IF(_xlfn.XLOOKUP(Term3_Early_Dismissal_5[[#This Row],[Activity]],Types_of_Activity[Type of Activity],Types_of_Activity[Classification])=1,Term3_Early_Dismissal_5[[#This Row],[Elapsed]],0))</f>
        <v/>
      </c>
      <c r="AI63" s="106" t="str">
        <f>IF(ISBLANK(Term3_Early_Dismissal_5[[#This Row],[Activity]]),"",IF(_xlfn.XLOOKUP(Term3_Early_Dismissal_5[[#This Row],[Activity]],Types_of_Activity[Type of Activity],Types_of_Activity[Classification])=2,Term3_Early_Dismissal_5[[#This Row],[Elapsed]],0))</f>
        <v/>
      </c>
      <c r="AK63" s="136"/>
      <c r="AL63" s="136"/>
      <c r="AM63" s="103"/>
      <c r="AN63" s="106" t="str">
        <f>IF(OR(ISBLANK(Term3_Early_Dismissal_6[[#This Row],[Start]]),ISBLANK(Term3_Early_Dismissal_6[[#This Row],[End]])),"",(Term3_Early_Dismissal_6[[#This Row],[End]]-Term3_Early_Dismissal_6[[#This Row],[Start]])*1440)</f>
        <v/>
      </c>
      <c r="AO63" s="106" t="str">
        <f>IF(ISBLANK(Term3_Early_Dismissal_6[[#This Row],[Activity]]),"",IF(_xlfn.XLOOKUP(Term3_Early_Dismissal_6[[#This Row],[Activity]],Types_of_Activity[Type of Activity],Types_of_Activity[Classification])=1,Term3_Early_Dismissal_6[[#This Row],[Elapsed]],0))</f>
        <v/>
      </c>
      <c r="AP63" s="106" t="str">
        <f>IF(ISBLANK(Term3_Early_Dismissal_6[[#This Row],[Activity]]),"",IF(_xlfn.XLOOKUP(Term3_Early_Dismissal_6[[#This Row],[Activity]],Types_of_Activity[Type of Activity],Types_of_Activity[Classification])=2,Term3_Early_Dismissal_6[[#This Row],[Elapsed]],0))</f>
        <v/>
      </c>
    </row>
    <row r="64" spans="2:71" x14ac:dyDescent="0.3">
      <c r="B64" s="136"/>
      <c r="C64" s="136"/>
      <c r="D64" s="103"/>
      <c r="E64" s="106" t="str">
        <f>IF(OR(ISBLANK(Term3_Early_Dismissal_1[[#This Row],[Start]]),ISBLANK(Term3_Early_Dismissal_1[[#This Row],[End]])),"",(Term3_Early_Dismissal_1[[#This Row],[End]]-Term3_Early_Dismissal_1[[#This Row],[Start]])*1440)</f>
        <v/>
      </c>
      <c r="F64" s="106" t="str">
        <f>IF(ISBLANK(Term3_Early_Dismissal_1[[#This Row],[Activity]]),"",IF(_xlfn.XLOOKUP(Term3_Early_Dismissal_1[[#This Row],[Activity]],Types_of_Activity[Type of Activity],Types_of_Activity[Classification])=1,Term3_Early_Dismissal_1[[#This Row],[Elapsed]],0))</f>
        <v/>
      </c>
      <c r="G64" s="106" t="str">
        <f>IF(ISBLANK(Term3_Early_Dismissal_1[[#This Row],[Activity]]),"",IF(_xlfn.XLOOKUP(Term3_Early_Dismissal_1[[#This Row],[Activity]],Types_of_Activity[Type of Activity],Types_of_Activity[Classification])=2,Term3_Early_Dismissal_1[[#This Row],[Elapsed]],0))</f>
        <v/>
      </c>
      <c r="H64"/>
      <c r="I64" s="136"/>
      <c r="J64" s="136"/>
      <c r="K64" s="103"/>
      <c r="L64" s="106" t="str">
        <f>IF(OR(ISBLANK(Term3_Early_Dismissal_2[[#This Row],[Start]]),ISBLANK(Term3_Early_Dismissal_2[[#This Row],[End]])),"",(Term3_Early_Dismissal_2[[#This Row],[End]]-Term3_Early_Dismissal_2[[#This Row],[Start]])*1440)</f>
        <v/>
      </c>
      <c r="M64" s="106" t="str">
        <f>IF(ISBLANK(Term3_Early_Dismissal_2[[#This Row],[Activity]]),"",IF(_xlfn.XLOOKUP(Term3_Early_Dismissal_2[[#This Row],[Activity]],Types_of_Activity[Type of Activity],Types_of_Activity[Classification])=1,Term3_Early_Dismissal_2[[#This Row],[Elapsed]],0))</f>
        <v/>
      </c>
      <c r="N64" s="106" t="str">
        <f>IF(ISBLANK(Term3_Early_Dismissal_2[[#This Row],[Activity]]),"",IF(_xlfn.XLOOKUP(Term3_Early_Dismissal_2[[#This Row],[Activity]],Types_of_Activity[Type of Activity],Types_of_Activity[Classification])=2,Term3_Early_Dismissal_2[[#This Row],[Elapsed]],0))</f>
        <v/>
      </c>
      <c r="O64"/>
      <c r="P64" s="136"/>
      <c r="Q64" s="136"/>
      <c r="R64" s="103"/>
      <c r="S64" s="106" t="str">
        <f>IF(OR(ISBLANK(Term3_Early_Dismissal_3[[#This Row],[Start]]),ISBLANK(Term3_Early_Dismissal_3[[#This Row],[End]])),"",(Term3_Early_Dismissal_3[[#This Row],[End]]-Term3_Early_Dismissal_3[[#This Row],[Start]])*1440)</f>
        <v/>
      </c>
      <c r="T64" s="106" t="str">
        <f>IF(ISBLANK(Term3_Early_Dismissal_3[[#This Row],[Activity]]),"",IF(_xlfn.XLOOKUP(Term3_Early_Dismissal_3[[#This Row],[Activity]],Types_of_Activity[Type of Activity],Types_of_Activity[Classification])=1,Term3_Early_Dismissal_3[[#This Row],[Elapsed]],0))</f>
        <v/>
      </c>
      <c r="U64" s="106" t="str">
        <f>IF(ISBLANK(Term3_Early_Dismissal_3[[#This Row],[Activity]]),"",IF(_xlfn.XLOOKUP(Term3_Early_Dismissal_3[[#This Row],[Activity]],Types_of_Activity[Type of Activity],Types_of_Activity[Classification])=2,Term3_Early_Dismissal_3[[#This Row],[Elapsed]],0))</f>
        <v/>
      </c>
      <c r="W64" s="136"/>
      <c r="X64" s="136"/>
      <c r="Y64" s="103"/>
      <c r="Z64" s="106" t="str">
        <f>IF(OR(ISBLANK(Term3_Early_Dismissal_4[[#This Row],[Start]]),ISBLANK(Term3_Early_Dismissal_4[[#This Row],[End]])),"",(Term3_Early_Dismissal_4[[#This Row],[End]]-Term3_Early_Dismissal_4[[#This Row],[Start]])*1440)</f>
        <v/>
      </c>
      <c r="AA64" s="106" t="str">
        <f>IF(ISBLANK(Term3_Early_Dismissal_4[[#This Row],[Activity]]),"",IF(_xlfn.XLOOKUP(Term3_Early_Dismissal_4[[#This Row],[Activity]],Types_of_Activity[Type of Activity],Types_of_Activity[Classification])=1,Term3_Early_Dismissal_4[[#This Row],[Elapsed]],0))</f>
        <v/>
      </c>
      <c r="AB64" s="106" t="str">
        <f>IF(ISBLANK(Term3_Early_Dismissal_4[[#This Row],[Activity]]),"",IF(_xlfn.XLOOKUP(Term3_Early_Dismissal_4[[#This Row],[Activity]],Types_of_Activity[Type of Activity],Types_of_Activity[Classification])=2,Term3_Early_Dismissal_4[[#This Row],[Elapsed]],0))</f>
        <v/>
      </c>
      <c r="AD64" s="136"/>
      <c r="AE64" s="136"/>
      <c r="AF64" s="103"/>
      <c r="AG64" s="106" t="str">
        <f>IF(OR(ISBLANK(Term3_Early_Dismissal_5[[#This Row],[Start]]),ISBLANK(Term3_Early_Dismissal_5[[#This Row],[End]])),"",(Term3_Early_Dismissal_5[[#This Row],[End]]-Term3_Early_Dismissal_5[[#This Row],[Start]])*1440)</f>
        <v/>
      </c>
      <c r="AH64" s="106" t="str">
        <f>IF(ISBLANK(Term3_Early_Dismissal_5[[#This Row],[Activity]]),"",IF(_xlfn.XLOOKUP(Term3_Early_Dismissal_5[[#This Row],[Activity]],Types_of_Activity[Type of Activity],Types_of_Activity[Classification])=1,Term3_Early_Dismissal_5[[#This Row],[Elapsed]],0))</f>
        <v/>
      </c>
      <c r="AI64" s="106" t="str">
        <f>IF(ISBLANK(Term3_Early_Dismissal_5[[#This Row],[Activity]]),"",IF(_xlfn.XLOOKUP(Term3_Early_Dismissal_5[[#This Row],[Activity]],Types_of_Activity[Type of Activity],Types_of_Activity[Classification])=2,Term3_Early_Dismissal_5[[#This Row],[Elapsed]],0))</f>
        <v/>
      </c>
      <c r="AK64" s="136"/>
      <c r="AL64" s="136"/>
      <c r="AM64" s="103"/>
      <c r="AN64" s="106" t="str">
        <f>IF(OR(ISBLANK(Term3_Early_Dismissal_6[[#This Row],[Start]]),ISBLANK(Term3_Early_Dismissal_6[[#This Row],[End]])),"",(Term3_Early_Dismissal_6[[#This Row],[End]]-Term3_Early_Dismissal_6[[#This Row],[Start]])*1440)</f>
        <v/>
      </c>
      <c r="AO64" s="106" t="str">
        <f>IF(ISBLANK(Term3_Early_Dismissal_6[[#This Row],[Activity]]),"",IF(_xlfn.XLOOKUP(Term3_Early_Dismissal_6[[#This Row],[Activity]],Types_of_Activity[Type of Activity],Types_of_Activity[Classification])=1,Term3_Early_Dismissal_6[[#This Row],[Elapsed]],0))</f>
        <v/>
      </c>
      <c r="AP64" s="106" t="str">
        <f>IF(ISBLANK(Term3_Early_Dismissal_6[[#This Row],[Activity]]),"",IF(_xlfn.XLOOKUP(Term3_Early_Dismissal_6[[#This Row],[Activity]],Types_of_Activity[Type of Activity],Types_of_Activity[Classification])=2,Term3_Early_Dismissal_6[[#This Row],[Elapsed]],0))</f>
        <v/>
      </c>
    </row>
    <row r="65" spans="2:42" x14ac:dyDescent="0.3">
      <c r="B65" s="136"/>
      <c r="C65" s="136"/>
      <c r="D65" s="103"/>
      <c r="E65" s="106" t="str">
        <f>IF(OR(ISBLANK(Term3_Early_Dismissal_1[[#This Row],[Start]]),ISBLANK(Term3_Early_Dismissal_1[[#This Row],[End]])),"",(Term3_Early_Dismissal_1[[#This Row],[End]]-Term3_Early_Dismissal_1[[#This Row],[Start]])*1440)</f>
        <v/>
      </c>
      <c r="F65" s="106" t="str">
        <f>IF(ISBLANK(Term3_Early_Dismissal_1[[#This Row],[Activity]]),"",IF(_xlfn.XLOOKUP(Term3_Early_Dismissal_1[[#This Row],[Activity]],Types_of_Activity[Type of Activity],Types_of_Activity[Classification])=1,Term3_Early_Dismissal_1[[#This Row],[Elapsed]],0))</f>
        <v/>
      </c>
      <c r="G65" s="106" t="str">
        <f>IF(ISBLANK(Term3_Early_Dismissal_1[[#This Row],[Activity]]),"",IF(_xlfn.XLOOKUP(Term3_Early_Dismissal_1[[#This Row],[Activity]],Types_of_Activity[Type of Activity],Types_of_Activity[Classification])=2,Term3_Early_Dismissal_1[[#This Row],[Elapsed]],0))</f>
        <v/>
      </c>
      <c r="H65"/>
      <c r="I65" s="136"/>
      <c r="J65" s="136"/>
      <c r="K65" s="103"/>
      <c r="L65" s="106" t="str">
        <f>IF(OR(ISBLANK(Term3_Early_Dismissal_2[[#This Row],[Start]]),ISBLANK(Term3_Early_Dismissal_2[[#This Row],[End]])),"",(Term3_Early_Dismissal_2[[#This Row],[End]]-Term3_Early_Dismissal_2[[#This Row],[Start]])*1440)</f>
        <v/>
      </c>
      <c r="M65" s="106" t="str">
        <f>IF(ISBLANK(Term3_Early_Dismissal_2[[#This Row],[Activity]]),"",IF(_xlfn.XLOOKUP(Term3_Early_Dismissal_2[[#This Row],[Activity]],Types_of_Activity[Type of Activity],Types_of_Activity[Classification])=1,Term3_Early_Dismissal_2[[#This Row],[Elapsed]],0))</f>
        <v/>
      </c>
      <c r="N65" s="106" t="str">
        <f>IF(ISBLANK(Term3_Early_Dismissal_2[[#This Row],[Activity]]),"",IF(_xlfn.XLOOKUP(Term3_Early_Dismissal_2[[#This Row],[Activity]],Types_of_Activity[Type of Activity],Types_of_Activity[Classification])=2,Term3_Early_Dismissal_2[[#This Row],[Elapsed]],0))</f>
        <v/>
      </c>
      <c r="O65"/>
      <c r="P65" s="136"/>
      <c r="Q65" s="136"/>
      <c r="R65" s="103"/>
      <c r="S65" s="106" t="str">
        <f>IF(OR(ISBLANK(Term3_Early_Dismissal_3[[#This Row],[Start]]),ISBLANK(Term3_Early_Dismissal_3[[#This Row],[End]])),"",(Term3_Early_Dismissal_3[[#This Row],[End]]-Term3_Early_Dismissal_3[[#This Row],[Start]])*1440)</f>
        <v/>
      </c>
      <c r="T65" s="106" t="str">
        <f>IF(ISBLANK(Term3_Early_Dismissal_3[[#This Row],[Activity]]),"",IF(_xlfn.XLOOKUP(Term3_Early_Dismissal_3[[#This Row],[Activity]],Types_of_Activity[Type of Activity],Types_of_Activity[Classification])=1,Term3_Early_Dismissal_3[[#This Row],[Elapsed]],0))</f>
        <v/>
      </c>
      <c r="U65" s="106" t="str">
        <f>IF(ISBLANK(Term3_Early_Dismissal_3[[#This Row],[Activity]]),"",IF(_xlfn.XLOOKUP(Term3_Early_Dismissal_3[[#This Row],[Activity]],Types_of_Activity[Type of Activity],Types_of_Activity[Classification])=2,Term3_Early_Dismissal_3[[#This Row],[Elapsed]],0))</f>
        <v/>
      </c>
      <c r="W65" s="136"/>
      <c r="X65" s="136"/>
      <c r="Y65" s="103"/>
      <c r="Z65" s="106" t="str">
        <f>IF(OR(ISBLANK(Term3_Early_Dismissal_4[[#This Row],[Start]]),ISBLANK(Term3_Early_Dismissal_4[[#This Row],[End]])),"",(Term3_Early_Dismissal_4[[#This Row],[End]]-Term3_Early_Dismissal_4[[#This Row],[Start]])*1440)</f>
        <v/>
      </c>
      <c r="AA65" s="106" t="str">
        <f>IF(ISBLANK(Term3_Early_Dismissal_4[[#This Row],[Activity]]),"",IF(_xlfn.XLOOKUP(Term3_Early_Dismissal_4[[#This Row],[Activity]],Types_of_Activity[Type of Activity],Types_of_Activity[Classification])=1,Term3_Early_Dismissal_4[[#This Row],[Elapsed]],0))</f>
        <v/>
      </c>
      <c r="AB65" s="106" t="str">
        <f>IF(ISBLANK(Term3_Early_Dismissal_4[[#This Row],[Activity]]),"",IF(_xlfn.XLOOKUP(Term3_Early_Dismissal_4[[#This Row],[Activity]],Types_of_Activity[Type of Activity],Types_of_Activity[Classification])=2,Term3_Early_Dismissal_4[[#This Row],[Elapsed]],0))</f>
        <v/>
      </c>
      <c r="AD65" s="136"/>
      <c r="AE65" s="136"/>
      <c r="AF65" s="103"/>
      <c r="AG65" s="106" t="str">
        <f>IF(OR(ISBLANK(Term3_Early_Dismissal_5[[#This Row],[Start]]),ISBLANK(Term3_Early_Dismissal_5[[#This Row],[End]])),"",(Term3_Early_Dismissal_5[[#This Row],[End]]-Term3_Early_Dismissal_5[[#This Row],[Start]])*1440)</f>
        <v/>
      </c>
      <c r="AH65" s="106" t="str">
        <f>IF(ISBLANK(Term3_Early_Dismissal_5[[#This Row],[Activity]]),"",IF(_xlfn.XLOOKUP(Term3_Early_Dismissal_5[[#This Row],[Activity]],Types_of_Activity[Type of Activity],Types_of_Activity[Classification])=1,Term3_Early_Dismissal_5[[#This Row],[Elapsed]],0))</f>
        <v/>
      </c>
      <c r="AI65" s="106" t="str">
        <f>IF(ISBLANK(Term3_Early_Dismissal_5[[#This Row],[Activity]]),"",IF(_xlfn.XLOOKUP(Term3_Early_Dismissal_5[[#This Row],[Activity]],Types_of_Activity[Type of Activity],Types_of_Activity[Classification])=2,Term3_Early_Dismissal_5[[#This Row],[Elapsed]],0))</f>
        <v/>
      </c>
      <c r="AK65" s="136"/>
      <c r="AL65" s="136"/>
      <c r="AM65" s="103"/>
      <c r="AN65" s="106" t="str">
        <f>IF(OR(ISBLANK(Term3_Early_Dismissal_6[[#This Row],[Start]]),ISBLANK(Term3_Early_Dismissal_6[[#This Row],[End]])),"",(Term3_Early_Dismissal_6[[#This Row],[End]]-Term3_Early_Dismissal_6[[#This Row],[Start]])*1440)</f>
        <v/>
      </c>
      <c r="AO65" s="106" t="str">
        <f>IF(ISBLANK(Term3_Early_Dismissal_6[[#This Row],[Activity]]),"",IF(_xlfn.XLOOKUP(Term3_Early_Dismissal_6[[#This Row],[Activity]],Types_of_Activity[Type of Activity],Types_of_Activity[Classification])=1,Term3_Early_Dismissal_6[[#This Row],[Elapsed]],0))</f>
        <v/>
      </c>
      <c r="AP65" s="106" t="str">
        <f>IF(ISBLANK(Term3_Early_Dismissal_6[[#This Row],[Activity]]),"",IF(_xlfn.XLOOKUP(Term3_Early_Dismissal_6[[#This Row],[Activity]],Types_of_Activity[Type of Activity],Types_of_Activity[Classification])=2,Term3_Early_Dismissal_6[[#This Row],[Elapsed]],0))</f>
        <v/>
      </c>
    </row>
    <row r="66" spans="2:42" x14ac:dyDescent="0.3">
      <c r="B66" s="136"/>
      <c r="C66" s="136"/>
      <c r="D66" s="103"/>
      <c r="E66" s="106" t="str">
        <f>IF(OR(ISBLANK(Term3_Early_Dismissal_1[[#This Row],[Start]]),ISBLANK(Term3_Early_Dismissal_1[[#This Row],[End]])),"",(Term3_Early_Dismissal_1[[#This Row],[End]]-Term3_Early_Dismissal_1[[#This Row],[Start]])*1440)</f>
        <v/>
      </c>
      <c r="F66" s="106" t="str">
        <f>IF(ISBLANK(Term3_Early_Dismissal_1[[#This Row],[Activity]]),"",IF(_xlfn.XLOOKUP(Term3_Early_Dismissal_1[[#This Row],[Activity]],Types_of_Activity[Type of Activity],Types_of_Activity[Classification])=1,Term3_Early_Dismissal_1[[#This Row],[Elapsed]],0))</f>
        <v/>
      </c>
      <c r="G66" s="106" t="str">
        <f>IF(ISBLANK(Term3_Early_Dismissal_1[[#This Row],[Activity]]),"",IF(_xlfn.XLOOKUP(Term3_Early_Dismissal_1[[#This Row],[Activity]],Types_of_Activity[Type of Activity],Types_of_Activity[Classification])=2,Term3_Early_Dismissal_1[[#This Row],[Elapsed]],0))</f>
        <v/>
      </c>
      <c r="H66"/>
      <c r="I66" s="136"/>
      <c r="J66" s="136"/>
      <c r="K66" s="103"/>
      <c r="L66" s="106" t="str">
        <f>IF(OR(ISBLANK(Term3_Early_Dismissal_2[[#This Row],[Start]]),ISBLANK(Term3_Early_Dismissal_2[[#This Row],[End]])),"",(Term3_Early_Dismissal_2[[#This Row],[End]]-Term3_Early_Dismissal_2[[#This Row],[Start]])*1440)</f>
        <v/>
      </c>
      <c r="M66" s="106" t="str">
        <f>IF(ISBLANK(Term3_Early_Dismissal_2[[#This Row],[Activity]]),"",IF(_xlfn.XLOOKUP(Term3_Early_Dismissal_2[[#This Row],[Activity]],Types_of_Activity[Type of Activity],Types_of_Activity[Classification])=1,Term3_Early_Dismissal_2[[#This Row],[Elapsed]],0))</f>
        <v/>
      </c>
      <c r="N66" s="106" t="str">
        <f>IF(ISBLANK(Term3_Early_Dismissal_2[[#This Row],[Activity]]),"",IF(_xlfn.XLOOKUP(Term3_Early_Dismissal_2[[#This Row],[Activity]],Types_of_Activity[Type of Activity],Types_of_Activity[Classification])=2,Term3_Early_Dismissal_2[[#This Row],[Elapsed]],0))</f>
        <v/>
      </c>
      <c r="O66"/>
      <c r="P66" s="136"/>
      <c r="Q66" s="136"/>
      <c r="R66" s="103"/>
      <c r="S66" s="106" t="str">
        <f>IF(OR(ISBLANK(Term3_Early_Dismissal_3[[#This Row],[Start]]),ISBLANK(Term3_Early_Dismissal_3[[#This Row],[End]])),"",(Term3_Early_Dismissal_3[[#This Row],[End]]-Term3_Early_Dismissal_3[[#This Row],[Start]])*1440)</f>
        <v/>
      </c>
      <c r="T66" s="106" t="str">
        <f>IF(ISBLANK(Term3_Early_Dismissal_3[[#This Row],[Activity]]),"",IF(_xlfn.XLOOKUP(Term3_Early_Dismissal_3[[#This Row],[Activity]],Types_of_Activity[Type of Activity],Types_of_Activity[Classification])=1,Term3_Early_Dismissal_3[[#This Row],[Elapsed]],0))</f>
        <v/>
      </c>
      <c r="U66" s="106" t="str">
        <f>IF(ISBLANK(Term3_Early_Dismissal_3[[#This Row],[Activity]]),"",IF(_xlfn.XLOOKUP(Term3_Early_Dismissal_3[[#This Row],[Activity]],Types_of_Activity[Type of Activity],Types_of_Activity[Classification])=2,Term3_Early_Dismissal_3[[#This Row],[Elapsed]],0))</f>
        <v/>
      </c>
      <c r="W66" s="136"/>
      <c r="X66" s="136"/>
      <c r="Y66" s="103"/>
      <c r="Z66" s="106" t="str">
        <f>IF(OR(ISBLANK(Term3_Early_Dismissal_4[[#This Row],[Start]]),ISBLANK(Term3_Early_Dismissal_4[[#This Row],[End]])),"",(Term3_Early_Dismissal_4[[#This Row],[End]]-Term3_Early_Dismissal_4[[#This Row],[Start]])*1440)</f>
        <v/>
      </c>
      <c r="AA66" s="106" t="str">
        <f>IF(ISBLANK(Term3_Early_Dismissal_4[[#This Row],[Activity]]),"",IF(_xlfn.XLOOKUP(Term3_Early_Dismissal_4[[#This Row],[Activity]],Types_of_Activity[Type of Activity],Types_of_Activity[Classification])=1,Term3_Early_Dismissal_4[[#This Row],[Elapsed]],0))</f>
        <v/>
      </c>
      <c r="AB66" s="106" t="str">
        <f>IF(ISBLANK(Term3_Early_Dismissal_4[[#This Row],[Activity]]),"",IF(_xlfn.XLOOKUP(Term3_Early_Dismissal_4[[#This Row],[Activity]],Types_of_Activity[Type of Activity],Types_of_Activity[Classification])=2,Term3_Early_Dismissal_4[[#This Row],[Elapsed]],0))</f>
        <v/>
      </c>
      <c r="AD66" s="136"/>
      <c r="AE66" s="136"/>
      <c r="AF66" s="103"/>
      <c r="AG66" s="106" t="str">
        <f>IF(OR(ISBLANK(Term3_Early_Dismissal_5[[#This Row],[Start]]),ISBLANK(Term3_Early_Dismissal_5[[#This Row],[End]])),"",(Term3_Early_Dismissal_5[[#This Row],[End]]-Term3_Early_Dismissal_5[[#This Row],[Start]])*1440)</f>
        <v/>
      </c>
      <c r="AH66" s="106" t="str">
        <f>IF(ISBLANK(Term3_Early_Dismissal_5[[#This Row],[Activity]]),"",IF(_xlfn.XLOOKUP(Term3_Early_Dismissal_5[[#This Row],[Activity]],Types_of_Activity[Type of Activity],Types_of_Activity[Classification])=1,Term3_Early_Dismissal_5[[#This Row],[Elapsed]],0))</f>
        <v/>
      </c>
      <c r="AI66" s="106" t="str">
        <f>IF(ISBLANK(Term3_Early_Dismissal_5[[#This Row],[Activity]]),"",IF(_xlfn.XLOOKUP(Term3_Early_Dismissal_5[[#This Row],[Activity]],Types_of_Activity[Type of Activity],Types_of_Activity[Classification])=2,Term3_Early_Dismissal_5[[#This Row],[Elapsed]],0))</f>
        <v/>
      </c>
      <c r="AK66" s="136"/>
      <c r="AL66" s="136"/>
      <c r="AM66" s="103"/>
      <c r="AN66" s="106" t="str">
        <f>IF(OR(ISBLANK(Term3_Early_Dismissal_6[[#This Row],[Start]]),ISBLANK(Term3_Early_Dismissal_6[[#This Row],[End]])),"",(Term3_Early_Dismissal_6[[#This Row],[End]]-Term3_Early_Dismissal_6[[#This Row],[Start]])*1440)</f>
        <v/>
      </c>
      <c r="AO66" s="106" t="str">
        <f>IF(ISBLANK(Term3_Early_Dismissal_6[[#This Row],[Activity]]),"",IF(_xlfn.XLOOKUP(Term3_Early_Dismissal_6[[#This Row],[Activity]],Types_of_Activity[Type of Activity],Types_of_Activity[Classification])=1,Term3_Early_Dismissal_6[[#This Row],[Elapsed]],0))</f>
        <v/>
      </c>
      <c r="AP66" s="106" t="str">
        <f>IF(ISBLANK(Term3_Early_Dismissal_6[[#This Row],[Activity]]),"",IF(_xlfn.XLOOKUP(Term3_Early_Dismissal_6[[#This Row],[Activity]],Types_of_Activity[Type of Activity],Types_of_Activity[Classification])=2,Term3_Early_Dismissal_6[[#This Row],[Elapsed]],0))</f>
        <v/>
      </c>
    </row>
    <row r="67" spans="2:42" x14ac:dyDescent="0.3">
      <c r="B67" s="136"/>
      <c r="C67" s="136"/>
      <c r="D67" s="103"/>
      <c r="E67" s="106" t="str">
        <f>IF(OR(ISBLANK(Term3_Early_Dismissal_1[[#This Row],[Start]]),ISBLANK(Term3_Early_Dismissal_1[[#This Row],[End]])),"",(Term3_Early_Dismissal_1[[#This Row],[End]]-Term3_Early_Dismissal_1[[#This Row],[Start]])*1440)</f>
        <v/>
      </c>
      <c r="F67" s="106" t="str">
        <f>IF(ISBLANK(Term3_Early_Dismissal_1[[#This Row],[Activity]]),"",IF(_xlfn.XLOOKUP(Term3_Early_Dismissal_1[[#This Row],[Activity]],Types_of_Activity[Type of Activity],Types_of_Activity[Classification])=1,Term3_Early_Dismissal_1[[#This Row],[Elapsed]],0))</f>
        <v/>
      </c>
      <c r="G67" s="106" t="str">
        <f>IF(ISBLANK(Term3_Early_Dismissal_1[[#This Row],[Activity]]),"",IF(_xlfn.XLOOKUP(Term3_Early_Dismissal_1[[#This Row],[Activity]],Types_of_Activity[Type of Activity],Types_of_Activity[Classification])=2,Term3_Early_Dismissal_1[[#This Row],[Elapsed]],0))</f>
        <v/>
      </c>
      <c r="H67"/>
      <c r="I67" s="136"/>
      <c r="J67" s="136"/>
      <c r="K67" s="103"/>
      <c r="L67" s="106" t="str">
        <f>IF(OR(ISBLANK(Term3_Early_Dismissal_2[[#This Row],[Start]]),ISBLANK(Term3_Early_Dismissal_2[[#This Row],[End]])),"",(Term3_Early_Dismissal_2[[#This Row],[End]]-Term3_Early_Dismissal_2[[#This Row],[Start]])*1440)</f>
        <v/>
      </c>
      <c r="M67" s="106" t="str">
        <f>IF(ISBLANK(Term3_Early_Dismissal_2[[#This Row],[Activity]]),"",IF(_xlfn.XLOOKUP(Term3_Early_Dismissal_2[[#This Row],[Activity]],Types_of_Activity[Type of Activity],Types_of_Activity[Classification])=1,Term3_Early_Dismissal_2[[#This Row],[Elapsed]],0))</f>
        <v/>
      </c>
      <c r="N67" s="106" t="str">
        <f>IF(ISBLANK(Term3_Early_Dismissal_2[[#This Row],[Activity]]),"",IF(_xlfn.XLOOKUP(Term3_Early_Dismissal_2[[#This Row],[Activity]],Types_of_Activity[Type of Activity],Types_of_Activity[Classification])=2,Term3_Early_Dismissal_2[[#This Row],[Elapsed]],0))</f>
        <v/>
      </c>
      <c r="O67"/>
      <c r="P67" s="136"/>
      <c r="Q67" s="136"/>
      <c r="R67" s="103"/>
      <c r="S67" s="106" t="str">
        <f>IF(OR(ISBLANK(Term3_Early_Dismissal_3[[#This Row],[Start]]),ISBLANK(Term3_Early_Dismissal_3[[#This Row],[End]])),"",(Term3_Early_Dismissal_3[[#This Row],[End]]-Term3_Early_Dismissal_3[[#This Row],[Start]])*1440)</f>
        <v/>
      </c>
      <c r="T67" s="106" t="str">
        <f>IF(ISBLANK(Term3_Early_Dismissal_3[[#This Row],[Activity]]),"",IF(_xlfn.XLOOKUP(Term3_Early_Dismissal_3[[#This Row],[Activity]],Types_of_Activity[Type of Activity],Types_of_Activity[Classification])=1,Term3_Early_Dismissal_3[[#This Row],[Elapsed]],0))</f>
        <v/>
      </c>
      <c r="U67" s="106" t="str">
        <f>IF(ISBLANK(Term3_Early_Dismissal_3[[#This Row],[Activity]]),"",IF(_xlfn.XLOOKUP(Term3_Early_Dismissal_3[[#This Row],[Activity]],Types_of_Activity[Type of Activity],Types_of_Activity[Classification])=2,Term3_Early_Dismissal_3[[#This Row],[Elapsed]],0))</f>
        <v/>
      </c>
      <c r="W67" s="136"/>
      <c r="X67" s="136"/>
      <c r="Y67" s="103"/>
      <c r="Z67" s="106" t="str">
        <f>IF(OR(ISBLANK(Term3_Early_Dismissal_4[[#This Row],[Start]]),ISBLANK(Term3_Early_Dismissal_4[[#This Row],[End]])),"",(Term3_Early_Dismissal_4[[#This Row],[End]]-Term3_Early_Dismissal_4[[#This Row],[Start]])*1440)</f>
        <v/>
      </c>
      <c r="AA67" s="106" t="str">
        <f>IF(ISBLANK(Term3_Early_Dismissal_4[[#This Row],[Activity]]),"",IF(_xlfn.XLOOKUP(Term3_Early_Dismissal_4[[#This Row],[Activity]],Types_of_Activity[Type of Activity],Types_of_Activity[Classification])=1,Term3_Early_Dismissal_4[[#This Row],[Elapsed]],0))</f>
        <v/>
      </c>
      <c r="AB67" s="106" t="str">
        <f>IF(ISBLANK(Term3_Early_Dismissal_4[[#This Row],[Activity]]),"",IF(_xlfn.XLOOKUP(Term3_Early_Dismissal_4[[#This Row],[Activity]],Types_of_Activity[Type of Activity],Types_of_Activity[Classification])=2,Term3_Early_Dismissal_4[[#This Row],[Elapsed]],0))</f>
        <v/>
      </c>
      <c r="AD67" s="136"/>
      <c r="AE67" s="136"/>
      <c r="AF67" s="103"/>
      <c r="AG67" s="106" t="str">
        <f>IF(OR(ISBLANK(Term3_Early_Dismissal_5[[#This Row],[Start]]),ISBLANK(Term3_Early_Dismissal_5[[#This Row],[End]])),"",(Term3_Early_Dismissal_5[[#This Row],[End]]-Term3_Early_Dismissal_5[[#This Row],[Start]])*1440)</f>
        <v/>
      </c>
      <c r="AH67" s="106" t="str">
        <f>IF(ISBLANK(Term3_Early_Dismissal_5[[#This Row],[Activity]]),"",IF(_xlfn.XLOOKUP(Term3_Early_Dismissal_5[[#This Row],[Activity]],Types_of_Activity[Type of Activity],Types_of_Activity[Classification])=1,Term3_Early_Dismissal_5[[#This Row],[Elapsed]],0))</f>
        <v/>
      </c>
      <c r="AI67" s="106" t="str">
        <f>IF(ISBLANK(Term3_Early_Dismissal_5[[#This Row],[Activity]]),"",IF(_xlfn.XLOOKUP(Term3_Early_Dismissal_5[[#This Row],[Activity]],Types_of_Activity[Type of Activity],Types_of_Activity[Classification])=2,Term3_Early_Dismissal_5[[#This Row],[Elapsed]],0))</f>
        <v/>
      </c>
      <c r="AK67" s="136"/>
      <c r="AL67" s="136"/>
      <c r="AM67" s="103"/>
      <c r="AN67" s="106" t="str">
        <f>IF(OR(ISBLANK(Term3_Early_Dismissal_6[[#This Row],[Start]]),ISBLANK(Term3_Early_Dismissal_6[[#This Row],[End]])),"",(Term3_Early_Dismissal_6[[#This Row],[End]]-Term3_Early_Dismissal_6[[#This Row],[Start]])*1440)</f>
        <v/>
      </c>
      <c r="AO67" s="106" t="str">
        <f>IF(ISBLANK(Term3_Early_Dismissal_6[[#This Row],[Activity]]),"",IF(_xlfn.XLOOKUP(Term3_Early_Dismissal_6[[#This Row],[Activity]],Types_of_Activity[Type of Activity],Types_of_Activity[Classification])=1,Term3_Early_Dismissal_6[[#This Row],[Elapsed]],0))</f>
        <v/>
      </c>
      <c r="AP67" s="106" t="str">
        <f>IF(ISBLANK(Term3_Early_Dismissal_6[[#This Row],[Activity]]),"",IF(_xlfn.XLOOKUP(Term3_Early_Dismissal_6[[#This Row],[Activity]],Types_of_Activity[Type of Activity],Types_of_Activity[Classification])=2,Term3_Early_Dismissal_6[[#This Row],[Elapsed]],0))</f>
        <v/>
      </c>
    </row>
    <row r="68" spans="2:42" x14ac:dyDescent="0.3">
      <c r="B68" s="136"/>
      <c r="C68" s="136"/>
      <c r="D68" s="103"/>
      <c r="E68" s="106" t="str">
        <f>IF(OR(ISBLANK(Term3_Early_Dismissal_1[[#This Row],[Start]]),ISBLANK(Term3_Early_Dismissal_1[[#This Row],[End]])),"",(Term3_Early_Dismissal_1[[#This Row],[End]]-Term3_Early_Dismissal_1[[#This Row],[Start]])*1440)</f>
        <v/>
      </c>
      <c r="F68" s="106" t="str">
        <f>IF(ISBLANK(Term3_Early_Dismissal_1[[#This Row],[Activity]]),"",IF(_xlfn.XLOOKUP(Term3_Early_Dismissal_1[[#This Row],[Activity]],Types_of_Activity[Type of Activity],Types_of_Activity[Classification])=1,Term3_Early_Dismissal_1[[#This Row],[Elapsed]],0))</f>
        <v/>
      </c>
      <c r="G68" s="106" t="str">
        <f>IF(ISBLANK(Term3_Early_Dismissal_1[[#This Row],[Activity]]),"",IF(_xlfn.XLOOKUP(Term3_Early_Dismissal_1[[#This Row],[Activity]],Types_of_Activity[Type of Activity],Types_of_Activity[Classification])=2,Term3_Early_Dismissal_1[[#This Row],[Elapsed]],0))</f>
        <v/>
      </c>
      <c r="H68"/>
      <c r="I68" s="136"/>
      <c r="J68" s="136"/>
      <c r="K68" s="103"/>
      <c r="L68" s="106" t="str">
        <f>IF(OR(ISBLANK(Term3_Early_Dismissal_2[[#This Row],[Start]]),ISBLANK(Term3_Early_Dismissal_2[[#This Row],[End]])),"",(Term3_Early_Dismissal_2[[#This Row],[End]]-Term3_Early_Dismissal_2[[#This Row],[Start]])*1440)</f>
        <v/>
      </c>
      <c r="M68" s="106" t="str">
        <f>IF(ISBLANK(Term3_Early_Dismissal_2[[#This Row],[Activity]]),"",IF(_xlfn.XLOOKUP(Term3_Early_Dismissal_2[[#This Row],[Activity]],Types_of_Activity[Type of Activity],Types_of_Activity[Classification])=1,Term3_Early_Dismissal_2[[#This Row],[Elapsed]],0))</f>
        <v/>
      </c>
      <c r="N68" s="106" t="str">
        <f>IF(ISBLANK(Term3_Early_Dismissal_2[[#This Row],[Activity]]),"",IF(_xlfn.XLOOKUP(Term3_Early_Dismissal_2[[#This Row],[Activity]],Types_of_Activity[Type of Activity],Types_of_Activity[Classification])=2,Term3_Early_Dismissal_2[[#This Row],[Elapsed]],0))</f>
        <v/>
      </c>
      <c r="O68"/>
      <c r="P68" s="136"/>
      <c r="Q68" s="136"/>
      <c r="R68" s="103"/>
      <c r="S68" s="106" t="str">
        <f>IF(OR(ISBLANK(Term3_Early_Dismissal_3[[#This Row],[Start]]),ISBLANK(Term3_Early_Dismissal_3[[#This Row],[End]])),"",(Term3_Early_Dismissal_3[[#This Row],[End]]-Term3_Early_Dismissal_3[[#This Row],[Start]])*1440)</f>
        <v/>
      </c>
      <c r="T68" s="106" t="str">
        <f>IF(ISBLANK(Term3_Early_Dismissal_3[[#This Row],[Activity]]),"",IF(_xlfn.XLOOKUP(Term3_Early_Dismissal_3[[#This Row],[Activity]],Types_of_Activity[Type of Activity],Types_of_Activity[Classification])=1,Term3_Early_Dismissal_3[[#This Row],[Elapsed]],0))</f>
        <v/>
      </c>
      <c r="U68" s="106" t="str">
        <f>IF(ISBLANK(Term3_Early_Dismissal_3[[#This Row],[Activity]]),"",IF(_xlfn.XLOOKUP(Term3_Early_Dismissal_3[[#This Row],[Activity]],Types_of_Activity[Type of Activity],Types_of_Activity[Classification])=2,Term3_Early_Dismissal_3[[#This Row],[Elapsed]],0))</f>
        <v/>
      </c>
      <c r="W68" s="136"/>
      <c r="X68" s="136"/>
      <c r="Y68" s="103"/>
      <c r="Z68" s="106" t="str">
        <f>IF(OR(ISBLANK(Term3_Early_Dismissal_4[[#This Row],[Start]]),ISBLANK(Term3_Early_Dismissal_4[[#This Row],[End]])),"",(Term3_Early_Dismissal_4[[#This Row],[End]]-Term3_Early_Dismissal_4[[#This Row],[Start]])*1440)</f>
        <v/>
      </c>
      <c r="AA68" s="106" t="str">
        <f>IF(ISBLANK(Term3_Early_Dismissal_4[[#This Row],[Activity]]),"",IF(_xlfn.XLOOKUP(Term3_Early_Dismissal_4[[#This Row],[Activity]],Types_of_Activity[Type of Activity],Types_of_Activity[Classification])=1,Term3_Early_Dismissal_4[[#This Row],[Elapsed]],0))</f>
        <v/>
      </c>
      <c r="AB68" s="106" t="str">
        <f>IF(ISBLANK(Term3_Early_Dismissal_4[[#This Row],[Activity]]),"",IF(_xlfn.XLOOKUP(Term3_Early_Dismissal_4[[#This Row],[Activity]],Types_of_Activity[Type of Activity],Types_of_Activity[Classification])=2,Term3_Early_Dismissal_4[[#This Row],[Elapsed]],0))</f>
        <v/>
      </c>
      <c r="AD68" s="136"/>
      <c r="AE68" s="136"/>
      <c r="AF68" s="103"/>
      <c r="AG68" s="106" t="str">
        <f>IF(OR(ISBLANK(Term3_Early_Dismissal_5[[#This Row],[Start]]),ISBLANK(Term3_Early_Dismissal_5[[#This Row],[End]])),"",(Term3_Early_Dismissal_5[[#This Row],[End]]-Term3_Early_Dismissal_5[[#This Row],[Start]])*1440)</f>
        <v/>
      </c>
      <c r="AH68" s="106" t="str">
        <f>IF(ISBLANK(Term3_Early_Dismissal_5[[#This Row],[Activity]]),"",IF(_xlfn.XLOOKUP(Term3_Early_Dismissal_5[[#This Row],[Activity]],Types_of_Activity[Type of Activity],Types_of_Activity[Classification])=1,Term3_Early_Dismissal_5[[#This Row],[Elapsed]],0))</f>
        <v/>
      </c>
      <c r="AI68" s="106" t="str">
        <f>IF(ISBLANK(Term3_Early_Dismissal_5[[#This Row],[Activity]]),"",IF(_xlfn.XLOOKUP(Term3_Early_Dismissal_5[[#This Row],[Activity]],Types_of_Activity[Type of Activity],Types_of_Activity[Classification])=2,Term3_Early_Dismissal_5[[#This Row],[Elapsed]],0))</f>
        <v/>
      </c>
      <c r="AK68" s="136"/>
      <c r="AL68" s="136"/>
      <c r="AM68" s="103"/>
      <c r="AN68" s="106" t="str">
        <f>IF(OR(ISBLANK(Term3_Early_Dismissal_6[[#This Row],[Start]]),ISBLANK(Term3_Early_Dismissal_6[[#This Row],[End]])),"",(Term3_Early_Dismissal_6[[#This Row],[End]]-Term3_Early_Dismissal_6[[#This Row],[Start]])*1440)</f>
        <v/>
      </c>
      <c r="AO68" s="106" t="str">
        <f>IF(ISBLANK(Term3_Early_Dismissal_6[[#This Row],[Activity]]),"",IF(_xlfn.XLOOKUP(Term3_Early_Dismissal_6[[#This Row],[Activity]],Types_of_Activity[Type of Activity],Types_of_Activity[Classification])=1,Term3_Early_Dismissal_6[[#This Row],[Elapsed]],0))</f>
        <v/>
      </c>
      <c r="AP68" s="106" t="str">
        <f>IF(ISBLANK(Term3_Early_Dismissal_6[[#This Row],[Activity]]),"",IF(_xlfn.XLOOKUP(Term3_Early_Dismissal_6[[#This Row],[Activity]],Types_of_Activity[Type of Activity],Types_of_Activity[Classification])=2,Term3_Early_Dismissal_6[[#This Row],[Elapsed]],0))</f>
        <v/>
      </c>
    </row>
    <row r="69" spans="2:42" x14ac:dyDescent="0.3">
      <c r="B69" s="136"/>
      <c r="C69" s="136"/>
      <c r="D69" s="103"/>
      <c r="E69" s="106" t="str">
        <f>IF(OR(ISBLANK(Term3_Early_Dismissal_1[[#This Row],[Start]]),ISBLANK(Term3_Early_Dismissal_1[[#This Row],[End]])),"",(Term3_Early_Dismissal_1[[#This Row],[End]]-Term3_Early_Dismissal_1[[#This Row],[Start]])*1440)</f>
        <v/>
      </c>
      <c r="F69" s="106" t="str">
        <f>IF(ISBLANK(Term3_Early_Dismissal_1[[#This Row],[Activity]]),"",IF(_xlfn.XLOOKUP(Term3_Early_Dismissal_1[[#This Row],[Activity]],Types_of_Activity[Type of Activity],Types_of_Activity[Classification])=1,Term3_Early_Dismissal_1[[#This Row],[Elapsed]],0))</f>
        <v/>
      </c>
      <c r="G69" s="106" t="str">
        <f>IF(ISBLANK(Term3_Early_Dismissal_1[[#This Row],[Activity]]),"",IF(_xlfn.XLOOKUP(Term3_Early_Dismissal_1[[#This Row],[Activity]],Types_of_Activity[Type of Activity],Types_of_Activity[Classification])=2,Term3_Early_Dismissal_1[[#This Row],[Elapsed]],0))</f>
        <v/>
      </c>
      <c r="H69"/>
      <c r="I69" s="136"/>
      <c r="J69" s="136"/>
      <c r="K69" s="103"/>
      <c r="L69" s="106" t="str">
        <f>IF(OR(ISBLANK(Term3_Early_Dismissal_2[[#This Row],[Start]]),ISBLANK(Term3_Early_Dismissal_2[[#This Row],[End]])),"",(Term3_Early_Dismissal_2[[#This Row],[End]]-Term3_Early_Dismissal_2[[#This Row],[Start]])*1440)</f>
        <v/>
      </c>
      <c r="M69" s="106" t="str">
        <f>IF(ISBLANK(Term3_Early_Dismissal_2[[#This Row],[Activity]]),"",IF(_xlfn.XLOOKUP(Term3_Early_Dismissal_2[[#This Row],[Activity]],Types_of_Activity[Type of Activity],Types_of_Activity[Classification])=1,Term3_Early_Dismissal_2[[#This Row],[Elapsed]],0))</f>
        <v/>
      </c>
      <c r="N69" s="106" t="str">
        <f>IF(ISBLANK(Term3_Early_Dismissal_2[[#This Row],[Activity]]),"",IF(_xlfn.XLOOKUP(Term3_Early_Dismissal_2[[#This Row],[Activity]],Types_of_Activity[Type of Activity],Types_of_Activity[Classification])=2,Term3_Early_Dismissal_2[[#This Row],[Elapsed]],0))</f>
        <v/>
      </c>
      <c r="O69"/>
      <c r="P69" s="136"/>
      <c r="Q69" s="136"/>
      <c r="R69" s="103"/>
      <c r="S69" s="106" t="str">
        <f>IF(OR(ISBLANK(Term3_Early_Dismissal_3[[#This Row],[Start]]),ISBLANK(Term3_Early_Dismissal_3[[#This Row],[End]])),"",(Term3_Early_Dismissal_3[[#This Row],[End]]-Term3_Early_Dismissal_3[[#This Row],[Start]])*1440)</f>
        <v/>
      </c>
      <c r="T69" s="106" t="str">
        <f>IF(ISBLANK(Term3_Early_Dismissal_3[[#This Row],[Activity]]),"",IF(_xlfn.XLOOKUP(Term3_Early_Dismissal_3[[#This Row],[Activity]],Types_of_Activity[Type of Activity],Types_of_Activity[Classification])=1,Term3_Early_Dismissal_3[[#This Row],[Elapsed]],0))</f>
        <v/>
      </c>
      <c r="U69" s="106" t="str">
        <f>IF(ISBLANK(Term3_Early_Dismissal_3[[#This Row],[Activity]]),"",IF(_xlfn.XLOOKUP(Term3_Early_Dismissal_3[[#This Row],[Activity]],Types_of_Activity[Type of Activity],Types_of_Activity[Classification])=2,Term3_Early_Dismissal_3[[#This Row],[Elapsed]],0))</f>
        <v/>
      </c>
      <c r="W69" s="136"/>
      <c r="X69" s="136"/>
      <c r="Y69" s="103"/>
      <c r="Z69" s="106" t="str">
        <f>IF(OR(ISBLANK(Term3_Early_Dismissal_4[[#This Row],[Start]]),ISBLANK(Term3_Early_Dismissal_4[[#This Row],[End]])),"",(Term3_Early_Dismissal_4[[#This Row],[End]]-Term3_Early_Dismissal_4[[#This Row],[Start]])*1440)</f>
        <v/>
      </c>
      <c r="AA69" s="106" t="str">
        <f>IF(ISBLANK(Term3_Early_Dismissal_4[[#This Row],[Activity]]),"",IF(_xlfn.XLOOKUP(Term3_Early_Dismissal_4[[#This Row],[Activity]],Types_of_Activity[Type of Activity],Types_of_Activity[Classification])=1,Term3_Early_Dismissal_4[[#This Row],[Elapsed]],0))</f>
        <v/>
      </c>
      <c r="AB69" s="106" t="str">
        <f>IF(ISBLANK(Term3_Early_Dismissal_4[[#This Row],[Activity]]),"",IF(_xlfn.XLOOKUP(Term3_Early_Dismissal_4[[#This Row],[Activity]],Types_of_Activity[Type of Activity],Types_of_Activity[Classification])=2,Term3_Early_Dismissal_4[[#This Row],[Elapsed]],0))</f>
        <v/>
      </c>
      <c r="AD69" s="136"/>
      <c r="AE69" s="136"/>
      <c r="AF69" s="103"/>
      <c r="AG69" s="106" t="str">
        <f>IF(OR(ISBLANK(Term3_Early_Dismissal_5[[#This Row],[Start]]),ISBLANK(Term3_Early_Dismissal_5[[#This Row],[End]])),"",(Term3_Early_Dismissal_5[[#This Row],[End]]-Term3_Early_Dismissal_5[[#This Row],[Start]])*1440)</f>
        <v/>
      </c>
      <c r="AH69" s="106" t="str">
        <f>IF(ISBLANK(Term3_Early_Dismissal_5[[#This Row],[Activity]]),"",IF(_xlfn.XLOOKUP(Term3_Early_Dismissal_5[[#This Row],[Activity]],Types_of_Activity[Type of Activity],Types_of_Activity[Classification])=1,Term3_Early_Dismissal_5[[#This Row],[Elapsed]],0))</f>
        <v/>
      </c>
      <c r="AI69" s="106" t="str">
        <f>IF(ISBLANK(Term3_Early_Dismissal_5[[#This Row],[Activity]]),"",IF(_xlfn.XLOOKUP(Term3_Early_Dismissal_5[[#This Row],[Activity]],Types_of_Activity[Type of Activity],Types_of_Activity[Classification])=2,Term3_Early_Dismissal_5[[#This Row],[Elapsed]],0))</f>
        <v/>
      </c>
      <c r="AK69" s="136"/>
      <c r="AL69" s="136"/>
      <c r="AM69" s="103"/>
      <c r="AN69" s="106" t="str">
        <f>IF(OR(ISBLANK(Term3_Early_Dismissal_6[[#This Row],[Start]]),ISBLANK(Term3_Early_Dismissal_6[[#This Row],[End]])),"",(Term3_Early_Dismissal_6[[#This Row],[End]]-Term3_Early_Dismissal_6[[#This Row],[Start]])*1440)</f>
        <v/>
      </c>
      <c r="AO69" s="106" t="str">
        <f>IF(ISBLANK(Term3_Early_Dismissal_6[[#This Row],[Activity]]),"",IF(_xlfn.XLOOKUP(Term3_Early_Dismissal_6[[#This Row],[Activity]],Types_of_Activity[Type of Activity],Types_of_Activity[Classification])=1,Term3_Early_Dismissal_6[[#This Row],[Elapsed]],0))</f>
        <v/>
      </c>
      <c r="AP69" s="106" t="str">
        <f>IF(ISBLANK(Term3_Early_Dismissal_6[[#This Row],[Activity]]),"",IF(_xlfn.XLOOKUP(Term3_Early_Dismissal_6[[#This Row],[Activity]],Types_of_Activity[Type of Activity],Types_of_Activity[Classification])=2,Term3_Early_Dismissal_6[[#This Row],[Elapsed]],0))</f>
        <v/>
      </c>
    </row>
    <row r="70" spans="2:42" x14ac:dyDescent="0.3">
      <c r="B70" s="136"/>
      <c r="C70" s="136"/>
      <c r="D70" s="103"/>
      <c r="E70" s="106" t="str">
        <f>IF(OR(ISBLANK(Term3_Early_Dismissal_1[[#This Row],[Start]]),ISBLANK(Term3_Early_Dismissal_1[[#This Row],[End]])),"",(Term3_Early_Dismissal_1[[#This Row],[End]]-Term3_Early_Dismissal_1[[#This Row],[Start]])*1440)</f>
        <v/>
      </c>
      <c r="F70" s="106" t="str">
        <f>IF(ISBLANK(Term3_Early_Dismissal_1[[#This Row],[Activity]]),"",IF(_xlfn.XLOOKUP(Term3_Early_Dismissal_1[[#This Row],[Activity]],Types_of_Activity[Type of Activity],Types_of_Activity[Classification])=1,Term3_Early_Dismissal_1[[#This Row],[Elapsed]],0))</f>
        <v/>
      </c>
      <c r="G70" s="106" t="str">
        <f>IF(ISBLANK(Term3_Early_Dismissal_1[[#This Row],[Activity]]),"",IF(_xlfn.XLOOKUP(Term3_Early_Dismissal_1[[#This Row],[Activity]],Types_of_Activity[Type of Activity],Types_of_Activity[Classification])=2,Term3_Early_Dismissal_1[[#This Row],[Elapsed]],0))</f>
        <v/>
      </c>
      <c r="H70"/>
      <c r="I70" s="136"/>
      <c r="J70" s="136"/>
      <c r="K70" s="103"/>
      <c r="L70" s="106" t="str">
        <f>IF(OR(ISBLANK(Term3_Early_Dismissal_2[[#This Row],[Start]]),ISBLANK(Term3_Early_Dismissal_2[[#This Row],[End]])),"",(Term3_Early_Dismissal_2[[#This Row],[End]]-Term3_Early_Dismissal_2[[#This Row],[Start]])*1440)</f>
        <v/>
      </c>
      <c r="M70" s="106" t="str">
        <f>IF(ISBLANK(Term3_Early_Dismissal_2[[#This Row],[Activity]]),"",IF(_xlfn.XLOOKUP(Term3_Early_Dismissal_2[[#This Row],[Activity]],Types_of_Activity[Type of Activity],Types_of_Activity[Classification])=1,Term3_Early_Dismissal_2[[#This Row],[Elapsed]],0))</f>
        <v/>
      </c>
      <c r="N70" s="106" t="str">
        <f>IF(ISBLANK(Term3_Early_Dismissal_2[[#This Row],[Activity]]),"",IF(_xlfn.XLOOKUP(Term3_Early_Dismissal_2[[#This Row],[Activity]],Types_of_Activity[Type of Activity],Types_of_Activity[Classification])=2,Term3_Early_Dismissal_2[[#This Row],[Elapsed]],0))</f>
        <v/>
      </c>
      <c r="O70"/>
      <c r="P70" s="136"/>
      <c r="Q70" s="136"/>
      <c r="R70" s="103"/>
      <c r="S70" s="106" t="str">
        <f>IF(OR(ISBLANK(Term3_Early_Dismissal_3[[#This Row],[Start]]),ISBLANK(Term3_Early_Dismissal_3[[#This Row],[End]])),"",(Term3_Early_Dismissal_3[[#This Row],[End]]-Term3_Early_Dismissal_3[[#This Row],[Start]])*1440)</f>
        <v/>
      </c>
      <c r="T70" s="106" t="str">
        <f>IF(ISBLANK(Term3_Early_Dismissal_3[[#This Row],[Activity]]),"",IF(_xlfn.XLOOKUP(Term3_Early_Dismissal_3[[#This Row],[Activity]],Types_of_Activity[Type of Activity],Types_of_Activity[Classification])=1,Term3_Early_Dismissal_3[[#This Row],[Elapsed]],0))</f>
        <v/>
      </c>
      <c r="U70" s="106" t="str">
        <f>IF(ISBLANK(Term3_Early_Dismissal_3[[#This Row],[Activity]]),"",IF(_xlfn.XLOOKUP(Term3_Early_Dismissal_3[[#This Row],[Activity]],Types_of_Activity[Type of Activity],Types_of_Activity[Classification])=2,Term3_Early_Dismissal_3[[#This Row],[Elapsed]],0))</f>
        <v/>
      </c>
      <c r="W70" s="136"/>
      <c r="X70" s="136"/>
      <c r="Y70" s="103"/>
      <c r="Z70" s="106" t="str">
        <f>IF(OR(ISBLANK(Term3_Early_Dismissal_4[[#This Row],[Start]]),ISBLANK(Term3_Early_Dismissal_4[[#This Row],[End]])),"",(Term3_Early_Dismissal_4[[#This Row],[End]]-Term3_Early_Dismissal_4[[#This Row],[Start]])*1440)</f>
        <v/>
      </c>
      <c r="AA70" s="106" t="str">
        <f>IF(ISBLANK(Term3_Early_Dismissal_4[[#This Row],[Activity]]),"",IF(_xlfn.XLOOKUP(Term3_Early_Dismissal_4[[#This Row],[Activity]],Types_of_Activity[Type of Activity],Types_of_Activity[Classification])=1,Term3_Early_Dismissal_4[[#This Row],[Elapsed]],0))</f>
        <v/>
      </c>
      <c r="AB70" s="106" t="str">
        <f>IF(ISBLANK(Term3_Early_Dismissal_4[[#This Row],[Activity]]),"",IF(_xlfn.XLOOKUP(Term3_Early_Dismissal_4[[#This Row],[Activity]],Types_of_Activity[Type of Activity],Types_of_Activity[Classification])=2,Term3_Early_Dismissal_4[[#This Row],[Elapsed]],0))</f>
        <v/>
      </c>
      <c r="AD70" s="136"/>
      <c r="AE70" s="136"/>
      <c r="AF70" s="103"/>
      <c r="AG70" s="106" t="str">
        <f>IF(OR(ISBLANK(Term3_Early_Dismissal_5[[#This Row],[Start]]),ISBLANK(Term3_Early_Dismissal_5[[#This Row],[End]])),"",(Term3_Early_Dismissal_5[[#This Row],[End]]-Term3_Early_Dismissal_5[[#This Row],[Start]])*1440)</f>
        <v/>
      </c>
      <c r="AH70" s="106" t="str">
        <f>IF(ISBLANK(Term3_Early_Dismissal_5[[#This Row],[Activity]]),"",IF(_xlfn.XLOOKUP(Term3_Early_Dismissal_5[[#This Row],[Activity]],Types_of_Activity[Type of Activity],Types_of_Activity[Classification])=1,Term3_Early_Dismissal_5[[#This Row],[Elapsed]],0))</f>
        <v/>
      </c>
      <c r="AI70" s="106" t="str">
        <f>IF(ISBLANK(Term3_Early_Dismissal_5[[#This Row],[Activity]]),"",IF(_xlfn.XLOOKUP(Term3_Early_Dismissal_5[[#This Row],[Activity]],Types_of_Activity[Type of Activity],Types_of_Activity[Classification])=2,Term3_Early_Dismissal_5[[#This Row],[Elapsed]],0))</f>
        <v/>
      </c>
      <c r="AK70" s="136"/>
      <c r="AL70" s="136"/>
      <c r="AM70" s="103"/>
      <c r="AN70" s="106" t="str">
        <f>IF(OR(ISBLANK(Term3_Early_Dismissal_6[[#This Row],[Start]]),ISBLANK(Term3_Early_Dismissal_6[[#This Row],[End]])),"",(Term3_Early_Dismissal_6[[#This Row],[End]]-Term3_Early_Dismissal_6[[#This Row],[Start]])*1440)</f>
        <v/>
      </c>
      <c r="AO70" s="106" t="str">
        <f>IF(ISBLANK(Term3_Early_Dismissal_6[[#This Row],[Activity]]),"",IF(_xlfn.XLOOKUP(Term3_Early_Dismissal_6[[#This Row],[Activity]],Types_of_Activity[Type of Activity],Types_of_Activity[Classification])=1,Term3_Early_Dismissal_6[[#This Row],[Elapsed]],0))</f>
        <v/>
      </c>
      <c r="AP70" s="106" t="str">
        <f>IF(ISBLANK(Term3_Early_Dismissal_6[[#This Row],[Activity]]),"",IF(_xlfn.XLOOKUP(Term3_Early_Dismissal_6[[#This Row],[Activity]],Types_of_Activity[Type of Activity],Types_of_Activity[Classification])=2,Term3_Early_Dismissal_6[[#This Row],[Elapsed]],0))</f>
        <v/>
      </c>
    </row>
    <row r="71" spans="2:42" x14ac:dyDescent="0.3">
      <c r="B71" s="136"/>
      <c r="C71" s="136"/>
      <c r="D71" s="103"/>
      <c r="E71" s="106" t="str">
        <f>IF(OR(ISBLANK(Term3_Early_Dismissal_1[[#This Row],[Start]]),ISBLANK(Term3_Early_Dismissal_1[[#This Row],[End]])),"",(Term3_Early_Dismissal_1[[#This Row],[End]]-Term3_Early_Dismissal_1[[#This Row],[Start]])*1440)</f>
        <v/>
      </c>
      <c r="F71" s="106" t="str">
        <f>IF(ISBLANK(Term3_Early_Dismissal_1[[#This Row],[Activity]]),"",IF(_xlfn.XLOOKUP(Term3_Early_Dismissal_1[[#This Row],[Activity]],Types_of_Activity[Type of Activity],Types_of_Activity[Classification])=1,Term3_Early_Dismissal_1[[#This Row],[Elapsed]],0))</f>
        <v/>
      </c>
      <c r="G71" s="106" t="str">
        <f>IF(ISBLANK(Term3_Early_Dismissal_1[[#This Row],[Activity]]),"",IF(_xlfn.XLOOKUP(Term3_Early_Dismissal_1[[#This Row],[Activity]],Types_of_Activity[Type of Activity],Types_of_Activity[Classification])=2,Term3_Early_Dismissal_1[[#This Row],[Elapsed]],0))</f>
        <v/>
      </c>
      <c r="H71"/>
      <c r="I71" s="136"/>
      <c r="J71" s="136"/>
      <c r="K71" s="103"/>
      <c r="L71" s="106" t="str">
        <f>IF(OR(ISBLANK(Term3_Early_Dismissal_2[[#This Row],[Start]]),ISBLANK(Term3_Early_Dismissal_2[[#This Row],[End]])),"",(Term3_Early_Dismissal_2[[#This Row],[End]]-Term3_Early_Dismissal_2[[#This Row],[Start]])*1440)</f>
        <v/>
      </c>
      <c r="M71" s="106" t="str">
        <f>IF(ISBLANK(Term3_Early_Dismissal_2[[#This Row],[Activity]]),"",IF(_xlfn.XLOOKUP(Term3_Early_Dismissal_2[[#This Row],[Activity]],Types_of_Activity[Type of Activity],Types_of_Activity[Classification])=1,Term3_Early_Dismissal_2[[#This Row],[Elapsed]],0))</f>
        <v/>
      </c>
      <c r="N71" s="106" t="str">
        <f>IF(ISBLANK(Term3_Early_Dismissal_2[[#This Row],[Activity]]),"",IF(_xlfn.XLOOKUP(Term3_Early_Dismissal_2[[#This Row],[Activity]],Types_of_Activity[Type of Activity],Types_of_Activity[Classification])=2,Term3_Early_Dismissal_2[[#This Row],[Elapsed]],0))</f>
        <v/>
      </c>
      <c r="O71"/>
      <c r="P71" s="136"/>
      <c r="Q71" s="136"/>
      <c r="R71" s="103"/>
      <c r="S71" s="106" t="str">
        <f>IF(OR(ISBLANK(Term3_Early_Dismissal_3[[#This Row],[Start]]),ISBLANK(Term3_Early_Dismissal_3[[#This Row],[End]])),"",(Term3_Early_Dismissal_3[[#This Row],[End]]-Term3_Early_Dismissal_3[[#This Row],[Start]])*1440)</f>
        <v/>
      </c>
      <c r="T71" s="106" t="str">
        <f>IF(ISBLANK(Term3_Early_Dismissal_3[[#This Row],[Activity]]),"",IF(_xlfn.XLOOKUP(Term3_Early_Dismissal_3[[#This Row],[Activity]],Types_of_Activity[Type of Activity],Types_of_Activity[Classification])=1,Term3_Early_Dismissal_3[[#This Row],[Elapsed]],0))</f>
        <v/>
      </c>
      <c r="U71" s="106" t="str">
        <f>IF(ISBLANK(Term3_Early_Dismissal_3[[#This Row],[Activity]]),"",IF(_xlfn.XLOOKUP(Term3_Early_Dismissal_3[[#This Row],[Activity]],Types_of_Activity[Type of Activity],Types_of_Activity[Classification])=2,Term3_Early_Dismissal_3[[#This Row],[Elapsed]],0))</f>
        <v/>
      </c>
      <c r="W71" s="136"/>
      <c r="X71" s="136"/>
      <c r="Y71" s="103"/>
      <c r="Z71" s="106" t="str">
        <f>IF(OR(ISBLANK(Term3_Early_Dismissal_4[[#This Row],[Start]]),ISBLANK(Term3_Early_Dismissal_4[[#This Row],[End]])),"",(Term3_Early_Dismissal_4[[#This Row],[End]]-Term3_Early_Dismissal_4[[#This Row],[Start]])*1440)</f>
        <v/>
      </c>
      <c r="AA71" s="106" t="str">
        <f>IF(ISBLANK(Term3_Early_Dismissal_4[[#This Row],[Activity]]),"",IF(_xlfn.XLOOKUP(Term3_Early_Dismissal_4[[#This Row],[Activity]],Types_of_Activity[Type of Activity],Types_of_Activity[Classification])=1,Term3_Early_Dismissal_4[[#This Row],[Elapsed]],0))</f>
        <v/>
      </c>
      <c r="AB71" s="106" t="str">
        <f>IF(ISBLANK(Term3_Early_Dismissal_4[[#This Row],[Activity]]),"",IF(_xlfn.XLOOKUP(Term3_Early_Dismissal_4[[#This Row],[Activity]],Types_of_Activity[Type of Activity],Types_of_Activity[Classification])=2,Term3_Early_Dismissal_4[[#This Row],[Elapsed]],0))</f>
        <v/>
      </c>
      <c r="AD71" s="136"/>
      <c r="AE71" s="136"/>
      <c r="AF71" s="103"/>
      <c r="AG71" s="106" t="str">
        <f>IF(OR(ISBLANK(Term3_Early_Dismissal_5[[#This Row],[Start]]),ISBLANK(Term3_Early_Dismissal_5[[#This Row],[End]])),"",(Term3_Early_Dismissal_5[[#This Row],[End]]-Term3_Early_Dismissal_5[[#This Row],[Start]])*1440)</f>
        <v/>
      </c>
      <c r="AH71" s="106" t="str">
        <f>IF(ISBLANK(Term3_Early_Dismissal_5[[#This Row],[Activity]]),"",IF(_xlfn.XLOOKUP(Term3_Early_Dismissal_5[[#This Row],[Activity]],Types_of_Activity[Type of Activity],Types_of_Activity[Classification])=1,Term3_Early_Dismissal_5[[#This Row],[Elapsed]],0))</f>
        <v/>
      </c>
      <c r="AI71" s="106" t="str">
        <f>IF(ISBLANK(Term3_Early_Dismissal_5[[#This Row],[Activity]]),"",IF(_xlfn.XLOOKUP(Term3_Early_Dismissal_5[[#This Row],[Activity]],Types_of_Activity[Type of Activity],Types_of_Activity[Classification])=2,Term3_Early_Dismissal_5[[#This Row],[Elapsed]],0))</f>
        <v/>
      </c>
      <c r="AK71" s="136"/>
      <c r="AL71" s="136"/>
      <c r="AM71" s="103"/>
      <c r="AN71" s="106" t="str">
        <f>IF(OR(ISBLANK(Term3_Early_Dismissal_6[[#This Row],[Start]]),ISBLANK(Term3_Early_Dismissal_6[[#This Row],[End]])),"",(Term3_Early_Dismissal_6[[#This Row],[End]]-Term3_Early_Dismissal_6[[#This Row],[Start]])*1440)</f>
        <v/>
      </c>
      <c r="AO71" s="106" t="str">
        <f>IF(ISBLANK(Term3_Early_Dismissal_6[[#This Row],[Activity]]),"",IF(_xlfn.XLOOKUP(Term3_Early_Dismissal_6[[#This Row],[Activity]],Types_of_Activity[Type of Activity],Types_of_Activity[Classification])=1,Term3_Early_Dismissal_6[[#This Row],[Elapsed]],0))</f>
        <v/>
      </c>
      <c r="AP71" s="106" t="str">
        <f>IF(ISBLANK(Term3_Early_Dismissal_6[[#This Row],[Activity]]),"",IF(_xlfn.XLOOKUP(Term3_Early_Dismissal_6[[#This Row],[Activity]],Types_of_Activity[Type of Activity],Types_of_Activity[Classification])=2,Term3_Early_Dismissal_6[[#This Row],[Elapsed]],0))</f>
        <v/>
      </c>
    </row>
    <row r="72" spans="2:42" x14ac:dyDescent="0.3">
      <c r="B72" s="136"/>
      <c r="C72" s="136"/>
      <c r="D72" s="103"/>
      <c r="E72" s="106" t="str">
        <f>IF(OR(ISBLANK(Term3_Early_Dismissal_1[[#This Row],[Start]]),ISBLANK(Term3_Early_Dismissal_1[[#This Row],[End]])),"",(Term3_Early_Dismissal_1[[#This Row],[End]]-Term3_Early_Dismissal_1[[#This Row],[Start]])*1440)</f>
        <v/>
      </c>
      <c r="F72" s="106" t="str">
        <f>IF(ISBLANK(Term3_Early_Dismissal_1[[#This Row],[Activity]]),"",IF(_xlfn.XLOOKUP(Term3_Early_Dismissal_1[[#This Row],[Activity]],Types_of_Activity[Type of Activity],Types_of_Activity[Classification])=1,Term3_Early_Dismissal_1[[#This Row],[Elapsed]],0))</f>
        <v/>
      </c>
      <c r="G72" s="106" t="str">
        <f>IF(ISBLANK(Term3_Early_Dismissal_1[[#This Row],[Activity]]),"",IF(_xlfn.XLOOKUP(Term3_Early_Dismissal_1[[#This Row],[Activity]],Types_of_Activity[Type of Activity],Types_of_Activity[Classification])=2,Term3_Early_Dismissal_1[[#This Row],[Elapsed]],0))</f>
        <v/>
      </c>
      <c r="H72"/>
      <c r="I72" s="136"/>
      <c r="J72" s="136"/>
      <c r="K72" s="103"/>
      <c r="L72" s="106" t="str">
        <f>IF(OR(ISBLANK(Term3_Early_Dismissal_2[[#This Row],[Start]]),ISBLANK(Term3_Early_Dismissal_2[[#This Row],[End]])),"",(Term3_Early_Dismissal_2[[#This Row],[End]]-Term3_Early_Dismissal_2[[#This Row],[Start]])*1440)</f>
        <v/>
      </c>
      <c r="M72" s="106" t="str">
        <f>IF(ISBLANK(Term3_Early_Dismissal_2[[#This Row],[Activity]]),"",IF(_xlfn.XLOOKUP(Term3_Early_Dismissal_2[[#This Row],[Activity]],Types_of_Activity[Type of Activity],Types_of_Activity[Classification])=1,Term3_Early_Dismissal_2[[#This Row],[Elapsed]],0))</f>
        <v/>
      </c>
      <c r="N72" s="106" t="str">
        <f>IF(ISBLANK(Term3_Early_Dismissal_2[[#This Row],[Activity]]),"",IF(_xlfn.XLOOKUP(Term3_Early_Dismissal_2[[#This Row],[Activity]],Types_of_Activity[Type of Activity],Types_of_Activity[Classification])=2,Term3_Early_Dismissal_2[[#This Row],[Elapsed]],0))</f>
        <v/>
      </c>
      <c r="O72"/>
      <c r="P72" s="136"/>
      <c r="Q72" s="136"/>
      <c r="R72" s="103"/>
      <c r="S72" s="106" t="str">
        <f>IF(OR(ISBLANK(Term3_Early_Dismissal_3[[#This Row],[Start]]),ISBLANK(Term3_Early_Dismissal_3[[#This Row],[End]])),"",(Term3_Early_Dismissal_3[[#This Row],[End]]-Term3_Early_Dismissal_3[[#This Row],[Start]])*1440)</f>
        <v/>
      </c>
      <c r="T72" s="106" t="str">
        <f>IF(ISBLANK(Term3_Early_Dismissal_3[[#This Row],[Activity]]),"",IF(_xlfn.XLOOKUP(Term3_Early_Dismissal_3[[#This Row],[Activity]],Types_of_Activity[Type of Activity],Types_of_Activity[Classification])=1,Term3_Early_Dismissal_3[[#This Row],[Elapsed]],0))</f>
        <v/>
      </c>
      <c r="U72" s="106" t="str">
        <f>IF(ISBLANK(Term3_Early_Dismissal_3[[#This Row],[Activity]]),"",IF(_xlfn.XLOOKUP(Term3_Early_Dismissal_3[[#This Row],[Activity]],Types_of_Activity[Type of Activity],Types_of_Activity[Classification])=2,Term3_Early_Dismissal_3[[#This Row],[Elapsed]],0))</f>
        <v/>
      </c>
      <c r="W72" s="136"/>
      <c r="X72" s="136"/>
      <c r="Y72" s="103"/>
      <c r="Z72" s="106" t="str">
        <f>IF(OR(ISBLANK(Term3_Early_Dismissal_4[[#This Row],[Start]]),ISBLANK(Term3_Early_Dismissal_4[[#This Row],[End]])),"",(Term3_Early_Dismissal_4[[#This Row],[End]]-Term3_Early_Dismissal_4[[#This Row],[Start]])*1440)</f>
        <v/>
      </c>
      <c r="AA72" s="106" t="str">
        <f>IF(ISBLANK(Term3_Early_Dismissal_4[[#This Row],[Activity]]),"",IF(_xlfn.XLOOKUP(Term3_Early_Dismissal_4[[#This Row],[Activity]],Types_of_Activity[Type of Activity],Types_of_Activity[Classification])=1,Term3_Early_Dismissal_4[[#This Row],[Elapsed]],0))</f>
        <v/>
      </c>
      <c r="AB72" s="106" t="str">
        <f>IF(ISBLANK(Term3_Early_Dismissal_4[[#This Row],[Activity]]),"",IF(_xlfn.XLOOKUP(Term3_Early_Dismissal_4[[#This Row],[Activity]],Types_of_Activity[Type of Activity],Types_of_Activity[Classification])=2,Term3_Early_Dismissal_4[[#This Row],[Elapsed]],0))</f>
        <v/>
      </c>
      <c r="AD72" s="136"/>
      <c r="AE72" s="136"/>
      <c r="AF72" s="103"/>
      <c r="AG72" s="106" t="str">
        <f>IF(OR(ISBLANK(Term3_Early_Dismissal_5[[#This Row],[Start]]),ISBLANK(Term3_Early_Dismissal_5[[#This Row],[End]])),"",(Term3_Early_Dismissal_5[[#This Row],[End]]-Term3_Early_Dismissal_5[[#This Row],[Start]])*1440)</f>
        <v/>
      </c>
      <c r="AH72" s="106" t="str">
        <f>IF(ISBLANK(Term3_Early_Dismissal_5[[#This Row],[Activity]]),"",IF(_xlfn.XLOOKUP(Term3_Early_Dismissal_5[[#This Row],[Activity]],Types_of_Activity[Type of Activity],Types_of_Activity[Classification])=1,Term3_Early_Dismissal_5[[#This Row],[Elapsed]],0))</f>
        <v/>
      </c>
      <c r="AI72" s="106" t="str">
        <f>IF(ISBLANK(Term3_Early_Dismissal_5[[#This Row],[Activity]]),"",IF(_xlfn.XLOOKUP(Term3_Early_Dismissal_5[[#This Row],[Activity]],Types_of_Activity[Type of Activity],Types_of_Activity[Classification])=2,Term3_Early_Dismissal_5[[#This Row],[Elapsed]],0))</f>
        <v/>
      </c>
      <c r="AK72" s="136"/>
      <c r="AL72" s="136"/>
      <c r="AM72" s="103"/>
      <c r="AN72" s="106" t="str">
        <f>IF(OR(ISBLANK(Term3_Early_Dismissal_6[[#This Row],[Start]]),ISBLANK(Term3_Early_Dismissal_6[[#This Row],[End]])),"",(Term3_Early_Dismissal_6[[#This Row],[End]]-Term3_Early_Dismissal_6[[#This Row],[Start]])*1440)</f>
        <v/>
      </c>
      <c r="AO72" s="106" t="str">
        <f>IF(ISBLANK(Term3_Early_Dismissal_6[[#This Row],[Activity]]),"",IF(_xlfn.XLOOKUP(Term3_Early_Dismissal_6[[#This Row],[Activity]],Types_of_Activity[Type of Activity],Types_of_Activity[Classification])=1,Term3_Early_Dismissal_6[[#This Row],[Elapsed]],0))</f>
        <v/>
      </c>
      <c r="AP72" s="106" t="str">
        <f>IF(ISBLANK(Term3_Early_Dismissal_6[[#This Row],[Activity]]),"",IF(_xlfn.XLOOKUP(Term3_Early_Dismissal_6[[#This Row],[Activity]],Types_of_Activity[Type of Activity],Types_of_Activity[Classification])=2,Term3_Early_Dismissal_6[[#This Row],[Elapsed]],0))</f>
        <v/>
      </c>
    </row>
    <row r="73" spans="2:42" x14ac:dyDescent="0.3">
      <c r="B73" s="136"/>
      <c r="C73" s="136"/>
      <c r="D73" s="103"/>
      <c r="E73" s="106" t="str">
        <f>IF(OR(ISBLANK(Term3_Early_Dismissal_1[[#This Row],[Start]]),ISBLANK(Term3_Early_Dismissal_1[[#This Row],[End]])),"",(Term3_Early_Dismissal_1[[#This Row],[End]]-Term3_Early_Dismissal_1[[#This Row],[Start]])*1440)</f>
        <v/>
      </c>
      <c r="F73" s="106" t="str">
        <f>IF(ISBLANK(Term3_Early_Dismissal_1[[#This Row],[Activity]]),"",IF(_xlfn.XLOOKUP(Term3_Early_Dismissal_1[[#This Row],[Activity]],Types_of_Activity[Type of Activity],Types_of_Activity[Classification])=1,Term3_Early_Dismissal_1[[#This Row],[Elapsed]],0))</f>
        <v/>
      </c>
      <c r="G73" s="106" t="str">
        <f>IF(ISBLANK(Term3_Early_Dismissal_1[[#This Row],[Activity]]),"",IF(_xlfn.XLOOKUP(Term3_Early_Dismissal_1[[#This Row],[Activity]],Types_of_Activity[Type of Activity],Types_of_Activity[Classification])=2,Term3_Early_Dismissal_1[[#This Row],[Elapsed]],0))</f>
        <v/>
      </c>
      <c r="H73"/>
      <c r="I73" s="136"/>
      <c r="J73" s="136"/>
      <c r="K73" s="103"/>
      <c r="L73" s="106" t="str">
        <f>IF(OR(ISBLANK(Term3_Early_Dismissal_2[[#This Row],[Start]]),ISBLANK(Term3_Early_Dismissal_2[[#This Row],[End]])),"",(Term3_Early_Dismissal_2[[#This Row],[End]]-Term3_Early_Dismissal_2[[#This Row],[Start]])*1440)</f>
        <v/>
      </c>
      <c r="M73" s="106" t="str">
        <f>IF(ISBLANK(Term3_Early_Dismissal_2[[#This Row],[Activity]]),"",IF(_xlfn.XLOOKUP(Term3_Early_Dismissal_2[[#This Row],[Activity]],Types_of_Activity[Type of Activity],Types_of_Activity[Classification])=1,Term3_Early_Dismissal_2[[#This Row],[Elapsed]],0))</f>
        <v/>
      </c>
      <c r="N73" s="106" t="str">
        <f>IF(ISBLANK(Term3_Early_Dismissal_2[[#This Row],[Activity]]),"",IF(_xlfn.XLOOKUP(Term3_Early_Dismissal_2[[#This Row],[Activity]],Types_of_Activity[Type of Activity],Types_of_Activity[Classification])=2,Term3_Early_Dismissal_2[[#This Row],[Elapsed]],0))</f>
        <v/>
      </c>
      <c r="O73"/>
      <c r="P73" s="136"/>
      <c r="Q73" s="136"/>
      <c r="R73" s="103"/>
      <c r="S73" s="106" t="str">
        <f>IF(OR(ISBLANK(Term3_Early_Dismissal_3[[#This Row],[Start]]),ISBLANK(Term3_Early_Dismissal_3[[#This Row],[End]])),"",(Term3_Early_Dismissal_3[[#This Row],[End]]-Term3_Early_Dismissal_3[[#This Row],[Start]])*1440)</f>
        <v/>
      </c>
      <c r="T73" s="106" t="str">
        <f>IF(ISBLANK(Term3_Early_Dismissal_3[[#This Row],[Activity]]),"",IF(_xlfn.XLOOKUP(Term3_Early_Dismissal_3[[#This Row],[Activity]],Types_of_Activity[Type of Activity],Types_of_Activity[Classification])=1,Term3_Early_Dismissal_3[[#This Row],[Elapsed]],0))</f>
        <v/>
      </c>
      <c r="U73" s="106" t="str">
        <f>IF(ISBLANK(Term3_Early_Dismissal_3[[#This Row],[Activity]]),"",IF(_xlfn.XLOOKUP(Term3_Early_Dismissal_3[[#This Row],[Activity]],Types_of_Activity[Type of Activity],Types_of_Activity[Classification])=2,Term3_Early_Dismissal_3[[#This Row],[Elapsed]],0))</f>
        <v/>
      </c>
      <c r="W73" s="136"/>
      <c r="X73" s="136"/>
      <c r="Y73" s="103"/>
      <c r="Z73" s="106" t="str">
        <f>IF(OR(ISBLANK(Term3_Early_Dismissal_4[[#This Row],[Start]]),ISBLANK(Term3_Early_Dismissal_4[[#This Row],[End]])),"",(Term3_Early_Dismissal_4[[#This Row],[End]]-Term3_Early_Dismissal_4[[#This Row],[Start]])*1440)</f>
        <v/>
      </c>
      <c r="AA73" s="106" t="str">
        <f>IF(ISBLANK(Term3_Early_Dismissal_4[[#This Row],[Activity]]),"",IF(_xlfn.XLOOKUP(Term3_Early_Dismissal_4[[#This Row],[Activity]],Types_of_Activity[Type of Activity],Types_of_Activity[Classification])=1,Term3_Early_Dismissal_4[[#This Row],[Elapsed]],0))</f>
        <v/>
      </c>
      <c r="AB73" s="106" t="str">
        <f>IF(ISBLANK(Term3_Early_Dismissal_4[[#This Row],[Activity]]),"",IF(_xlfn.XLOOKUP(Term3_Early_Dismissal_4[[#This Row],[Activity]],Types_of_Activity[Type of Activity],Types_of_Activity[Classification])=2,Term3_Early_Dismissal_4[[#This Row],[Elapsed]],0))</f>
        <v/>
      </c>
      <c r="AD73" s="136"/>
      <c r="AE73" s="136"/>
      <c r="AF73" s="103"/>
      <c r="AG73" s="106" t="str">
        <f>IF(OR(ISBLANK(Term3_Early_Dismissal_5[[#This Row],[Start]]),ISBLANK(Term3_Early_Dismissal_5[[#This Row],[End]])),"",(Term3_Early_Dismissal_5[[#This Row],[End]]-Term3_Early_Dismissal_5[[#This Row],[Start]])*1440)</f>
        <v/>
      </c>
      <c r="AH73" s="106" t="str">
        <f>IF(ISBLANK(Term3_Early_Dismissal_5[[#This Row],[Activity]]),"",IF(_xlfn.XLOOKUP(Term3_Early_Dismissal_5[[#This Row],[Activity]],Types_of_Activity[Type of Activity],Types_of_Activity[Classification])=1,Term3_Early_Dismissal_5[[#This Row],[Elapsed]],0))</f>
        <v/>
      </c>
      <c r="AI73" s="106" t="str">
        <f>IF(ISBLANK(Term3_Early_Dismissal_5[[#This Row],[Activity]]),"",IF(_xlfn.XLOOKUP(Term3_Early_Dismissal_5[[#This Row],[Activity]],Types_of_Activity[Type of Activity],Types_of_Activity[Classification])=2,Term3_Early_Dismissal_5[[#This Row],[Elapsed]],0))</f>
        <v/>
      </c>
      <c r="AK73" s="136"/>
      <c r="AL73" s="136"/>
      <c r="AM73" s="103"/>
      <c r="AN73" s="106" t="str">
        <f>IF(OR(ISBLANK(Term3_Early_Dismissal_6[[#This Row],[Start]]),ISBLANK(Term3_Early_Dismissal_6[[#This Row],[End]])),"",(Term3_Early_Dismissal_6[[#This Row],[End]]-Term3_Early_Dismissal_6[[#This Row],[Start]])*1440)</f>
        <v/>
      </c>
      <c r="AO73" s="106" t="str">
        <f>IF(ISBLANK(Term3_Early_Dismissal_6[[#This Row],[Activity]]),"",IF(_xlfn.XLOOKUP(Term3_Early_Dismissal_6[[#This Row],[Activity]],Types_of_Activity[Type of Activity],Types_of_Activity[Classification])=1,Term3_Early_Dismissal_6[[#This Row],[Elapsed]],0))</f>
        <v/>
      </c>
      <c r="AP73" s="106" t="str">
        <f>IF(ISBLANK(Term3_Early_Dismissal_6[[#This Row],[Activity]]),"",IF(_xlfn.XLOOKUP(Term3_Early_Dismissal_6[[#This Row],[Activity]],Types_of_Activity[Type of Activity],Types_of_Activity[Classification])=2,Term3_Early_Dismissal_6[[#This Row],[Elapsed]],0))</f>
        <v/>
      </c>
    </row>
    <row r="74" spans="2:42" x14ac:dyDescent="0.3">
      <c r="B74" s="136"/>
      <c r="C74" s="136"/>
      <c r="D74" s="103"/>
      <c r="E74" s="106" t="str">
        <f>IF(OR(ISBLANK(Term3_Early_Dismissal_1[[#This Row],[Start]]),ISBLANK(Term3_Early_Dismissal_1[[#This Row],[End]])),"",(Term3_Early_Dismissal_1[[#This Row],[End]]-Term3_Early_Dismissal_1[[#This Row],[Start]])*1440)</f>
        <v/>
      </c>
      <c r="F74" s="106" t="str">
        <f>IF(ISBLANK(Term3_Early_Dismissal_1[[#This Row],[Activity]]),"",IF(_xlfn.XLOOKUP(Term3_Early_Dismissal_1[[#This Row],[Activity]],Types_of_Activity[Type of Activity],Types_of_Activity[Classification])=1,Term3_Early_Dismissal_1[[#This Row],[Elapsed]],0))</f>
        <v/>
      </c>
      <c r="G74" s="106" t="str">
        <f>IF(ISBLANK(Term3_Early_Dismissal_1[[#This Row],[Activity]]),"",IF(_xlfn.XLOOKUP(Term3_Early_Dismissal_1[[#This Row],[Activity]],Types_of_Activity[Type of Activity],Types_of_Activity[Classification])=2,Term3_Early_Dismissal_1[[#This Row],[Elapsed]],0))</f>
        <v/>
      </c>
      <c r="H74"/>
      <c r="I74" s="136"/>
      <c r="J74" s="136"/>
      <c r="K74" s="103"/>
      <c r="L74" s="106" t="str">
        <f>IF(OR(ISBLANK(Term3_Early_Dismissal_2[[#This Row],[Start]]),ISBLANK(Term3_Early_Dismissal_2[[#This Row],[End]])),"",(Term3_Early_Dismissal_2[[#This Row],[End]]-Term3_Early_Dismissal_2[[#This Row],[Start]])*1440)</f>
        <v/>
      </c>
      <c r="M74" s="106" t="str">
        <f>IF(ISBLANK(Term3_Early_Dismissal_2[[#This Row],[Activity]]),"",IF(_xlfn.XLOOKUP(Term3_Early_Dismissal_2[[#This Row],[Activity]],Types_of_Activity[Type of Activity],Types_of_Activity[Classification])=1,Term3_Early_Dismissal_2[[#This Row],[Elapsed]],0))</f>
        <v/>
      </c>
      <c r="N74" s="106" t="str">
        <f>IF(ISBLANK(Term3_Early_Dismissal_2[[#This Row],[Activity]]),"",IF(_xlfn.XLOOKUP(Term3_Early_Dismissal_2[[#This Row],[Activity]],Types_of_Activity[Type of Activity],Types_of_Activity[Classification])=2,Term3_Early_Dismissal_2[[#This Row],[Elapsed]],0))</f>
        <v/>
      </c>
      <c r="O74"/>
      <c r="P74" s="136"/>
      <c r="Q74" s="136"/>
      <c r="R74" s="103"/>
      <c r="S74" s="106" t="str">
        <f>IF(OR(ISBLANK(Term3_Early_Dismissal_3[[#This Row],[Start]]),ISBLANK(Term3_Early_Dismissal_3[[#This Row],[End]])),"",(Term3_Early_Dismissal_3[[#This Row],[End]]-Term3_Early_Dismissal_3[[#This Row],[Start]])*1440)</f>
        <v/>
      </c>
      <c r="T74" s="106" t="str">
        <f>IF(ISBLANK(Term3_Early_Dismissal_3[[#This Row],[Activity]]),"",IF(_xlfn.XLOOKUP(Term3_Early_Dismissal_3[[#This Row],[Activity]],Types_of_Activity[Type of Activity],Types_of_Activity[Classification])=1,Term3_Early_Dismissal_3[[#This Row],[Elapsed]],0))</f>
        <v/>
      </c>
      <c r="U74" s="106" t="str">
        <f>IF(ISBLANK(Term3_Early_Dismissal_3[[#This Row],[Activity]]),"",IF(_xlfn.XLOOKUP(Term3_Early_Dismissal_3[[#This Row],[Activity]],Types_of_Activity[Type of Activity],Types_of_Activity[Classification])=2,Term3_Early_Dismissal_3[[#This Row],[Elapsed]],0))</f>
        <v/>
      </c>
      <c r="W74" s="136"/>
      <c r="X74" s="136"/>
      <c r="Y74" s="103"/>
      <c r="Z74" s="106" t="str">
        <f>IF(OR(ISBLANK(Term3_Early_Dismissal_4[[#This Row],[Start]]),ISBLANK(Term3_Early_Dismissal_4[[#This Row],[End]])),"",(Term3_Early_Dismissal_4[[#This Row],[End]]-Term3_Early_Dismissal_4[[#This Row],[Start]])*1440)</f>
        <v/>
      </c>
      <c r="AA74" s="106" t="str">
        <f>IF(ISBLANK(Term3_Early_Dismissal_4[[#This Row],[Activity]]),"",IF(_xlfn.XLOOKUP(Term3_Early_Dismissal_4[[#This Row],[Activity]],Types_of_Activity[Type of Activity],Types_of_Activity[Classification])=1,Term3_Early_Dismissal_4[[#This Row],[Elapsed]],0))</f>
        <v/>
      </c>
      <c r="AB74" s="106" t="str">
        <f>IF(ISBLANK(Term3_Early_Dismissal_4[[#This Row],[Activity]]),"",IF(_xlfn.XLOOKUP(Term3_Early_Dismissal_4[[#This Row],[Activity]],Types_of_Activity[Type of Activity],Types_of_Activity[Classification])=2,Term3_Early_Dismissal_4[[#This Row],[Elapsed]],0))</f>
        <v/>
      </c>
      <c r="AD74" s="136"/>
      <c r="AE74" s="136"/>
      <c r="AF74" s="103"/>
      <c r="AG74" s="106" t="str">
        <f>IF(OR(ISBLANK(Term3_Early_Dismissal_5[[#This Row],[Start]]),ISBLANK(Term3_Early_Dismissal_5[[#This Row],[End]])),"",(Term3_Early_Dismissal_5[[#This Row],[End]]-Term3_Early_Dismissal_5[[#This Row],[Start]])*1440)</f>
        <v/>
      </c>
      <c r="AH74" s="106" t="str">
        <f>IF(ISBLANK(Term3_Early_Dismissal_5[[#This Row],[Activity]]),"",IF(_xlfn.XLOOKUP(Term3_Early_Dismissal_5[[#This Row],[Activity]],Types_of_Activity[Type of Activity],Types_of_Activity[Classification])=1,Term3_Early_Dismissal_5[[#This Row],[Elapsed]],0))</f>
        <v/>
      </c>
      <c r="AI74" s="106" t="str">
        <f>IF(ISBLANK(Term3_Early_Dismissal_5[[#This Row],[Activity]]),"",IF(_xlfn.XLOOKUP(Term3_Early_Dismissal_5[[#This Row],[Activity]],Types_of_Activity[Type of Activity],Types_of_Activity[Classification])=2,Term3_Early_Dismissal_5[[#This Row],[Elapsed]],0))</f>
        <v/>
      </c>
      <c r="AK74" s="136"/>
      <c r="AL74" s="136"/>
      <c r="AM74" s="103"/>
      <c r="AN74" s="106" t="str">
        <f>IF(OR(ISBLANK(Term3_Early_Dismissal_6[[#This Row],[Start]]),ISBLANK(Term3_Early_Dismissal_6[[#This Row],[End]])),"",(Term3_Early_Dismissal_6[[#This Row],[End]]-Term3_Early_Dismissal_6[[#This Row],[Start]])*1440)</f>
        <v/>
      </c>
      <c r="AO74" s="106" t="str">
        <f>IF(ISBLANK(Term3_Early_Dismissal_6[[#This Row],[Activity]]),"",IF(_xlfn.XLOOKUP(Term3_Early_Dismissal_6[[#This Row],[Activity]],Types_of_Activity[Type of Activity],Types_of_Activity[Classification])=1,Term3_Early_Dismissal_6[[#This Row],[Elapsed]],0))</f>
        <v/>
      </c>
      <c r="AP74" s="106" t="str">
        <f>IF(ISBLANK(Term3_Early_Dismissal_6[[#This Row],[Activity]]),"",IF(_xlfn.XLOOKUP(Term3_Early_Dismissal_6[[#This Row],[Activity]],Types_of_Activity[Type of Activity],Types_of_Activity[Classification])=2,Term3_Early_Dismissal_6[[#This Row],[Elapsed]],0))</f>
        <v/>
      </c>
    </row>
    <row r="75" spans="2:42" x14ac:dyDescent="0.3">
      <c r="B75" s="136"/>
      <c r="C75" s="136"/>
      <c r="D75" s="103"/>
      <c r="E75" s="106" t="str">
        <f>IF(OR(ISBLANK(Term3_Early_Dismissal_1[[#This Row],[Start]]),ISBLANK(Term3_Early_Dismissal_1[[#This Row],[End]])),"",(Term3_Early_Dismissal_1[[#This Row],[End]]-Term3_Early_Dismissal_1[[#This Row],[Start]])*1440)</f>
        <v/>
      </c>
      <c r="F75" s="106" t="str">
        <f>IF(ISBLANK(Term3_Early_Dismissal_1[[#This Row],[Activity]]),"",IF(_xlfn.XLOOKUP(Term3_Early_Dismissal_1[[#This Row],[Activity]],Types_of_Activity[Type of Activity],Types_of_Activity[Classification])=1,Term3_Early_Dismissal_1[[#This Row],[Elapsed]],0))</f>
        <v/>
      </c>
      <c r="G75" s="106" t="str">
        <f>IF(ISBLANK(Term3_Early_Dismissal_1[[#This Row],[Activity]]),"",IF(_xlfn.XLOOKUP(Term3_Early_Dismissal_1[[#This Row],[Activity]],Types_of_Activity[Type of Activity],Types_of_Activity[Classification])=2,Term3_Early_Dismissal_1[[#This Row],[Elapsed]],0))</f>
        <v/>
      </c>
      <c r="H75"/>
      <c r="I75" s="136"/>
      <c r="J75" s="136"/>
      <c r="K75" s="103"/>
      <c r="L75" s="106" t="str">
        <f>IF(OR(ISBLANK(Term3_Early_Dismissal_2[[#This Row],[Start]]),ISBLANK(Term3_Early_Dismissal_2[[#This Row],[End]])),"",(Term3_Early_Dismissal_2[[#This Row],[End]]-Term3_Early_Dismissal_2[[#This Row],[Start]])*1440)</f>
        <v/>
      </c>
      <c r="M75" s="106" t="str">
        <f>IF(ISBLANK(Term3_Early_Dismissal_2[[#This Row],[Activity]]),"",IF(_xlfn.XLOOKUP(Term3_Early_Dismissal_2[[#This Row],[Activity]],Types_of_Activity[Type of Activity],Types_of_Activity[Classification])=1,Term3_Early_Dismissal_2[[#This Row],[Elapsed]],0))</f>
        <v/>
      </c>
      <c r="N75" s="106" t="str">
        <f>IF(ISBLANK(Term3_Early_Dismissal_2[[#This Row],[Activity]]),"",IF(_xlfn.XLOOKUP(Term3_Early_Dismissal_2[[#This Row],[Activity]],Types_of_Activity[Type of Activity],Types_of_Activity[Classification])=2,Term3_Early_Dismissal_2[[#This Row],[Elapsed]],0))</f>
        <v/>
      </c>
      <c r="O75"/>
      <c r="P75" s="136"/>
      <c r="Q75" s="136"/>
      <c r="R75" s="103"/>
      <c r="S75" s="106" t="str">
        <f>IF(OR(ISBLANK(Term3_Early_Dismissal_3[[#This Row],[Start]]),ISBLANK(Term3_Early_Dismissal_3[[#This Row],[End]])),"",(Term3_Early_Dismissal_3[[#This Row],[End]]-Term3_Early_Dismissal_3[[#This Row],[Start]])*1440)</f>
        <v/>
      </c>
      <c r="T75" s="106" t="str">
        <f>IF(ISBLANK(Term3_Early_Dismissal_3[[#This Row],[Activity]]),"",IF(_xlfn.XLOOKUP(Term3_Early_Dismissal_3[[#This Row],[Activity]],Types_of_Activity[Type of Activity],Types_of_Activity[Classification])=1,Term3_Early_Dismissal_3[[#This Row],[Elapsed]],0))</f>
        <v/>
      </c>
      <c r="U75" s="106" t="str">
        <f>IF(ISBLANK(Term3_Early_Dismissal_3[[#This Row],[Activity]]),"",IF(_xlfn.XLOOKUP(Term3_Early_Dismissal_3[[#This Row],[Activity]],Types_of_Activity[Type of Activity],Types_of_Activity[Classification])=2,Term3_Early_Dismissal_3[[#This Row],[Elapsed]],0))</f>
        <v/>
      </c>
      <c r="W75" s="136"/>
      <c r="X75" s="136"/>
      <c r="Y75" s="103"/>
      <c r="Z75" s="106" t="str">
        <f>IF(OR(ISBLANK(Term3_Early_Dismissal_4[[#This Row],[Start]]),ISBLANK(Term3_Early_Dismissal_4[[#This Row],[End]])),"",(Term3_Early_Dismissal_4[[#This Row],[End]]-Term3_Early_Dismissal_4[[#This Row],[Start]])*1440)</f>
        <v/>
      </c>
      <c r="AA75" s="106" t="str">
        <f>IF(ISBLANK(Term3_Early_Dismissal_4[[#This Row],[Activity]]),"",IF(_xlfn.XLOOKUP(Term3_Early_Dismissal_4[[#This Row],[Activity]],Types_of_Activity[Type of Activity],Types_of_Activity[Classification])=1,Term3_Early_Dismissal_4[[#This Row],[Elapsed]],0))</f>
        <v/>
      </c>
      <c r="AB75" s="106" t="str">
        <f>IF(ISBLANK(Term3_Early_Dismissal_4[[#This Row],[Activity]]),"",IF(_xlfn.XLOOKUP(Term3_Early_Dismissal_4[[#This Row],[Activity]],Types_of_Activity[Type of Activity],Types_of_Activity[Classification])=2,Term3_Early_Dismissal_4[[#This Row],[Elapsed]],0))</f>
        <v/>
      </c>
      <c r="AD75" s="136"/>
      <c r="AE75" s="136"/>
      <c r="AF75" s="103"/>
      <c r="AG75" s="106" t="str">
        <f>IF(OR(ISBLANK(Term3_Early_Dismissal_5[[#This Row],[Start]]),ISBLANK(Term3_Early_Dismissal_5[[#This Row],[End]])),"",(Term3_Early_Dismissal_5[[#This Row],[End]]-Term3_Early_Dismissal_5[[#This Row],[Start]])*1440)</f>
        <v/>
      </c>
      <c r="AH75" s="106" t="str">
        <f>IF(ISBLANK(Term3_Early_Dismissal_5[[#This Row],[Activity]]),"",IF(_xlfn.XLOOKUP(Term3_Early_Dismissal_5[[#This Row],[Activity]],Types_of_Activity[Type of Activity],Types_of_Activity[Classification])=1,Term3_Early_Dismissal_5[[#This Row],[Elapsed]],0))</f>
        <v/>
      </c>
      <c r="AI75" s="106" t="str">
        <f>IF(ISBLANK(Term3_Early_Dismissal_5[[#This Row],[Activity]]),"",IF(_xlfn.XLOOKUP(Term3_Early_Dismissal_5[[#This Row],[Activity]],Types_of_Activity[Type of Activity],Types_of_Activity[Classification])=2,Term3_Early_Dismissal_5[[#This Row],[Elapsed]],0))</f>
        <v/>
      </c>
      <c r="AK75" s="136"/>
      <c r="AL75" s="136"/>
      <c r="AM75" s="103"/>
      <c r="AN75" s="106" t="str">
        <f>IF(OR(ISBLANK(Term3_Early_Dismissal_6[[#This Row],[Start]]),ISBLANK(Term3_Early_Dismissal_6[[#This Row],[End]])),"",(Term3_Early_Dismissal_6[[#This Row],[End]]-Term3_Early_Dismissal_6[[#This Row],[Start]])*1440)</f>
        <v/>
      </c>
      <c r="AO75" s="106" t="str">
        <f>IF(ISBLANK(Term3_Early_Dismissal_6[[#This Row],[Activity]]),"",IF(_xlfn.XLOOKUP(Term3_Early_Dismissal_6[[#This Row],[Activity]],Types_of_Activity[Type of Activity],Types_of_Activity[Classification])=1,Term3_Early_Dismissal_6[[#This Row],[Elapsed]],0))</f>
        <v/>
      </c>
      <c r="AP75" s="106" t="str">
        <f>IF(ISBLANK(Term3_Early_Dismissal_6[[#This Row],[Activity]]),"",IF(_xlfn.XLOOKUP(Term3_Early_Dismissal_6[[#This Row],[Activity]],Types_of_Activity[Type of Activity],Types_of_Activity[Classification])=2,Term3_Early_Dismissal_6[[#This Row],[Elapsed]],0))</f>
        <v/>
      </c>
    </row>
    <row r="76" spans="2:42" x14ac:dyDescent="0.3">
      <c r="B76" s="136"/>
      <c r="C76" s="136"/>
      <c r="D76" s="103"/>
      <c r="E76" s="106" t="str">
        <f>IF(OR(ISBLANK(Term3_Early_Dismissal_1[[#This Row],[Start]]),ISBLANK(Term3_Early_Dismissal_1[[#This Row],[End]])),"",(Term3_Early_Dismissal_1[[#This Row],[End]]-Term3_Early_Dismissal_1[[#This Row],[Start]])*1440)</f>
        <v/>
      </c>
      <c r="F76" s="106" t="str">
        <f>IF(ISBLANK(Term3_Early_Dismissal_1[[#This Row],[Activity]]),"",IF(_xlfn.XLOOKUP(Term3_Early_Dismissal_1[[#This Row],[Activity]],Types_of_Activity[Type of Activity],Types_of_Activity[Classification])=1,Term3_Early_Dismissal_1[[#This Row],[Elapsed]],0))</f>
        <v/>
      </c>
      <c r="G76" s="106" t="str">
        <f>IF(ISBLANK(Term3_Early_Dismissal_1[[#This Row],[Activity]]),"",IF(_xlfn.XLOOKUP(Term3_Early_Dismissal_1[[#This Row],[Activity]],Types_of_Activity[Type of Activity],Types_of_Activity[Classification])=2,Term3_Early_Dismissal_1[[#This Row],[Elapsed]],0))</f>
        <v/>
      </c>
      <c r="H76"/>
      <c r="I76" s="136"/>
      <c r="J76" s="136"/>
      <c r="K76" s="103"/>
      <c r="L76" s="106" t="str">
        <f>IF(OR(ISBLANK(Term3_Early_Dismissal_2[[#This Row],[Start]]),ISBLANK(Term3_Early_Dismissal_2[[#This Row],[End]])),"",(Term3_Early_Dismissal_2[[#This Row],[End]]-Term3_Early_Dismissal_2[[#This Row],[Start]])*1440)</f>
        <v/>
      </c>
      <c r="M76" s="106" t="str">
        <f>IF(ISBLANK(Term3_Early_Dismissal_2[[#This Row],[Activity]]),"",IF(_xlfn.XLOOKUP(Term3_Early_Dismissal_2[[#This Row],[Activity]],Types_of_Activity[Type of Activity],Types_of_Activity[Classification])=1,Term3_Early_Dismissal_2[[#This Row],[Elapsed]],0))</f>
        <v/>
      </c>
      <c r="N76" s="106" t="str">
        <f>IF(ISBLANK(Term3_Early_Dismissal_2[[#This Row],[Activity]]),"",IF(_xlfn.XLOOKUP(Term3_Early_Dismissal_2[[#This Row],[Activity]],Types_of_Activity[Type of Activity],Types_of_Activity[Classification])=2,Term3_Early_Dismissal_2[[#This Row],[Elapsed]],0))</f>
        <v/>
      </c>
      <c r="O76"/>
      <c r="P76" s="136"/>
      <c r="Q76" s="136"/>
      <c r="R76" s="103"/>
      <c r="S76" s="106" t="str">
        <f>IF(OR(ISBLANK(Term3_Early_Dismissal_3[[#This Row],[Start]]),ISBLANK(Term3_Early_Dismissal_3[[#This Row],[End]])),"",(Term3_Early_Dismissal_3[[#This Row],[End]]-Term3_Early_Dismissal_3[[#This Row],[Start]])*1440)</f>
        <v/>
      </c>
      <c r="T76" s="106" t="str">
        <f>IF(ISBLANK(Term3_Early_Dismissal_3[[#This Row],[Activity]]),"",IF(_xlfn.XLOOKUP(Term3_Early_Dismissal_3[[#This Row],[Activity]],Types_of_Activity[Type of Activity],Types_of_Activity[Classification])=1,Term3_Early_Dismissal_3[[#This Row],[Elapsed]],0))</f>
        <v/>
      </c>
      <c r="U76" s="106" t="str">
        <f>IF(ISBLANK(Term3_Early_Dismissal_3[[#This Row],[Activity]]),"",IF(_xlfn.XLOOKUP(Term3_Early_Dismissal_3[[#This Row],[Activity]],Types_of_Activity[Type of Activity],Types_of_Activity[Classification])=2,Term3_Early_Dismissal_3[[#This Row],[Elapsed]],0))</f>
        <v/>
      </c>
      <c r="W76" s="136"/>
      <c r="X76" s="136"/>
      <c r="Y76" s="103"/>
      <c r="Z76" s="106" t="str">
        <f>IF(OR(ISBLANK(Term3_Early_Dismissal_4[[#This Row],[Start]]),ISBLANK(Term3_Early_Dismissal_4[[#This Row],[End]])),"",(Term3_Early_Dismissal_4[[#This Row],[End]]-Term3_Early_Dismissal_4[[#This Row],[Start]])*1440)</f>
        <v/>
      </c>
      <c r="AA76" s="106" t="str">
        <f>IF(ISBLANK(Term3_Early_Dismissal_4[[#This Row],[Activity]]),"",IF(_xlfn.XLOOKUP(Term3_Early_Dismissal_4[[#This Row],[Activity]],Types_of_Activity[Type of Activity],Types_of_Activity[Classification])=1,Term3_Early_Dismissal_4[[#This Row],[Elapsed]],0))</f>
        <v/>
      </c>
      <c r="AB76" s="106" t="str">
        <f>IF(ISBLANK(Term3_Early_Dismissal_4[[#This Row],[Activity]]),"",IF(_xlfn.XLOOKUP(Term3_Early_Dismissal_4[[#This Row],[Activity]],Types_of_Activity[Type of Activity],Types_of_Activity[Classification])=2,Term3_Early_Dismissal_4[[#This Row],[Elapsed]],0))</f>
        <v/>
      </c>
      <c r="AD76" s="136"/>
      <c r="AE76" s="136"/>
      <c r="AF76" s="103"/>
      <c r="AG76" s="106" t="str">
        <f>IF(OR(ISBLANK(Term3_Early_Dismissal_5[[#This Row],[Start]]),ISBLANK(Term3_Early_Dismissal_5[[#This Row],[End]])),"",(Term3_Early_Dismissal_5[[#This Row],[End]]-Term3_Early_Dismissal_5[[#This Row],[Start]])*1440)</f>
        <v/>
      </c>
      <c r="AH76" s="106" t="str">
        <f>IF(ISBLANK(Term3_Early_Dismissal_5[[#This Row],[Activity]]),"",IF(_xlfn.XLOOKUP(Term3_Early_Dismissal_5[[#This Row],[Activity]],Types_of_Activity[Type of Activity],Types_of_Activity[Classification])=1,Term3_Early_Dismissal_5[[#This Row],[Elapsed]],0))</f>
        <v/>
      </c>
      <c r="AI76" s="106" t="str">
        <f>IF(ISBLANK(Term3_Early_Dismissal_5[[#This Row],[Activity]]),"",IF(_xlfn.XLOOKUP(Term3_Early_Dismissal_5[[#This Row],[Activity]],Types_of_Activity[Type of Activity],Types_of_Activity[Classification])=2,Term3_Early_Dismissal_5[[#This Row],[Elapsed]],0))</f>
        <v/>
      </c>
      <c r="AK76" s="136"/>
      <c r="AL76" s="136"/>
      <c r="AM76" s="103"/>
      <c r="AN76" s="106" t="str">
        <f>IF(OR(ISBLANK(Term3_Early_Dismissal_6[[#This Row],[Start]]),ISBLANK(Term3_Early_Dismissal_6[[#This Row],[End]])),"",(Term3_Early_Dismissal_6[[#This Row],[End]]-Term3_Early_Dismissal_6[[#This Row],[Start]])*1440)</f>
        <v/>
      </c>
      <c r="AO76" s="106" t="str">
        <f>IF(ISBLANK(Term3_Early_Dismissal_6[[#This Row],[Activity]]),"",IF(_xlfn.XLOOKUP(Term3_Early_Dismissal_6[[#This Row],[Activity]],Types_of_Activity[Type of Activity],Types_of_Activity[Classification])=1,Term3_Early_Dismissal_6[[#This Row],[Elapsed]],0))</f>
        <v/>
      </c>
      <c r="AP76" s="106" t="str">
        <f>IF(ISBLANK(Term3_Early_Dismissal_6[[#This Row],[Activity]]),"",IF(_xlfn.XLOOKUP(Term3_Early_Dismissal_6[[#This Row],[Activity]],Types_of_Activity[Type of Activity],Types_of_Activity[Classification])=2,Term3_Early_Dismissal_6[[#This Row],[Elapsed]],0))</f>
        <v/>
      </c>
    </row>
    <row r="77" spans="2:42" x14ac:dyDescent="0.3">
      <c r="B77" s="136"/>
      <c r="C77" s="136"/>
      <c r="D77" s="103"/>
      <c r="E77" s="106" t="str">
        <f>IF(OR(ISBLANK(Term3_Early_Dismissal_1[[#This Row],[Start]]),ISBLANK(Term3_Early_Dismissal_1[[#This Row],[End]])),"",(Term3_Early_Dismissal_1[[#This Row],[End]]-Term3_Early_Dismissal_1[[#This Row],[Start]])*1440)</f>
        <v/>
      </c>
      <c r="F77" s="106" t="str">
        <f>IF(ISBLANK(Term3_Early_Dismissal_1[[#This Row],[Activity]]),"",IF(_xlfn.XLOOKUP(Term3_Early_Dismissal_1[[#This Row],[Activity]],Types_of_Activity[Type of Activity],Types_of_Activity[Classification])=1,Term3_Early_Dismissal_1[[#This Row],[Elapsed]],0))</f>
        <v/>
      </c>
      <c r="G77" s="106" t="str">
        <f>IF(ISBLANK(Term3_Early_Dismissal_1[[#This Row],[Activity]]),"",IF(_xlfn.XLOOKUP(Term3_Early_Dismissal_1[[#This Row],[Activity]],Types_of_Activity[Type of Activity],Types_of_Activity[Classification])=2,Term3_Early_Dismissal_1[[#This Row],[Elapsed]],0))</f>
        <v/>
      </c>
      <c r="H77"/>
      <c r="I77" s="136"/>
      <c r="J77" s="136"/>
      <c r="K77" s="103"/>
      <c r="L77" s="106" t="str">
        <f>IF(OR(ISBLANK(Term3_Early_Dismissal_2[[#This Row],[Start]]),ISBLANK(Term3_Early_Dismissal_2[[#This Row],[End]])),"",(Term3_Early_Dismissal_2[[#This Row],[End]]-Term3_Early_Dismissal_2[[#This Row],[Start]])*1440)</f>
        <v/>
      </c>
      <c r="M77" s="106" t="str">
        <f>IF(ISBLANK(Term3_Early_Dismissal_2[[#This Row],[Activity]]),"",IF(_xlfn.XLOOKUP(Term3_Early_Dismissal_2[[#This Row],[Activity]],Types_of_Activity[Type of Activity],Types_of_Activity[Classification])=1,Term3_Early_Dismissal_2[[#This Row],[Elapsed]],0))</f>
        <v/>
      </c>
      <c r="N77" s="106" t="str">
        <f>IF(ISBLANK(Term3_Early_Dismissal_2[[#This Row],[Activity]]),"",IF(_xlfn.XLOOKUP(Term3_Early_Dismissal_2[[#This Row],[Activity]],Types_of_Activity[Type of Activity],Types_of_Activity[Classification])=2,Term3_Early_Dismissal_2[[#This Row],[Elapsed]],0))</f>
        <v/>
      </c>
      <c r="O77"/>
      <c r="P77" s="136"/>
      <c r="Q77" s="136"/>
      <c r="R77" s="103"/>
      <c r="S77" s="106" t="str">
        <f>IF(OR(ISBLANK(Term3_Early_Dismissal_3[[#This Row],[Start]]),ISBLANK(Term3_Early_Dismissal_3[[#This Row],[End]])),"",(Term3_Early_Dismissal_3[[#This Row],[End]]-Term3_Early_Dismissal_3[[#This Row],[Start]])*1440)</f>
        <v/>
      </c>
      <c r="T77" s="106" t="str">
        <f>IF(ISBLANK(Term3_Early_Dismissal_3[[#This Row],[Activity]]),"",IF(_xlfn.XLOOKUP(Term3_Early_Dismissal_3[[#This Row],[Activity]],Types_of_Activity[Type of Activity],Types_of_Activity[Classification])=1,Term3_Early_Dismissal_3[[#This Row],[Elapsed]],0))</f>
        <v/>
      </c>
      <c r="U77" s="106" t="str">
        <f>IF(ISBLANK(Term3_Early_Dismissal_3[[#This Row],[Activity]]),"",IF(_xlfn.XLOOKUP(Term3_Early_Dismissal_3[[#This Row],[Activity]],Types_of_Activity[Type of Activity],Types_of_Activity[Classification])=2,Term3_Early_Dismissal_3[[#This Row],[Elapsed]],0))</f>
        <v/>
      </c>
      <c r="W77" s="136"/>
      <c r="X77" s="136"/>
      <c r="Y77" s="103"/>
      <c r="Z77" s="106" t="str">
        <f>IF(OR(ISBLANK(Term3_Early_Dismissal_4[[#This Row],[Start]]),ISBLANK(Term3_Early_Dismissal_4[[#This Row],[End]])),"",(Term3_Early_Dismissal_4[[#This Row],[End]]-Term3_Early_Dismissal_4[[#This Row],[Start]])*1440)</f>
        <v/>
      </c>
      <c r="AA77" s="106" t="str">
        <f>IF(ISBLANK(Term3_Early_Dismissal_4[[#This Row],[Activity]]),"",IF(_xlfn.XLOOKUP(Term3_Early_Dismissal_4[[#This Row],[Activity]],Types_of_Activity[Type of Activity],Types_of_Activity[Classification])=1,Term3_Early_Dismissal_4[[#This Row],[Elapsed]],0))</f>
        <v/>
      </c>
      <c r="AB77" s="106" t="str">
        <f>IF(ISBLANK(Term3_Early_Dismissal_4[[#This Row],[Activity]]),"",IF(_xlfn.XLOOKUP(Term3_Early_Dismissal_4[[#This Row],[Activity]],Types_of_Activity[Type of Activity],Types_of_Activity[Classification])=2,Term3_Early_Dismissal_4[[#This Row],[Elapsed]],0))</f>
        <v/>
      </c>
      <c r="AD77" s="136"/>
      <c r="AE77" s="136"/>
      <c r="AF77" s="103"/>
      <c r="AG77" s="106" t="str">
        <f>IF(OR(ISBLANK(Term3_Early_Dismissal_5[[#This Row],[Start]]),ISBLANK(Term3_Early_Dismissal_5[[#This Row],[End]])),"",(Term3_Early_Dismissal_5[[#This Row],[End]]-Term3_Early_Dismissal_5[[#This Row],[Start]])*1440)</f>
        <v/>
      </c>
      <c r="AH77" s="106" t="str">
        <f>IF(ISBLANK(Term3_Early_Dismissal_5[[#This Row],[Activity]]),"",IF(_xlfn.XLOOKUP(Term3_Early_Dismissal_5[[#This Row],[Activity]],Types_of_Activity[Type of Activity],Types_of_Activity[Classification])=1,Term3_Early_Dismissal_5[[#This Row],[Elapsed]],0))</f>
        <v/>
      </c>
      <c r="AI77" s="106" t="str">
        <f>IF(ISBLANK(Term3_Early_Dismissal_5[[#This Row],[Activity]]),"",IF(_xlfn.XLOOKUP(Term3_Early_Dismissal_5[[#This Row],[Activity]],Types_of_Activity[Type of Activity],Types_of_Activity[Classification])=2,Term3_Early_Dismissal_5[[#This Row],[Elapsed]],0))</f>
        <v/>
      </c>
      <c r="AK77" s="136"/>
      <c r="AL77" s="136"/>
      <c r="AM77" s="103"/>
      <c r="AN77" s="106" t="str">
        <f>IF(OR(ISBLANK(Term3_Early_Dismissal_6[[#This Row],[Start]]),ISBLANK(Term3_Early_Dismissal_6[[#This Row],[End]])),"",(Term3_Early_Dismissal_6[[#This Row],[End]]-Term3_Early_Dismissal_6[[#This Row],[Start]])*1440)</f>
        <v/>
      </c>
      <c r="AO77" s="106" t="str">
        <f>IF(ISBLANK(Term3_Early_Dismissal_6[[#This Row],[Activity]]),"",IF(_xlfn.XLOOKUP(Term3_Early_Dismissal_6[[#This Row],[Activity]],Types_of_Activity[Type of Activity],Types_of_Activity[Classification])=1,Term3_Early_Dismissal_6[[#This Row],[Elapsed]],0))</f>
        <v/>
      </c>
      <c r="AP77" s="106" t="str">
        <f>IF(ISBLANK(Term3_Early_Dismissal_6[[#This Row],[Activity]]),"",IF(_xlfn.XLOOKUP(Term3_Early_Dismissal_6[[#This Row],[Activity]],Types_of_Activity[Type of Activity],Types_of_Activity[Classification])=2,Term3_Early_Dismissal_6[[#This Row],[Elapsed]],0))</f>
        <v/>
      </c>
    </row>
    <row r="78" spans="2:42" x14ac:dyDescent="0.3">
      <c r="B78" s="136"/>
      <c r="C78" s="136"/>
      <c r="D78" s="103"/>
      <c r="E78" s="106" t="str">
        <f>IF(OR(ISBLANK(Term3_Early_Dismissal_1[[#This Row],[Start]]),ISBLANK(Term3_Early_Dismissal_1[[#This Row],[End]])),"",(Term3_Early_Dismissal_1[[#This Row],[End]]-Term3_Early_Dismissal_1[[#This Row],[Start]])*1440)</f>
        <v/>
      </c>
      <c r="F78" s="106" t="str">
        <f>IF(ISBLANK(Term3_Early_Dismissal_1[[#This Row],[Activity]]),"",IF(_xlfn.XLOOKUP(Term3_Early_Dismissal_1[[#This Row],[Activity]],Types_of_Activity[Type of Activity],Types_of_Activity[Classification])=1,Term3_Early_Dismissal_1[[#This Row],[Elapsed]],0))</f>
        <v/>
      </c>
      <c r="G78" s="106" t="str">
        <f>IF(ISBLANK(Term3_Early_Dismissal_1[[#This Row],[Activity]]),"",IF(_xlfn.XLOOKUP(Term3_Early_Dismissal_1[[#This Row],[Activity]],Types_of_Activity[Type of Activity],Types_of_Activity[Classification])=2,Term3_Early_Dismissal_1[[#This Row],[Elapsed]],0))</f>
        <v/>
      </c>
      <c r="H78"/>
      <c r="I78" s="136"/>
      <c r="J78" s="136"/>
      <c r="K78" s="103"/>
      <c r="L78" s="106" t="str">
        <f>IF(OR(ISBLANK(Term3_Early_Dismissal_2[[#This Row],[Start]]),ISBLANK(Term3_Early_Dismissal_2[[#This Row],[End]])),"",(Term3_Early_Dismissal_2[[#This Row],[End]]-Term3_Early_Dismissal_2[[#This Row],[Start]])*1440)</f>
        <v/>
      </c>
      <c r="M78" s="106" t="str">
        <f>IF(ISBLANK(Term3_Early_Dismissal_2[[#This Row],[Activity]]),"",IF(_xlfn.XLOOKUP(Term3_Early_Dismissal_2[[#This Row],[Activity]],Types_of_Activity[Type of Activity],Types_of_Activity[Classification])=1,Term3_Early_Dismissal_2[[#This Row],[Elapsed]],0))</f>
        <v/>
      </c>
      <c r="N78" s="106" t="str">
        <f>IF(ISBLANK(Term3_Early_Dismissal_2[[#This Row],[Activity]]),"",IF(_xlfn.XLOOKUP(Term3_Early_Dismissal_2[[#This Row],[Activity]],Types_of_Activity[Type of Activity],Types_of_Activity[Classification])=2,Term3_Early_Dismissal_2[[#This Row],[Elapsed]],0))</f>
        <v/>
      </c>
      <c r="O78"/>
      <c r="P78" s="136"/>
      <c r="Q78" s="136"/>
      <c r="R78" s="103"/>
      <c r="S78" s="106" t="str">
        <f>IF(OR(ISBLANK(Term3_Early_Dismissal_3[[#This Row],[Start]]),ISBLANK(Term3_Early_Dismissal_3[[#This Row],[End]])),"",(Term3_Early_Dismissal_3[[#This Row],[End]]-Term3_Early_Dismissal_3[[#This Row],[Start]])*1440)</f>
        <v/>
      </c>
      <c r="T78" s="106" t="str">
        <f>IF(ISBLANK(Term3_Early_Dismissal_3[[#This Row],[Activity]]),"",IF(_xlfn.XLOOKUP(Term3_Early_Dismissal_3[[#This Row],[Activity]],Types_of_Activity[Type of Activity],Types_of_Activity[Classification])=1,Term3_Early_Dismissal_3[[#This Row],[Elapsed]],0))</f>
        <v/>
      </c>
      <c r="U78" s="106" t="str">
        <f>IF(ISBLANK(Term3_Early_Dismissal_3[[#This Row],[Activity]]),"",IF(_xlfn.XLOOKUP(Term3_Early_Dismissal_3[[#This Row],[Activity]],Types_of_Activity[Type of Activity],Types_of_Activity[Classification])=2,Term3_Early_Dismissal_3[[#This Row],[Elapsed]],0))</f>
        <v/>
      </c>
      <c r="W78" s="136"/>
      <c r="X78" s="136"/>
      <c r="Y78" s="103"/>
      <c r="Z78" s="106" t="str">
        <f>IF(OR(ISBLANK(Term3_Early_Dismissal_4[[#This Row],[Start]]),ISBLANK(Term3_Early_Dismissal_4[[#This Row],[End]])),"",(Term3_Early_Dismissal_4[[#This Row],[End]]-Term3_Early_Dismissal_4[[#This Row],[Start]])*1440)</f>
        <v/>
      </c>
      <c r="AA78" s="106" t="str">
        <f>IF(ISBLANK(Term3_Early_Dismissal_4[[#This Row],[Activity]]),"",IF(_xlfn.XLOOKUP(Term3_Early_Dismissal_4[[#This Row],[Activity]],Types_of_Activity[Type of Activity],Types_of_Activity[Classification])=1,Term3_Early_Dismissal_4[[#This Row],[Elapsed]],0))</f>
        <v/>
      </c>
      <c r="AB78" s="106" t="str">
        <f>IF(ISBLANK(Term3_Early_Dismissal_4[[#This Row],[Activity]]),"",IF(_xlfn.XLOOKUP(Term3_Early_Dismissal_4[[#This Row],[Activity]],Types_of_Activity[Type of Activity],Types_of_Activity[Classification])=2,Term3_Early_Dismissal_4[[#This Row],[Elapsed]],0))</f>
        <v/>
      </c>
      <c r="AD78" s="136"/>
      <c r="AE78" s="136"/>
      <c r="AF78" s="103"/>
      <c r="AG78" s="106" t="str">
        <f>IF(OR(ISBLANK(Term3_Early_Dismissal_5[[#This Row],[Start]]),ISBLANK(Term3_Early_Dismissal_5[[#This Row],[End]])),"",(Term3_Early_Dismissal_5[[#This Row],[End]]-Term3_Early_Dismissal_5[[#This Row],[Start]])*1440)</f>
        <v/>
      </c>
      <c r="AH78" s="106" t="str">
        <f>IF(ISBLANK(Term3_Early_Dismissal_5[[#This Row],[Activity]]),"",IF(_xlfn.XLOOKUP(Term3_Early_Dismissal_5[[#This Row],[Activity]],Types_of_Activity[Type of Activity],Types_of_Activity[Classification])=1,Term3_Early_Dismissal_5[[#This Row],[Elapsed]],0))</f>
        <v/>
      </c>
      <c r="AI78" s="106" t="str">
        <f>IF(ISBLANK(Term3_Early_Dismissal_5[[#This Row],[Activity]]),"",IF(_xlfn.XLOOKUP(Term3_Early_Dismissal_5[[#This Row],[Activity]],Types_of_Activity[Type of Activity],Types_of_Activity[Classification])=2,Term3_Early_Dismissal_5[[#This Row],[Elapsed]],0))</f>
        <v/>
      </c>
      <c r="AK78" s="136"/>
      <c r="AL78" s="136"/>
      <c r="AM78" s="103"/>
      <c r="AN78" s="106" t="str">
        <f>IF(OR(ISBLANK(Term3_Early_Dismissal_6[[#This Row],[Start]]),ISBLANK(Term3_Early_Dismissal_6[[#This Row],[End]])),"",(Term3_Early_Dismissal_6[[#This Row],[End]]-Term3_Early_Dismissal_6[[#This Row],[Start]])*1440)</f>
        <v/>
      </c>
      <c r="AO78" s="106" t="str">
        <f>IF(ISBLANK(Term3_Early_Dismissal_6[[#This Row],[Activity]]),"",IF(_xlfn.XLOOKUP(Term3_Early_Dismissal_6[[#This Row],[Activity]],Types_of_Activity[Type of Activity],Types_of_Activity[Classification])=1,Term3_Early_Dismissal_6[[#This Row],[Elapsed]],0))</f>
        <v/>
      </c>
      <c r="AP78" s="106" t="str">
        <f>IF(ISBLANK(Term3_Early_Dismissal_6[[#This Row],[Activity]]),"",IF(_xlfn.XLOOKUP(Term3_Early_Dismissal_6[[#This Row],[Activity]],Types_of_Activity[Type of Activity],Types_of_Activity[Classification])=2,Term3_Early_Dismissal_6[[#This Row],[Elapsed]],0))</f>
        <v/>
      </c>
    </row>
    <row r="79" spans="2:42" x14ac:dyDescent="0.3">
      <c r="B79" s="136"/>
      <c r="C79" s="136"/>
      <c r="D79" s="103"/>
      <c r="E79" s="106" t="str">
        <f>IF(OR(ISBLANK(Term3_Early_Dismissal_1[[#This Row],[Start]]),ISBLANK(Term3_Early_Dismissal_1[[#This Row],[End]])),"",(Term3_Early_Dismissal_1[[#This Row],[End]]-Term3_Early_Dismissal_1[[#This Row],[Start]])*1440)</f>
        <v/>
      </c>
      <c r="F79" s="106" t="str">
        <f>IF(ISBLANK(Term3_Early_Dismissal_1[[#This Row],[Activity]]),"",IF(_xlfn.XLOOKUP(Term3_Early_Dismissal_1[[#This Row],[Activity]],Types_of_Activity[Type of Activity],Types_of_Activity[Classification])=1,Term3_Early_Dismissal_1[[#This Row],[Elapsed]],0))</f>
        <v/>
      </c>
      <c r="G79" s="106" t="str">
        <f>IF(ISBLANK(Term3_Early_Dismissal_1[[#This Row],[Activity]]),"",IF(_xlfn.XLOOKUP(Term3_Early_Dismissal_1[[#This Row],[Activity]],Types_of_Activity[Type of Activity],Types_of_Activity[Classification])=2,Term3_Early_Dismissal_1[[#This Row],[Elapsed]],0))</f>
        <v/>
      </c>
      <c r="H79"/>
      <c r="I79" s="136"/>
      <c r="J79" s="136"/>
      <c r="K79" s="103"/>
      <c r="L79" s="106" t="str">
        <f>IF(OR(ISBLANK(Term3_Early_Dismissal_2[[#This Row],[Start]]),ISBLANK(Term3_Early_Dismissal_2[[#This Row],[End]])),"",(Term3_Early_Dismissal_2[[#This Row],[End]]-Term3_Early_Dismissal_2[[#This Row],[Start]])*1440)</f>
        <v/>
      </c>
      <c r="M79" s="106" t="str">
        <f>IF(ISBLANK(Term3_Early_Dismissal_2[[#This Row],[Activity]]),"",IF(_xlfn.XLOOKUP(Term3_Early_Dismissal_2[[#This Row],[Activity]],Types_of_Activity[Type of Activity],Types_of_Activity[Classification])=1,Term3_Early_Dismissal_2[[#This Row],[Elapsed]],0))</f>
        <v/>
      </c>
      <c r="N79" s="106" t="str">
        <f>IF(ISBLANK(Term3_Early_Dismissal_2[[#This Row],[Activity]]),"",IF(_xlfn.XLOOKUP(Term3_Early_Dismissal_2[[#This Row],[Activity]],Types_of_Activity[Type of Activity],Types_of_Activity[Classification])=2,Term3_Early_Dismissal_2[[#This Row],[Elapsed]],0))</f>
        <v/>
      </c>
      <c r="O79"/>
      <c r="P79" s="136"/>
      <c r="Q79" s="136"/>
      <c r="R79" s="103"/>
      <c r="S79" s="106" t="str">
        <f>IF(OR(ISBLANK(Term3_Early_Dismissal_3[[#This Row],[Start]]),ISBLANK(Term3_Early_Dismissal_3[[#This Row],[End]])),"",(Term3_Early_Dismissal_3[[#This Row],[End]]-Term3_Early_Dismissal_3[[#This Row],[Start]])*1440)</f>
        <v/>
      </c>
      <c r="T79" s="106" t="str">
        <f>IF(ISBLANK(Term3_Early_Dismissal_3[[#This Row],[Activity]]),"",IF(_xlfn.XLOOKUP(Term3_Early_Dismissal_3[[#This Row],[Activity]],Types_of_Activity[Type of Activity],Types_of_Activity[Classification])=1,Term3_Early_Dismissal_3[[#This Row],[Elapsed]],0))</f>
        <v/>
      </c>
      <c r="U79" s="106" t="str">
        <f>IF(ISBLANK(Term3_Early_Dismissal_3[[#This Row],[Activity]]),"",IF(_xlfn.XLOOKUP(Term3_Early_Dismissal_3[[#This Row],[Activity]],Types_of_Activity[Type of Activity],Types_of_Activity[Classification])=2,Term3_Early_Dismissal_3[[#This Row],[Elapsed]],0))</f>
        <v/>
      </c>
      <c r="W79" s="136"/>
      <c r="X79" s="136"/>
      <c r="Y79" s="103"/>
      <c r="Z79" s="106" t="str">
        <f>IF(OR(ISBLANK(Term3_Early_Dismissal_4[[#This Row],[Start]]),ISBLANK(Term3_Early_Dismissal_4[[#This Row],[End]])),"",(Term3_Early_Dismissal_4[[#This Row],[End]]-Term3_Early_Dismissal_4[[#This Row],[Start]])*1440)</f>
        <v/>
      </c>
      <c r="AA79" s="106" t="str">
        <f>IF(ISBLANK(Term3_Early_Dismissal_4[[#This Row],[Activity]]),"",IF(_xlfn.XLOOKUP(Term3_Early_Dismissal_4[[#This Row],[Activity]],Types_of_Activity[Type of Activity],Types_of_Activity[Classification])=1,Term3_Early_Dismissal_4[[#This Row],[Elapsed]],0))</f>
        <v/>
      </c>
      <c r="AB79" s="106" t="str">
        <f>IF(ISBLANK(Term3_Early_Dismissal_4[[#This Row],[Activity]]),"",IF(_xlfn.XLOOKUP(Term3_Early_Dismissal_4[[#This Row],[Activity]],Types_of_Activity[Type of Activity],Types_of_Activity[Classification])=2,Term3_Early_Dismissal_4[[#This Row],[Elapsed]],0))</f>
        <v/>
      </c>
      <c r="AD79" s="136"/>
      <c r="AE79" s="136"/>
      <c r="AF79" s="103"/>
      <c r="AG79" s="106" t="str">
        <f>IF(OR(ISBLANK(Term3_Early_Dismissal_5[[#This Row],[Start]]),ISBLANK(Term3_Early_Dismissal_5[[#This Row],[End]])),"",(Term3_Early_Dismissal_5[[#This Row],[End]]-Term3_Early_Dismissal_5[[#This Row],[Start]])*1440)</f>
        <v/>
      </c>
      <c r="AH79" s="106" t="str">
        <f>IF(ISBLANK(Term3_Early_Dismissal_5[[#This Row],[Activity]]),"",IF(_xlfn.XLOOKUP(Term3_Early_Dismissal_5[[#This Row],[Activity]],Types_of_Activity[Type of Activity],Types_of_Activity[Classification])=1,Term3_Early_Dismissal_5[[#This Row],[Elapsed]],0))</f>
        <v/>
      </c>
      <c r="AI79" s="106" t="str">
        <f>IF(ISBLANK(Term3_Early_Dismissal_5[[#This Row],[Activity]]),"",IF(_xlfn.XLOOKUP(Term3_Early_Dismissal_5[[#This Row],[Activity]],Types_of_Activity[Type of Activity],Types_of_Activity[Classification])=2,Term3_Early_Dismissal_5[[#This Row],[Elapsed]],0))</f>
        <v/>
      </c>
      <c r="AK79" s="136"/>
      <c r="AL79" s="136"/>
      <c r="AM79" s="103"/>
      <c r="AN79" s="106" t="str">
        <f>IF(OR(ISBLANK(Term3_Early_Dismissal_6[[#This Row],[Start]]),ISBLANK(Term3_Early_Dismissal_6[[#This Row],[End]])),"",(Term3_Early_Dismissal_6[[#This Row],[End]]-Term3_Early_Dismissal_6[[#This Row],[Start]])*1440)</f>
        <v/>
      </c>
      <c r="AO79" s="106" t="str">
        <f>IF(ISBLANK(Term3_Early_Dismissal_6[[#This Row],[Activity]]),"",IF(_xlfn.XLOOKUP(Term3_Early_Dismissal_6[[#This Row],[Activity]],Types_of_Activity[Type of Activity],Types_of_Activity[Classification])=1,Term3_Early_Dismissal_6[[#This Row],[Elapsed]],0))</f>
        <v/>
      </c>
      <c r="AP79" s="106" t="str">
        <f>IF(ISBLANK(Term3_Early_Dismissal_6[[#This Row],[Activity]]),"",IF(_xlfn.XLOOKUP(Term3_Early_Dismissal_6[[#This Row],[Activity]],Types_of_Activity[Type of Activity],Types_of_Activity[Classification])=2,Term3_Early_Dismissal_6[[#This Row],[Elapsed]],0))</f>
        <v/>
      </c>
    </row>
    <row r="80" spans="2:42" x14ac:dyDescent="0.3">
      <c r="B80" s="136"/>
      <c r="C80" s="136"/>
      <c r="D80" s="103"/>
      <c r="E80" s="106" t="str">
        <f>IF(OR(ISBLANK(Term3_Early_Dismissal_1[[#This Row],[Start]]),ISBLANK(Term3_Early_Dismissal_1[[#This Row],[End]])),"",(Term3_Early_Dismissal_1[[#This Row],[End]]-Term3_Early_Dismissal_1[[#This Row],[Start]])*1440)</f>
        <v/>
      </c>
      <c r="F80" s="106" t="str">
        <f>IF(ISBLANK(Term3_Early_Dismissal_1[[#This Row],[Activity]]),"",IF(_xlfn.XLOOKUP(Term3_Early_Dismissal_1[[#This Row],[Activity]],Types_of_Activity[Type of Activity],Types_of_Activity[Classification])=1,Term3_Early_Dismissal_1[[#This Row],[Elapsed]],0))</f>
        <v/>
      </c>
      <c r="G80" s="106" t="str">
        <f>IF(ISBLANK(Term3_Early_Dismissal_1[[#This Row],[Activity]]),"",IF(_xlfn.XLOOKUP(Term3_Early_Dismissal_1[[#This Row],[Activity]],Types_of_Activity[Type of Activity],Types_of_Activity[Classification])=2,Term3_Early_Dismissal_1[[#This Row],[Elapsed]],0))</f>
        <v/>
      </c>
      <c r="H80"/>
      <c r="I80" s="136"/>
      <c r="J80" s="136"/>
      <c r="K80" s="103"/>
      <c r="L80" s="106" t="str">
        <f>IF(OR(ISBLANK(Term3_Early_Dismissal_2[[#This Row],[Start]]),ISBLANK(Term3_Early_Dismissal_2[[#This Row],[End]])),"",(Term3_Early_Dismissal_2[[#This Row],[End]]-Term3_Early_Dismissal_2[[#This Row],[Start]])*1440)</f>
        <v/>
      </c>
      <c r="M80" s="106" t="str">
        <f>IF(ISBLANK(Term3_Early_Dismissal_2[[#This Row],[Activity]]),"",IF(_xlfn.XLOOKUP(Term3_Early_Dismissal_2[[#This Row],[Activity]],Types_of_Activity[Type of Activity],Types_of_Activity[Classification])=1,Term3_Early_Dismissal_2[[#This Row],[Elapsed]],0))</f>
        <v/>
      </c>
      <c r="N80" s="106" t="str">
        <f>IF(ISBLANK(Term3_Early_Dismissal_2[[#This Row],[Activity]]),"",IF(_xlfn.XLOOKUP(Term3_Early_Dismissal_2[[#This Row],[Activity]],Types_of_Activity[Type of Activity],Types_of_Activity[Classification])=2,Term3_Early_Dismissal_2[[#This Row],[Elapsed]],0))</f>
        <v/>
      </c>
      <c r="O80"/>
      <c r="P80" s="136"/>
      <c r="Q80" s="136"/>
      <c r="R80" s="103"/>
      <c r="S80" s="106" t="str">
        <f>IF(OR(ISBLANK(Term3_Early_Dismissal_3[[#This Row],[Start]]),ISBLANK(Term3_Early_Dismissal_3[[#This Row],[End]])),"",(Term3_Early_Dismissal_3[[#This Row],[End]]-Term3_Early_Dismissal_3[[#This Row],[Start]])*1440)</f>
        <v/>
      </c>
      <c r="T80" s="106" t="str">
        <f>IF(ISBLANK(Term3_Early_Dismissal_3[[#This Row],[Activity]]),"",IF(_xlfn.XLOOKUP(Term3_Early_Dismissal_3[[#This Row],[Activity]],Types_of_Activity[Type of Activity],Types_of_Activity[Classification])=1,Term3_Early_Dismissal_3[[#This Row],[Elapsed]],0))</f>
        <v/>
      </c>
      <c r="U80" s="106" t="str">
        <f>IF(ISBLANK(Term3_Early_Dismissal_3[[#This Row],[Activity]]),"",IF(_xlfn.XLOOKUP(Term3_Early_Dismissal_3[[#This Row],[Activity]],Types_of_Activity[Type of Activity],Types_of_Activity[Classification])=2,Term3_Early_Dismissal_3[[#This Row],[Elapsed]],0))</f>
        <v/>
      </c>
      <c r="W80" s="136"/>
      <c r="X80" s="136"/>
      <c r="Y80" s="103"/>
      <c r="Z80" s="106" t="str">
        <f>IF(OR(ISBLANK(Term3_Early_Dismissal_4[[#This Row],[Start]]),ISBLANK(Term3_Early_Dismissal_4[[#This Row],[End]])),"",(Term3_Early_Dismissal_4[[#This Row],[End]]-Term3_Early_Dismissal_4[[#This Row],[Start]])*1440)</f>
        <v/>
      </c>
      <c r="AA80" s="106" t="str">
        <f>IF(ISBLANK(Term3_Early_Dismissal_4[[#This Row],[Activity]]),"",IF(_xlfn.XLOOKUP(Term3_Early_Dismissal_4[[#This Row],[Activity]],Types_of_Activity[Type of Activity],Types_of_Activity[Classification])=1,Term3_Early_Dismissal_4[[#This Row],[Elapsed]],0))</f>
        <v/>
      </c>
      <c r="AB80" s="106" t="str">
        <f>IF(ISBLANK(Term3_Early_Dismissal_4[[#This Row],[Activity]]),"",IF(_xlfn.XLOOKUP(Term3_Early_Dismissal_4[[#This Row],[Activity]],Types_of_Activity[Type of Activity],Types_of_Activity[Classification])=2,Term3_Early_Dismissal_4[[#This Row],[Elapsed]],0))</f>
        <v/>
      </c>
      <c r="AD80" s="136"/>
      <c r="AE80" s="136"/>
      <c r="AF80" s="103"/>
      <c r="AG80" s="106" t="str">
        <f>IF(OR(ISBLANK(Term3_Early_Dismissal_5[[#This Row],[Start]]),ISBLANK(Term3_Early_Dismissal_5[[#This Row],[End]])),"",(Term3_Early_Dismissal_5[[#This Row],[End]]-Term3_Early_Dismissal_5[[#This Row],[Start]])*1440)</f>
        <v/>
      </c>
      <c r="AH80" s="106" t="str">
        <f>IF(ISBLANK(Term3_Early_Dismissal_5[[#This Row],[Activity]]),"",IF(_xlfn.XLOOKUP(Term3_Early_Dismissal_5[[#This Row],[Activity]],Types_of_Activity[Type of Activity],Types_of_Activity[Classification])=1,Term3_Early_Dismissal_5[[#This Row],[Elapsed]],0))</f>
        <v/>
      </c>
      <c r="AI80" s="106" t="str">
        <f>IF(ISBLANK(Term3_Early_Dismissal_5[[#This Row],[Activity]]),"",IF(_xlfn.XLOOKUP(Term3_Early_Dismissal_5[[#This Row],[Activity]],Types_of_Activity[Type of Activity],Types_of_Activity[Classification])=2,Term3_Early_Dismissal_5[[#This Row],[Elapsed]],0))</f>
        <v/>
      </c>
      <c r="AK80" s="136"/>
      <c r="AL80" s="136"/>
      <c r="AM80" s="103"/>
      <c r="AN80" s="106" t="str">
        <f>IF(OR(ISBLANK(Term3_Early_Dismissal_6[[#This Row],[Start]]),ISBLANK(Term3_Early_Dismissal_6[[#This Row],[End]])),"",(Term3_Early_Dismissal_6[[#This Row],[End]]-Term3_Early_Dismissal_6[[#This Row],[Start]])*1440)</f>
        <v/>
      </c>
      <c r="AO80" s="106" t="str">
        <f>IF(ISBLANK(Term3_Early_Dismissal_6[[#This Row],[Activity]]),"",IF(_xlfn.XLOOKUP(Term3_Early_Dismissal_6[[#This Row],[Activity]],Types_of_Activity[Type of Activity],Types_of_Activity[Classification])=1,Term3_Early_Dismissal_6[[#This Row],[Elapsed]],0))</f>
        <v/>
      </c>
      <c r="AP80" s="106" t="str">
        <f>IF(ISBLANK(Term3_Early_Dismissal_6[[#This Row],[Activity]]),"",IF(_xlfn.XLOOKUP(Term3_Early_Dismissal_6[[#This Row],[Activity]],Types_of_Activity[Type of Activity],Types_of_Activity[Classification])=2,Term3_Early_Dismissal_6[[#This Row],[Elapsed]],0))</f>
        <v/>
      </c>
    </row>
    <row r="81" spans="2:42" x14ac:dyDescent="0.3">
      <c r="B81" s="136"/>
      <c r="C81" s="136"/>
      <c r="D81" s="103"/>
      <c r="E81" s="106" t="str">
        <f>IF(OR(ISBLANK(Term3_Early_Dismissal_1[[#This Row],[Start]]),ISBLANK(Term3_Early_Dismissal_1[[#This Row],[End]])),"",(Term3_Early_Dismissal_1[[#This Row],[End]]-Term3_Early_Dismissal_1[[#This Row],[Start]])*1440)</f>
        <v/>
      </c>
      <c r="F81" s="106" t="str">
        <f>IF(ISBLANK(Term3_Early_Dismissal_1[[#This Row],[Activity]]),"",IF(_xlfn.XLOOKUP(Term3_Early_Dismissal_1[[#This Row],[Activity]],Types_of_Activity[Type of Activity],Types_of_Activity[Classification])=1,Term3_Early_Dismissal_1[[#This Row],[Elapsed]],0))</f>
        <v/>
      </c>
      <c r="G81" s="106" t="str">
        <f>IF(ISBLANK(Term3_Early_Dismissal_1[[#This Row],[Activity]]),"",IF(_xlfn.XLOOKUP(Term3_Early_Dismissal_1[[#This Row],[Activity]],Types_of_Activity[Type of Activity],Types_of_Activity[Classification])=2,Term3_Early_Dismissal_1[[#This Row],[Elapsed]],0))</f>
        <v/>
      </c>
      <c r="H81"/>
      <c r="I81" s="136"/>
      <c r="J81" s="136"/>
      <c r="K81" s="103"/>
      <c r="L81" s="106" t="str">
        <f>IF(OR(ISBLANK(Term3_Early_Dismissal_2[[#This Row],[Start]]),ISBLANK(Term3_Early_Dismissal_2[[#This Row],[End]])),"",(Term3_Early_Dismissal_2[[#This Row],[End]]-Term3_Early_Dismissal_2[[#This Row],[Start]])*1440)</f>
        <v/>
      </c>
      <c r="M81" s="106" t="str">
        <f>IF(ISBLANK(Term3_Early_Dismissal_2[[#This Row],[Activity]]),"",IF(_xlfn.XLOOKUP(Term3_Early_Dismissal_2[[#This Row],[Activity]],Types_of_Activity[Type of Activity],Types_of_Activity[Classification])=1,Term3_Early_Dismissal_2[[#This Row],[Elapsed]],0))</f>
        <v/>
      </c>
      <c r="N81" s="106" t="str">
        <f>IF(ISBLANK(Term3_Early_Dismissal_2[[#This Row],[Activity]]),"",IF(_xlfn.XLOOKUP(Term3_Early_Dismissal_2[[#This Row],[Activity]],Types_of_Activity[Type of Activity],Types_of_Activity[Classification])=2,Term3_Early_Dismissal_2[[#This Row],[Elapsed]],0))</f>
        <v/>
      </c>
      <c r="O81"/>
      <c r="P81" s="136"/>
      <c r="Q81" s="136"/>
      <c r="R81" s="103"/>
      <c r="S81" s="106" t="str">
        <f>IF(OR(ISBLANK(Term3_Early_Dismissal_3[[#This Row],[Start]]),ISBLANK(Term3_Early_Dismissal_3[[#This Row],[End]])),"",(Term3_Early_Dismissal_3[[#This Row],[End]]-Term3_Early_Dismissal_3[[#This Row],[Start]])*1440)</f>
        <v/>
      </c>
      <c r="T81" s="106" t="str">
        <f>IF(ISBLANK(Term3_Early_Dismissal_3[[#This Row],[Activity]]),"",IF(_xlfn.XLOOKUP(Term3_Early_Dismissal_3[[#This Row],[Activity]],Types_of_Activity[Type of Activity],Types_of_Activity[Classification])=1,Term3_Early_Dismissal_3[[#This Row],[Elapsed]],0))</f>
        <v/>
      </c>
      <c r="U81" s="106" t="str">
        <f>IF(ISBLANK(Term3_Early_Dismissal_3[[#This Row],[Activity]]),"",IF(_xlfn.XLOOKUP(Term3_Early_Dismissal_3[[#This Row],[Activity]],Types_of_Activity[Type of Activity],Types_of_Activity[Classification])=2,Term3_Early_Dismissal_3[[#This Row],[Elapsed]],0))</f>
        <v/>
      </c>
      <c r="W81" s="136"/>
      <c r="X81" s="136"/>
      <c r="Y81" s="103"/>
      <c r="Z81" s="106" t="str">
        <f>IF(OR(ISBLANK(Term3_Early_Dismissal_4[[#This Row],[Start]]),ISBLANK(Term3_Early_Dismissal_4[[#This Row],[End]])),"",(Term3_Early_Dismissal_4[[#This Row],[End]]-Term3_Early_Dismissal_4[[#This Row],[Start]])*1440)</f>
        <v/>
      </c>
      <c r="AA81" s="106" t="str">
        <f>IF(ISBLANK(Term3_Early_Dismissal_4[[#This Row],[Activity]]),"",IF(_xlfn.XLOOKUP(Term3_Early_Dismissal_4[[#This Row],[Activity]],Types_of_Activity[Type of Activity],Types_of_Activity[Classification])=1,Term3_Early_Dismissal_4[[#This Row],[Elapsed]],0))</f>
        <v/>
      </c>
      <c r="AB81" s="106" t="str">
        <f>IF(ISBLANK(Term3_Early_Dismissal_4[[#This Row],[Activity]]),"",IF(_xlfn.XLOOKUP(Term3_Early_Dismissal_4[[#This Row],[Activity]],Types_of_Activity[Type of Activity],Types_of_Activity[Classification])=2,Term3_Early_Dismissal_4[[#This Row],[Elapsed]],0))</f>
        <v/>
      </c>
      <c r="AD81" s="136"/>
      <c r="AE81" s="136"/>
      <c r="AF81" s="103"/>
      <c r="AG81" s="106" t="str">
        <f>IF(OR(ISBLANK(Term3_Early_Dismissal_5[[#This Row],[Start]]),ISBLANK(Term3_Early_Dismissal_5[[#This Row],[End]])),"",(Term3_Early_Dismissal_5[[#This Row],[End]]-Term3_Early_Dismissal_5[[#This Row],[Start]])*1440)</f>
        <v/>
      </c>
      <c r="AH81" s="106" t="str">
        <f>IF(ISBLANK(Term3_Early_Dismissal_5[[#This Row],[Activity]]),"",IF(_xlfn.XLOOKUP(Term3_Early_Dismissal_5[[#This Row],[Activity]],Types_of_Activity[Type of Activity],Types_of_Activity[Classification])=1,Term3_Early_Dismissal_5[[#This Row],[Elapsed]],0))</f>
        <v/>
      </c>
      <c r="AI81" s="106" t="str">
        <f>IF(ISBLANK(Term3_Early_Dismissal_5[[#This Row],[Activity]]),"",IF(_xlfn.XLOOKUP(Term3_Early_Dismissal_5[[#This Row],[Activity]],Types_of_Activity[Type of Activity],Types_of_Activity[Classification])=2,Term3_Early_Dismissal_5[[#This Row],[Elapsed]],0))</f>
        <v/>
      </c>
      <c r="AK81" s="136"/>
      <c r="AL81" s="136"/>
      <c r="AM81" s="103"/>
      <c r="AN81" s="106" t="str">
        <f>IF(OR(ISBLANK(Term3_Early_Dismissal_6[[#This Row],[Start]]),ISBLANK(Term3_Early_Dismissal_6[[#This Row],[End]])),"",(Term3_Early_Dismissal_6[[#This Row],[End]]-Term3_Early_Dismissal_6[[#This Row],[Start]])*1440)</f>
        <v/>
      </c>
      <c r="AO81" s="106" t="str">
        <f>IF(ISBLANK(Term3_Early_Dismissal_6[[#This Row],[Activity]]),"",IF(_xlfn.XLOOKUP(Term3_Early_Dismissal_6[[#This Row],[Activity]],Types_of_Activity[Type of Activity],Types_of_Activity[Classification])=1,Term3_Early_Dismissal_6[[#This Row],[Elapsed]],0))</f>
        <v/>
      </c>
      <c r="AP81" s="106" t="str">
        <f>IF(ISBLANK(Term3_Early_Dismissal_6[[#This Row],[Activity]]),"",IF(_xlfn.XLOOKUP(Term3_Early_Dismissal_6[[#This Row],[Activity]],Types_of_Activity[Type of Activity],Types_of_Activity[Classification])=2,Term3_Early_Dismissal_6[[#This Row],[Elapsed]],0))</f>
        <v/>
      </c>
    </row>
    <row r="82" spans="2:42" x14ac:dyDescent="0.3">
      <c r="B82" s="136"/>
      <c r="C82" s="136"/>
      <c r="D82" s="103"/>
      <c r="E82" s="106" t="str">
        <f>IF(OR(ISBLANK(Term3_Early_Dismissal_1[[#This Row],[Start]]),ISBLANK(Term3_Early_Dismissal_1[[#This Row],[End]])),"",(Term3_Early_Dismissal_1[[#This Row],[End]]-Term3_Early_Dismissal_1[[#This Row],[Start]])*1440)</f>
        <v/>
      </c>
      <c r="F82" s="106" t="str">
        <f>IF(ISBLANK(Term3_Early_Dismissal_1[[#This Row],[Activity]]),"",IF(_xlfn.XLOOKUP(Term3_Early_Dismissal_1[[#This Row],[Activity]],Types_of_Activity[Type of Activity],Types_of_Activity[Classification])=1,Term3_Early_Dismissal_1[[#This Row],[Elapsed]],0))</f>
        <v/>
      </c>
      <c r="G82" s="106" t="str">
        <f>IF(ISBLANK(Term3_Early_Dismissal_1[[#This Row],[Activity]]),"",IF(_xlfn.XLOOKUP(Term3_Early_Dismissal_1[[#This Row],[Activity]],Types_of_Activity[Type of Activity],Types_of_Activity[Classification])=2,Term3_Early_Dismissal_1[[#This Row],[Elapsed]],0))</f>
        <v/>
      </c>
      <c r="H82"/>
      <c r="I82" s="136"/>
      <c r="J82" s="136"/>
      <c r="K82" s="103"/>
      <c r="L82" s="106" t="str">
        <f>IF(OR(ISBLANK(Term3_Early_Dismissal_2[[#This Row],[Start]]),ISBLANK(Term3_Early_Dismissal_2[[#This Row],[End]])),"",(Term3_Early_Dismissal_2[[#This Row],[End]]-Term3_Early_Dismissal_2[[#This Row],[Start]])*1440)</f>
        <v/>
      </c>
      <c r="M82" s="106" t="str">
        <f>IF(ISBLANK(Term3_Early_Dismissal_2[[#This Row],[Activity]]),"",IF(_xlfn.XLOOKUP(Term3_Early_Dismissal_2[[#This Row],[Activity]],Types_of_Activity[Type of Activity],Types_of_Activity[Classification])=1,Term3_Early_Dismissal_2[[#This Row],[Elapsed]],0))</f>
        <v/>
      </c>
      <c r="N82" s="106" t="str">
        <f>IF(ISBLANK(Term3_Early_Dismissal_2[[#This Row],[Activity]]),"",IF(_xlfn.XLOOKUP(Term3_Early_Dismissal_2[[#This Row],[Activity]],Types_of_Activity[Type of Activity],Types_of_Activity[Classification])=2,Term3_Early_Dismissal_2[[#This Row],[Elapsed]],0))</f>
        <v/>
      </c>
      <c r="O82"/>
      <c r="P82" s="136"/>
      <c r="Q82" s="136"/>
      <c r="R82" s="103"/>
      <c r="S82" s="106" t="str">
        <f>IF(OR(ISBLANK(Term3_Early_Dismissal_3[[#This Row],[Start]]),ISBLANK(Term3_Early_Dismissal_3[[#This Row],[End]])),"",(Term3_Early_Dismissal_3[[#This Row],[End]]-Term3_Early_Dismissal_3[[#This Row],[Start]])*1440)</f>
        <v/>
      </c>
      <c r="T82" s="106" t="str">
        <f>IF(ISBLANK(Term3_Early_Dismissal_3[[#This Row],[Activity]]),"",IF(_xlfn.XLOOKUP(Term3_Early_Dismissal_3[[#This Row],[Activity]],Types_of_Activity[Type of Activity],Types_of_Activity[Classification])=1,Term3_Early_Dismissal_3[[#This Row],[Elapsed]],0))</f>
        <v/>
      </c>
      <c r="U82" s="106" t="str">
        <f>IF(ISBLANK(Term3_Early_Dismissal_3[[#This Row],[Activity]]),"",IF(_xlfn.XLOOKUP(Term3_Early_Dismissal_3[[#This Row],[Activity]],Types_of_Activity[Type of Activity],Types_of_Activity[Classification])=2,Term3_Early_Dismissal_3[[#This Row],[Elapsed]],0))</f>
        <v/>
      </c>
      <c r="W82" s="136"/>
      <c r="X82" s="136"/>
      <c r="Y82" s="103"/>
      <c r="Z82" s="106" t="str">
        <f>IF(OR(ISBLANK(Term3_Early_Dismissal_4[[#This Row],[Start]]),ISBLANK(Term3_Early_Dismissal_4[[#This Row],[End]])),"",(Term3_Early_Dismissal_4[[#This Row],[End]]-Term3_Early_Dismissal_4[[#This Row],[Start]])*1440)</f>
        <v/>
      </c>
      <c r="AA82" s="106" t="str">
        <f>IF(ISBLANK(Term3_Early_Dismissal_4[[#This Row],[Activity]]),"",IF(_xlfn.XLOOKUP(Term3_Early_Dismissal_4[[#This Row],[Activity]],Types_of_Activity[Type of Activity],Types_of_Activity[Classification])=1,Term3_Early_Dismissal_4[[#This Row],[Elapsed]],0))</f>
        <v/>
      </c>
      <c r="AB82" s="106" t="str">
        <f>IF(ISBLANK(Term3_Early_Dismissal_4[[#This Row],[Activity]]),"",IF(_xlfn.XLOOKUP(Term3_Early_Dismissal_4[[#This Row],[Activity]],Types_of_Activity[Type of Activity],Types_of_Activity[Classification])=2,Term3_Early_Dismissal_4[[#This Row],[Elapsed]],0))</f>
        <v/>
      </c>
      <c r="AD82" s="136"/>
      <c r="AE82" s="136"/>
      <c r="AF82" s="103"/>
      <c r="AG82" s="106" t="str">
        <f>IF(OR(ISBLANK(Term3_Early_Dismissal_5[[#This Row],[Start]]),ISBLANK(Term3_Early_Dismissal_5[[#This Row],[End]])),"",(Term3_Early_Dismissal_5[[#This Row],[End]]-Term3_Early_Dismissal_5[[#This Row],[Start]])*1440)</f>
        <v/>
      </c>
      <c r="AH82" s="106" t="str">
        <f>IF(ISBLANK(Term3_Early_Dismissal_5[[#This Row],[Activity]]),"",IF(_xlfn.XLOOKUP(Term3_Early_Dismissal_5[[#This Row],[Activity]],Types_of_Activity[Type of Activity],Types_of_Activity[Classification])=1,Term3_Early_Dismissal_5[[#This Row],[Elapsed]],0))</f>
        <v/>
      </c>
      <c r="AI82" s="106" t="str">
        <f>IF(ISBLANK(Term3_Early_Dismissal_5[[#This Row],[Activity]]),"",IF(_xlfn.XLOOKUP(Term3_Early_Dismissal_5[[#This Row],[Activity]],Types_of_Activity[Type of Activity],Types_of_Activity[Classification])=2,Term3_Early_Dismissal_5[[#This Row],[Elapsed]],0))</f>
        <v/>
      </c>
      <c r="AK82" s="136"/>
      <c r="AL82" s="136"/>
      <c r="AM82" s="103"/>
      <c r="AN82" s="106" t="str">
        <f>IF(OR(ISBLANK(Term3_Early_Dismissal_6[[#This Row],[Start]]),ISBLANK(Term3_Early_Dismissal_6[[#This Row],[End]])),"",(Term3_Early_Dismissal_6[[#This Row],[End]]-Term3_Early_Dismissal_6[[#This Row],[Start]])*1440)</f>
        <v/>
      </c>
      <c r="AO82" s="106" t="str">
        <f>IF(ISBLANK(Term3_Early_Dismissal_6[[#This Row],[Activity]]),"",IF(_xlfn.XLOOKUP(Term3_Early_Dismissal_6[[#This Row],[Activity]],Types_of_Activity[Type of Activity],Types_of_Activity[Classification])=1,Term3_Early_Dismissal_6[[#This Row],[Elapsed]],0))</f>
        <v/>
      </c>
      <c r="AP82" s="106" t="str">
        <f>IF(ISBLANK(Term3_Early_Dismissal_6[[#This Row],[Activity]]),"",IF(_xlfn.XLOOKUP(Term3_Early_Dismissal_6[[#This Row],[Activity]],Types_of_Activity[Type of Activity],Types_of_Activity[Classification])=2,Term3_Early_Dismissal_6[[#This Row],[Elapsed]],0))</f>
        <v/>
      </c>
    </row>
    <row r="83" spans="2:42" x14ac:dyDescent="0.3">
      <c r="B83" s="136"/>
      <c r="C83" s="136"/>
      <c r="D83" s="103"/>
      <c r="E83" s="106" t="str">
        <f>IF(OR(ISBLANK(Term3_Early_Dismissal_1[[#This Row],[Start]]),ISBLANK(Term3_Early_Dismissal_1[[#This Row],[End]])),"",(Term3_Early_Dismissal_1[[#This Row],[End]]-Term3_Early_Dismissal_1[[#This Row],[Start]])*1440)</f>
        <v/>
      </c>
      <c r="F83" s="106" t="str">
        <f>IF(ISBLANK(Term3_Early_Dismissal_1[[#This Row],[Activity]]),"",IF(_xlfn.XLOOKUP(Term3_Early_Dismissal_1[[#This Row],[Activity]],Types_of_Activity[Type of Activity],Types_of_Activity[Classification])=1,Term3_Early_Dismissal_1[[#This Row],[Elapsed]],0))</f>
        <v/>
      </c>
      <c r="G83" s="106" t="str">
        <f>IF(ISBLANK(Term3_Early_Dismissal_1[[#This Row],[Activity]]),"",IF(_xlfn.XLOOKUP(Term3_Early_Dismissal_1[[#This Row],[Activity]],Types_of_Activity[Type of Activity],Types_of_Activity[Classification])=2,Term3_Early_Dismissal_1[[#This Row],[Elapsed]],0))</f>
        <v/>
      </c>
      <c r="H83"/>
      <c r="I83" s="136"/>
      <c r="J83" s="136"/>
      <c r="K83" s="103"/>
      <c r="L83" s="106" t="str">
        <f>IF(OR(ISBLANK(Term3_Early_Dismissal_2[[#This Row],[Start]]),ISBLANK(Term3_Early_Dismissal_2[[#This Row],[End]])),"",(Term3_Early_Dismissal_2[[#This Row],[End]]-Term3_Early_Dismissal_2[[#This Row],[Start]])*1440)</f>
        <v/>
      </c>
      <c r="M83" s="106" t="str">
        <f>IF(ISBLANK(Term3_Early_Dismissal_2[[#This Row],[Activity]]),"",IF(_xlfn.XLOOKUP(Term3_Early_Dismissal_2[[#This Row],[Activity]],Types_of_Activity[Type of Activity],Types_of_Activity[Classification])=1,Term3_Early_Dismissal_2[[#This Row],[Elapsed]],0))</f>
        <v/>
      </c>
      <c r="N83" s="106" t="str">
        <f>IF(ISBLANK(Term3_Early_Dismissal_2[[#This Row],[Activity]]),"",IF(_xlfn.XLOOKUP(Term3_Early_Dismissal_2[[#This Row],[Activity]],Types_of_Activity[Type of Activity],Types_of_Activity[Classification])=2,Term3_Early_Dismissal_2[[#This Row],[Elapsed]],0))</f>
        <v/>
      </c>
      <c r="O83"/>
      <c r="P83" s="136"/>
      <c r="Q83" s="136"/>
      <c r="R83" s="103"/>
      <c r="S83" s="106" t="str">
        <f>IF(OR(ISBLANK(Term3_Early_Dismissal_3[[#This Row],[Start]]),ISBLANK(Term3_Early_Dismissal_3[[#This Row],[End]])),"",(Term3_Early_Dismissal_3[[#This Row],[End]]-Term3_Early_Dismissal_3[[#This Row],[Start]])*1440)</f>
        <v/>
      </c>
      <c r="T83" s="106" t="str">
        <f>IF(ISBLANK(Term3_Early_Dismissal_3[[#This Row],[Activity]]),"",IF(_xlfn.XLOOKUP(Term3_Early_Dismissal_3[[#This Row],[Activity]],Types_of_Activity[Type of Activity],Types_of_Activity[Classification])=1,Term3_Early_Dismissal_3[[#This Row],[Elapsed]],0))</f>
        <v/>
      </c>
      <c r="U83" s="106" t="str">
        <f>IF(ISBLANK(Term3_Early_Dismissal_3[[#This Row],[Activity]]),"",IF(_xlfn.XLOOKUP(Term3_Early_Dismissal_3[[#This Row],[Activity]],Types_of_Activity[Type of Activity],Types_of_Activity[Classification])=2,Term3_Early_Dismissal_3[[#This Row],[Elapsed]],0))</f>
        <v/>
      </c>
      <c r="W83" s="136"/>
      <c r="X83" s="136"/>
      <c r="Y83" s="103"/>
      <c r="Z83" s="106" t="str">
        <f>IF(OR(ISBLANK(Term3_Early_Dismissal_4[[#This Row],[Start]]),ISBLANK(Term3_Early_Dismissal_4[[#This Row],[End]])),"",(Term3_Early_Dismissal_4[[#This Row],[End]]-Term3_Early_Dismissal_4[[#This Row],[Start]])*1440)</f>
        <v/>
      </c>
      <c r="AA83" s="106" t="str">
        <f>IF(ISBLANK(Term3_Early_Dismissal_4[[#This Row],[Activity]]),"",IF(_xlfn.XLOOKUP(Term3_Early_Dismissal_4[[#This Row],[Activity]],Types_of_Activity[Type of Activity],Types_of_Activity[Classification])=1,Term3_Early_Dismissal_4[[#This Row],[Elapsed]],0))</f>
        <v/>
      </c>
      <c r="AB83" s="106" t="str">
        <f>IF(ISBLANK(Term3_Early_Dismissal_4[[#This Row],[Activity]]),"",IF(_xlfn.XLOOKUP(Term3_Early_Dismissal_4[[#This Row],[Activity]],Types_of_Activity[Type of Activity],Types_of_Activity[Classification])=2,Term3_Early_Dismissal_4[[#This Row],[Elapsed]],0))</f>
        <v/>
      </c>
      <c r="AD83" s="136"/>
      <c r="AE83" s="136"/>
      <c r="AF83" s="103"/>
      <c r="AG83" s="106" t="str">
        <f>IF(OR(ISBLANK(Term3_Early_Dismissal_5[[#This Row],[Start]]),ISBLANK(Term3_Early_Dismissal_5[[#This Row],[End]])),"",(Term3_Early_Dismissal_5[[#This Row],[End]]-Term3_Early_Dismissal_5[[#This Row],[Start]])*1440)</f>
        <v/>
      </c>
      <c r="AH83" s="106" t="str">
        <f>IF(ISBLANK(Term3_Early_Dismissal_5[[#This Row],[Activity]]),"",IF(_xlfn.XLOOKUP(Term3_Early_Dismissal_5[[#This Row],[Activity]],Types_of_Activity[Type of Activity],Types_of_Activity[Classification])=1,Term3_Early_Dismissal_5[[#This Row],[Elapsed]],0))</f>
        <v/>
      </c>
      <c r="AI83" s="106" t="str">
        <f>IF(ISBLANK(Term3_Early_Dismissal_5[[#This Row],[Activity]]),"",IF(_xlfn.XLOOKUP(Term3_Early_Dismissal_5[[#This Row],[Activity]],Types_of_Activity[Type of Activity],Types_of_Activity[Classification])=2,Term3_Early_Dismissal_5[[#This Row],[Elapsed]],0))</f>
        <v/>
      </c>
      <c r="AK83" s="136"/>
      <c r="AL83" s="136"/>
      <c r="AM83" s="103"/>
      <c r="AN83" s="106" t="str">
        <f>IF(OR(ISBLANK(Term3_Early_Dismissal_6[[#This Row],[Start]]),ISBLANK(Term3_Early_Dismissal_6[[#This Row],[End]])),"",(Term3_Early_Dismissal_6[[#This Row],[End]]-Term3_Early_Dismissal_6[[#This Row],[Start]])*1440)</f>
        <v/>
      </c>
      <c r="AO83" s="106" t="str">
        <f>IF(ISBLANK(Term3_Early_Dismissal_6[[#This Row],[Activity]]),"",IF(_xlfn.XLOOKUP(Term3_Early_Dismissal_6[[#This Row],[Activity]],Types_of_Activity[Type of Activity],Types_of_Activity[Classification])=1,Term3_Early_Dismissal_6[[#This Row],[Elapsed]],0))</f>
        <v/>
      </c>
      <c r="AP83" s="106" t="str">
        <f>IF(ISBLANK(Term3_Early_Dismissal_6[[#This Row],[Activity]]),"",IF(_xlfn.XLOOKUP(Term3_Early_Dismissal_6[[#This Row],[Activity]],Types_of_Activity[Type of Activity],Types_of_Activity[Classification])=2,Term3_Early_Dismissal_6[[#This Row],[Elapsed]],0))</f>
        <v/>
      </c>
    </row>
    <row r="84" spans="2:42" x14ac:dyDescent="0.3">
      <c r="B84" s="136"/>
      <c r="C84" s="136"/>
      <c r="D84" s="103"/>
      <c r="E84" s="106" t="str">
        <f>IF(OR(ISBLANK(Term3_Early_Dismissal_1[[#This Row],[Start]]),ISBLANK(Term3_Early_Dismissal_1[[#This Row],[End]])),"",(Term3_Early_Dismissal_1[[#This Row],[End]]-Term3_Early_Dismissal_1[[#This Row],[Start]])*1440)</f>
        <v/>
      </c>
      <c r="F84" s="106" t="str">
        <f>IF(ISBLANK(Term3_Early_Dismissal_1[[#This Row],[Activity]]),"",IF(_xlfn.XLOOKUP(Term3_Early_Dismissal_1[[#This Row],[Activity]],Types_of_Activity[Type of Activity],Types_of_Activity[Classification])=1,Term3_Early_Dismissal_1[[#This Row],[Elapsed]],0))</f>
        <v/>
      </c>
      <c r="G84" s="106" t="str">
        <f>IF(ISBLANK(Term3_Early_Dismissal_1[[#This Row],[Activity]]),"",IF(_xlfn.XLOOKUP(Term3_Early_Dismissal_1[[#This Row],[Activity]],Types_of_Activity[Type of Activity],Types_of_Activity[Classification])=2,Term3_Early_Dismissal_1[[#This Row],[Elapsed]],0))</f>
        <v/>
      </c>
      <c r="H84"/>
      <c r="I84" s="136"/>
      <c r="J84" s="136"/>
      <c r="K84" s="103"/>
      <c r="L84" s="106" t="str">
        <f>IF(OR(ISBLANK(Term3_Early_Dismissal_2[[#This Row],[Start]]),ISBLANK(Term3_Early_Dismissal_2[[#This Row],[End]])),"",(Term3_Early_Dismissal_2[[#This Row],[End]]-Term3_Early_Dismissal_2[[#This Row],[Start]])*1440)</f>
        <v/>
      </c>
      <c r="M84" s="106" t="str">
        <f>IF(ISBLANK(Term3_Early_Dismissal_2[[#This Row],[Activity]]),"",IF(_xlfn.XLOOKUP(Term3_Early_Dismissal_2[[#This Row],[Activity]],Types_of_Activity[Type of Activity],Types_of_Activity[Classification])=1,Term3_Early_Dismissal_2[[#This Row],[Elapsed]],0))</f>
        <v/>
      </c>
      <c r="N84" s="106" t="str">
        <f>IF(ISBLANK(Term3_Early_Dismissal_2[[#This Row],[Activity]]),"",IF(_xlfn.XLOOKUP(Term3_Early_Dismissal_2[[#This Row],[Activity]],Types_of_Activity[Type of Activity],Types_of_Activity[Classification])=2,Term3_Early_Dismissal_2[[#This Row],[Elapsed]],0))</f>
        <v/>
      </c>
      <c r="O84"/>
      <c r="P84" s="136"/>
      <c r="Q84" s="136"/>
      <c r="R84" s="103"/>
      <c r="S84" s="106" t="str">
        <f>IF(OR(ISBLANK(Term3_Early_Dismissal_3[[#This Row],[Start]]),ISBLANK(Term3_Early_Dismissal_3[[#This Row],[End]])),"",(Term3_Early_Dismissal_3[[#This Row],[End]]-Term3_Early_Dismissal_3[[#This Row],[Start]])*1440)</f>
        <v/>
      </c>
      <c r="T84" s="106" t="str">
        <f>IF(ISBLANK(Term3_Early_Dismissal_3[[#This Row],[Activity]]),"",IF(_xlfn.XLOOKUP(Term3_Early_Dismissal_3[[#This Row],[Activity]],Types_of_Activity[Type of Activity],Types_of_Activity[Classification])=1,Term3_Early_Dismissal_3[[#This Row],[Elapsed]],0))</f>
        <v/>
      </c>
      <c r="U84" s="106" t="str">
        <f>IF(ISBLANK(Term3_Early_Dismissal_3[[#This Row],[Activity]]),"",IF(_xlfn.XLOOKUP(Term3_Early_Dismissal_3[[#This Row],[Activity]],Types_of_Activity[Type of Activity],Types_of_Activity[Classification])=2,Term3_Early_Dismissal_3[[#This Row],[Elapsed]],0))</f>
        <v/>
      </c>
      <c r="W84" s="136"/>
      <c r="X84" s="136"/>
      <c r="Y84" s="103"/>
      <c r="Z84" s="106" t="str">
        <f>IF(OR(ISBLANK(Term3_Early_Dismissal_4[[#This Row],[Start]]),ISBLANK(Term3_Early_Dismissal_4[[#This Row],[End]])),"",(Term3_Early_Dismissal_4[[#This Row],[End]]-Term3_Early_Dismissal_4[[#This Row],[Start]])*1440)</f>
        <v/>
      </c>
      <c r="AA84" s="106" t="str">
        <f>IF(ISBLANK(Term3_Early_Dismissal_4[[#This Row],[Activity]]),"",IF(_xlfn.XLOOKUP(Term3_Early_Dismissal_4[[#This Row],[Activity]],Types_of_Activity[Type of Activity],Types_of_Activity[Classification])=1,Term3_Early_Dismissal_4[[#This Row],[Elapsed]],0))</f>
        <v/>
      </c>
      <c r="AB84" s="106" t="str">
        <f>IF(ISBLANK(Term3_Early_Dismissal_4[[#This Row],[Activity]]),"",IF(_xlfn.XLOOKUP(Term3_Early_Dismissal_4[[#This Row],[Activity]],Types_of_Activity[Type of Activity],Types_of_Activity[Classification])=2,Term3_Early_Dismissal_4[[#This Row],[Elapsed]],0))</f>
        <v/>
      </c>
      <c r="AD84" s="136"/>
      <c r="AE84" s="136"/>
      <c r="AF84" s="103"/>
      <c r="AG84" s="106" t="str">
        <f>IF(OR(ISBLANK(Term3_Early_Dismissal_5[[#This Row],[Start]]),ISBLANK(Term3_Early_Dismissal_5[[#This Row],[End]])),"",(Term3_Early_Dismissal_5[[#This Row],[End]]-Term3_Early_Dismissal_5[[#This Row],[Start]])*1440)</f>
        <v/>
      </c>
      <c r="AH84" s="106" t="str">
        <f>IF(ISBLANK(Term3_Early_Dismissal_5[[#This Row],[Activity]]),"",IF(_xlfn.XLOOKUP(Term3_Early_Dismissal_5[[#This Row],[Activity]],Types_of_Activity[Type of Activity],Types_of_Activity[Classification])=1,Term3_Early_Dismissal_5[[#This Row],[Elapsed]],0))</f>
        <v/>
      </c>
      <c r="AI84" s="106" t="str">
        <f>IF(ISBLANK(Term3_Early_Dismissal_5[[#This Row],[Activity]]),"",IF(_xlfn.XLOOKUP(Term3_Early_Dismissal_5[[#This Row],[Activity]],Types_of_Activity[Type of Activity],Types_of_Activity[Classification])=2,Term3_Early_Dismissal_5[[#This Row],[Elapsed]],0))</f>
        <v/>
      </c>
      <c r="AK84" s="136"/>
      <c r="AL84" s="136"/>
      <c r="AM84" s="103"/>
      <c r="AN84" s="106" t="str">
        <f>IF(OR(ISBLANK(Term3_Early_Dismissal_6[[#This Row],[Start]]),ISBLANK(Term3_Early_Dismissal_6[[#This Row],[End]])),"",(Term3_Early_Dismissal_6[[#This Row],[End]]-Term3_Early_Dismissal_6[[#This Row],[Start]])*1440)</f>
        <v/>
      </c>
      <c r="AO84" s="106" t="str">
        <f>IF(ISBLANK(Term3_Early_Dismissal_6[[#This Row],[Activity]]),"",IF(_xlfn.XLOOKUP(Term3_Early_Dismissal_6[[#This Row],[Activity]],Types_of_Activity[Type of Activity],Types_of_Activity[Classification])=1,Term3_Early_Dismissal_6[[#This Row],[Elapsed]],0))</f>
        <v/>
      </c>
      <c r="AP84" s="106" t="str">
        <f>IF(ISBLANK(Term3_Early_Dismissal_6[[#This Row],[Activity]]),"",IF(_xlfn.XLOOKUP(Term3_Early_Dismissal_6[[#This Row],[Activity]],Types_of_Activity[Type of Activity],Types_of_Activity[Classification])=2,Term3_Early_Dismissal_6[[#This Row],[Elapsed]],0))</f>
        <v/>
      </c>
    </row>
    <row r="85" spans="2:42" x14ac:dyDescent="0.3">
      <c r="B85" s="136"/>
      <c r="C85" s="136"/>
      <c r="D85" s="103"/>
      <c r="E85" s="106" t="str">
        <f>IF(OR(ISBLANK(Term3_Early_Dismissal_1[[#This Row],[Start]]),ISBLANK(Term3_Early_Dismissal_1[[#This Row],[End]])),"",(Term3_Early_Dismissal_1[[#This Row],[End]]-Term3_Early_Dismissal_1[[#This Row],[Start]])*1440)</f>
        <v/>
      </c>
      <c r="F85" s="106" t="str">
        <f>IF(ISBLANK(Term3_Early_Dismissal_1[[#This Row],[Activity]]),"",IF(_xlfn.XLOOKUP(Term3_Early_Dismissal_1[[#This Row],[Activity]],Types_of_Activity[Type of Activity],Types_of_Activity[Classification])=1,Term3_Early_Dismissal_1[[#This Row],[Elapsed]],0))</f>
        <v/>
      </c>
      <c r="G85" s="106" t="str">
        <f>IF(ISBLANK(Term3_Early_Dismissal_1[[#This Row],[Activity]]),"",IF(_xlfn.XLOOKUP(Term3_Early_Dismissal_1[[#This Row],[Activity]],Types_of_Activity[Type of Activity],Types_of_Activity[Classification])=2,Term3_Early_Dismissal_1[[#This Row],[Elapsed]],0))</f>
        <v/>
      </c>
      <c r="H85"/>
      <c r="I85" s="136"/>
      <c r="J85" s="136"/>
      <c r="K85" s="103"/>
      <c r="L85" s="106" t="str">
        <f>IF(OR(ISBLANK(Term3_Early_Dismissal_2[[#This Row],[Start]]),ISBLANK(Term3_Early_Dismissal_2[[#This Row],[End]])),"",(Term3_Early_Dismissal_2[[#This Row],[End]]-Term3_Early_Dismissal_2[[#This Row],[Start]])*1440)</f>
        <v/>
      </c>
      <c r="M85" s="106" t="str">
        <f>IF(ISBLANK(Term3_Early_Dismissal_2[[#This Row],[Activity]]),"",IF(_xlfn.XLOOKUP(Term3_Early_Dismissal_2[[#This Row],[Activity]],Types_of_Activity[Type of Activity],Types_of_Activity[Classification])=1,Term3_Early_Dismissal_2[[#This Row],[Elapsed]],0))</f>
        <v/>
      </c>
      <c r="N85" s="106" t="str">
        <f>IF(ISBLANK(Term3_Early_Dismissal_2[[#This Row],[Activity]]),"",IF(_xlfn.XLOOKUP(Term3_Early_Dismissal_2[[#This Row],[Activity]],Types_of_Activity[Type of Activity],Types_of_Activity[Classification])=2,Term3_Early_Dismissal_2[[#This Row],[Elapsed]],0))</f>
        <v/>
      </c>
      <c r="O85"/>
      <c r="P85" s="136"/>
      <c r="Q85" s="136"/>
      <c r="R85" s="103"/>
      <c r="S85" s="106" t="str">
        <f>IF(OR(ISBLANK(Term3_Early_Dismissal_3[[#This Row],[Start]]),ISBLANK(Term3_Early_Dismissal_3[[#This Row],[End]])),"",(Term3_Early_Dismissal_3[[#This Row],[End]]-Term3_Early_Dismissal_3[[#This Row],[Start]])*1440)</f>
        <v/>
      </c>
      <c r="T85" s="106" t="str">
        <f>IF(ISBLANK(Term3_Early_Dismissal_3[[#This Row],[Activity]]),"",IF(_xlfn.XLOOKUP(Term3_Early_Dismissal_3[[#This Row],[Activity]],Types_of_Activity[Type of Activity],Types_of_Activity[Classification])=1,Term3_Early_Dismissal_3[[#This Row],[Elapsed]],0))</f>
        <v/>
      </c>
      <c r="U85" s="106" t="str">
        <f>IF(ISBLANK(Term3_Early_Dismissal_3[[#This Row],[Activity]]),"",IF(_xlfn.XLOOKUP(Term3_Early_Dismissal_3[[#This Row],[Activity]],Types_of_Activity[Type of Activity],Types_of_Activity[Classification])=2,Term3_Early_Dismissal_3[[#This Row],[Elapsed]],0))</f>
        <v/>
      </c>
      <c r="W85" s="136"/>
      <c r="X85" s="136"/>
      <c r="Y85" s="103"/>
      <c r="Z85" s="106" t="str">
        <f>IF(OR(ISBLANK(Term3_Early_Dismissal_4[[#This Row],[Start]]),ISBLANK(Term3_Early_Dismissal_4[[#This Row],[End]])),"",(Term3_Early_Dismissal_4[[#This Row],[End]]-Term3_Early_Dismissal_4[[#This Row],[Start]])*1440)</f>
        <v/>
      </c>
      <c r="AA85" s="106" t="str">
        <f>IF(ISBLANK(Term3_Early_Dismissal_4[[#This Row],[Activity]]),"",IF(_xlfn.XLOOKUP(Term3_Early_Dismissal_4[[#This Row],[Activity]],Types_of_Activity[Type of Activity],Types_of_Activity[Classification])=1,Term3_Early_Dismissal_4[[#This Row],[Elapsed]],0))</f>
        <v/>
      </c>
      <c r="AB85" s="106" t="str">
        <f>IF(ISBLANK(Term3_Early_Dismissal_4[[#This Row],[Activity]]),"",IF(_xlfn.XLOOKUP(Term3_Early_Dismissal_4[[#This Row],[Activity]],Types_of_Activity[Type of Activity],Types_of_Activity[Classification])=2,Term3_Early_Dismissal_4[[#This Row],[Elapsed]],0))</f>
        <v/>
      </c>
      <c r="AD85" s="136"/>
      <c r="AE85" s="136"/>
      <c r="AF85" s="103"/>
      <c r="AG85" s="106" t="str">
        <f>IF(OR(ISBLANK(Term3_Early_Dismissal_5[[#This Row],[Start]]),ISBLANK(Term3_Early_Dismissal_5[[#This Row],[End]])),"",(Term3_Early_Dismissal_5[[#This Row],[End]]-Term3_Early_Dismissal_5[[#This Row],[Start]])*1440)</f>
        <v/>
      </c>
      <c r="AH85" s="106" t="str">
        <f>IF(ISBLANK(Term3_Early_Dismissal_5[[#This Row],[Activity]]),"",IF(_xlfn.XLOOKUP(Term3_Early_Dismissal_5[[#This Row],[Activity]],Types_of_Activity[Type of Activity],Types_of_Activity[Classification])=1,Term3_Early_Dismissal_5[[#This Row],[Elapsed]],0))</f>
        <v/>
      </c>
      <c r="AI85" s="106" t="str">
        <f>IF(ISBLANK(Term3_Early_Dismissal_5[[#This Row],[Activity]]),"",IF(_xlfn.XLOOKUP(Term3_Early_Dismissal_5[[#This Row],[Activity]],Types_of_Activity[Type of Activity],Types_of_Activity[Classification])=2,Term3_Early_Dismissal_5[[#This Row],[Elapsed]],0))</f>
        <v/>
      </c>
      <c r="AK85" s="136"/>
      <c r="AL85" s="136"/>
      <c r="AM85" s="103"/>
      <c r="AN85" s="106" t="str">
        <f>IF(OR(ISBLANK(Term3_Early_Dismissal_6[[#This Row],[Start]]),ISBLANK(Term3_Early_Dismissal_6[[#This Row],[End]])),"",(Term3_Early_Dismissal_6[[#This Row],[End]]-Term3_Early_Dismissal_6[[#This Row],[Start]])*1440)</f>
        <v/>
      </c>
      <c r="AO85" s="106" t="str">
        <f>IF(ISBLANK(Term3_Early_Dismissal_6[[#This Row],[Activity]]),"",IF(_xlfn.XLOOKUP(Term3_Early_Dismissal_6[[#This Row],[Activity]],Types_of_Activity[Type of Activity],Types_of_Activity[Classification])=1,Term3_Early_Dismissal_6[[#This Row],[Elapsed]],0))</f>
        <v/>
      </c>
      <c r="AP85" s="106" t="str">
        <f>IF(ISBLANK(Term3_Early_Dismissal_6[[#This Row],[Activity]]),"",IF(_xlfn.XLOOKUP(Term3_Early_Dismissal_6[[#This Row],[Activity]],Types_of_Activity[Type of Activity],Types_of_Activity[Classification])=2,Term3_Early_Dismissal_6[[#This Row],[Elapsed]],0))</f>
        <v/>
      </c>
    </row>
    <row r="86" spans="2:42" x14ac:dyDescent="0.3">
      <c r="B86" s="136"/>
      <c r="C86" s="136"/>
      <c r="D86" s="103"/>
      <c r="E86" s="106" t="str">
        <f>IF(OR(ISBLANK(Term3_Early_Dismissal_1[[#This Row],[Start]]),ISBLANK(Term3_Early_Dismissal_1[[#This Row],[End]])),"",(Term3_Early_Dismissal_1[[#This Row],[End]]-Term3_Early_Dismissal_1[[#This Row],[Start]])*1440)</f>
        <v/>
      </c>
      <c r="F86" s="106" t="str">
        <f>IF(ISBLANK(Term3_Early_Dismissal_1[[#This Row],[Activity]]),"",IF(_xlfn.XLOOKUP(Term3_Early_Dismissal_1[[#This Row],[Activity]],Types_of_Activity[Type of Activity],Types_of_Activity[Classification])=1,Term3_Early_Dismissal_1[[#This Row],[Elapsed]],0))</f>
        <v/>
      </c>
      <c r="G86" s="106" t="str">
        <f>IF(ISBLANK(Term3_Early_Dismissal_1[[#This Row],[Activity]]),"",IF(_xlfn.XLOOKUP(Term3_Early_Dismissal_1[[#This Row],[Activity]],Types_of_Activity[Type of Activity],Types_of_Activity[Classification])=2,Term3_Early_Dismissal_1[[#This Row],[Elapsed]],0))</f>
        <v/>
      </c>
      <c r="H86"/>
      <c r="I86" s="136"/>
      <c r="J86" s="136"/>
      <c r="K86" s="103"/>
      <c r="L86" s="106" t="str">
        <f>IF(OR(ISBLANK(Term3_Early_Dismissal_2[[#This Row],[Start]]),ISBLANK(Term3_Early_Dismissal_2[[#This Row],[End]])),"",(Term3_Early_Dismissal_2[[#This Row],[End]]-Term3_Early_Dismissal_2[[#This Row],[Start]])*1440)</f>
        <v/>
      </c>
      <c r="M86" s="106" t="str">
        <f>IF(ISBLANK(Term3_Early_Dismissal_2[[#This Row],[Activity]]),"",IF(_xlfn.XLOOKUP(Term3_Early_Dismissal_2[[#This Row],[Activity]],Types_of_Activity[Type of Activity],Types_of_Activity[Classification])=1,Term3_Early_Dismissal_2[[#This Row],[Elapsed]],0))</f>
        <v/>
      </c>
      <c r="N86" s="106" t="str">
        <f>IF(ISBLANK(Term3_Early_Dismissal_2[[#This Row],[Activity]]),"",IF(_xlfn.XLOOKUP(Term3_Early_Dismissal_2[[#This Row],[Activity]],Types_of_Activity[Type of Activity],Types_of_Activity[Classification])=2,Term3_Early_Dismissal_2[[#This Row],[Elapsed]],0))</f>
        <v/>
      </c>
      <c r="O86"/>
      <c r="P86" s="136"/>
      <c r="Q86" s="136"/>
      <c r="R86" s="103"/>
      <c r="S86" s="106" t="str">
        <f>IF(OR(ISBLANK(Term3_Early_Dismissal_3[[#This Row],[Start]]),ISBLANK(Term3_Early_Dismissal_3[[#This Row],[End]])),"",(Term3_Early_Dismissal_3[[#This Row],[End]]-Term3_Early_Dismissal_3[[#This Row],[Start]])*1440)</f>
        <v/>
      </c>
      <c r="T86" s="106" t="str">
        <f>IF(ISBLANK(Term3_Early_Dismissal_3[[#This Row],[Activity]]),"",IF(_xlfn.XLOOKUP(Term3_Early_Dismissal_3[[#This Row],[Activity]],Types_of_Activity[Type of Activity],Types_of_Activity[Classification])=1,Term3_Early_Dismissal_3[[#This Row],[Elapsed]],0))</f>
        <v/>
      </c>
      <c r="U86" s="106" t="str">
        <f>IF(ISBLANK(Term3_Early_Dismissal_3[[#This Row],[Activity]]),"",IF(_xlfn.XLOOKUP(Term3_Early_Dismissal_3[[#This Row],[Activity]],Types_of_Activity[Type of Activity],Types_of_Activity[Classification])=2,Term3_Early_Dismissal_3[[#This Row],[Elapsed]],0))</f>
        <v/>
      </c>
      <c r="W86" s="136"/>
      <c r="X86" s="136"/>
      <c r="Y86" s="103"/>
      <c r="Z86" s="106" t="str">
        <f>IF(OR(ISBLANK(Term3_Early_Dismissal_4[[#This Row],[Start]]),ISBLANK(Term3_Early_Dismissal_4[[#This Row],[End]])),"",(Term3_Early_Dismissal_4[[#This Row],[End]]-Term3_Early_Dismissal_4[[#This Row],[Start]])*1440)</f>
        <v/>
      </c>
      <c r="AA86" s="106" t="str">
        <f>IF(ISBLANK(Term3_Early_Dismissal_4[[#This Row],[Activity]]),"",IF(_xlfn.XLOOKUP(Term3_Early_Dismissal_4[[#This Row],[Activity]],Types_of_Activity[Type of Activity],Types_of_Activity[Classification])=1,Term3_Early_Dismissal_4[[#This Row],[Elapsed]],0))</f>
        <v/>
      </c>
      <c r="AB86" s="106" t="str">
        <f>IF(ISBLANK(Term3_Early_Dismissal_4[[#This Row],[Activity]]),"",IF(_xlfn.XLOOKUP(Term3_Early_Dismissal_4[[#This Row],[Activity]],Types_of_Activity[Type of Activity],Types_of_Activity[Classification])=2,Term3_Early_Dismissal_4[[#This Row],[Elapsed]],0))</f>
        <v/>
      </c>
      <c r="AD86" s="136"/>
      <c r="AE86" s="136"/>
      <c r="AF86" s="103"/>
      <c r="AG86" s="106" t="str">
        <f>IF(OR(ISBLANK(Term3_Early_Dismissal_5[[#This Row],[Start]]),ISBLANK(Term3_Early_Dismissal_5[[#This Row],[End]])),"",(Term3_Early_Dismissal_5[[#This Row],[End]]-Term3_Early_Dismissal_5[[#This Row],[Start]])*1440)</f>
        <v/>
      </c>
      <c r="AH86" s="106" t="str">
        <f>IF(ISBLANK(Term3_Early_Dismissal_5[[#This Row],[Activity]]),"",IF(_xlfn.XLOOKUP(Term3_Early_Dismissal_5[[#This Row],[Activity]],Types_of_Activity[Type of Activity],Types_of_Activity[Classification])=1,Term3_Early_Dismissal_5[[#This Row],[Elapsed]],0))</f>
        <v/>
      </c>
      <c r="AI86" s="106" t="str">
        <f>IF(ISBLANK(Term3_Early_Dismissal_5[[#This Row],[Activity]]),"",IF(_xlfn.XLOOKUP(Term3_Early_Dismissal_5[[#This Row],[Activity]],Types_of_Activity[Type of Activity],Types_of_Activity[Classification])=2,Term3_Early_Dismissal_5[[#This Row],[Elapsed]],0))</f>
        <v/>
      </c>
      <c r="AK86" s="136"/>
      <c r="AL86" s="136"/>
      <c r="AM86" s="103"/>
      <c r="AN86" s="106" t="str">
        <f>IF(OR(ISBLANK(Term3_Early_Dismissal_6[[#This Row],[Start]]),ISBLANK(Term3_Early_Dismissal_6[[#This Row],[End]])),"",(Term3_Early_Dismissal_6[[#This Row],[End]]-Term3_Early_Dismissal_6[[#This Row],[Start]])*1440)</f>
        <v/>
      </c>
      <c r="AO86" s="106" t="str">
        <f>IF(ISBLANK(Term3_Early_Dismissal_6[[#This Row],[Activity]]),"",IF(_xlfn.XLOOKUP(Term3_Early_Dismissal_6[[#This Row],[Activity]],Types_of_Activity[Type of Activity],Types_of_Activity[Classification])=1,Term3_Early_Dismissal_6[[#This Row],[Elapsed]],0))</f>
        <v/>
      </c>
      <c r="AP86" s="106" t="str">
        <f>IF(ISBLANK(Term3_Early_Dismissal_6[[#This Row],[Activity]]),"",IF(_xlfn.XLOOKUP(Term3_Early_Dismissal_6[[#This Row],[Activity]],Types_of_Activity[Type of Activity],Types_of_Activity[Classification])=2,Term3_Early_Dismissal_6[[#This Row],[Elapsed]],0))</f>
        <v/>
      </c>
    </row>
    <row r="87" spans="2:42" x14ac:dyDescent="0.3">
      <c r="B87" s="136"/>
      <c r="C87" s="136"/>
      <c r="D87" s="103"/>
      <c r="E87" s="106" t="str">
        <f>IF(OR(ISBLANK(Term3_Early_Dismissal_1[[#This Row],[Start]]),ISBLANK(Term3_Early_Dismissal_1[[#This Row],[End]])),"",(Term3_Early_Dismissal_1[[#This Row],[End]]-Term3_Early_Dismissal_1[[#This Row],[Start]])*1440)</f>
        <v/>
      </c>
      <c r="F87" s="106" t="str">
        <f>IF(ISBLANK(Term3_Early_Dismissal_1[[#This Row],[Activity]]),"",IF(_xlfn.XLOOKUP(Term3_Early_Dismissal_1[[#This Row],[Activity]],Types_of_Activity[Type of Activity],Types_of_Activity[Classification])=1,Term3_Early_Dismissal_1[[#This Row],[Elapsed]],0))</f>
        <v/>
      </c>
      <c r="G87" s="106" t="str">
        <f>IF(ISBLANK(Term3_Early_Dismissal_1[[#This Row],[Activity]]),"",IF(_xlfn.XLOOKUP(Term3_Early_Dismissal_1[[#This Row],[Activity]],Types_of_Activity[Type of Activity],Types_of_Activity[Classification])=2,Term3_Early_Dismissal_1[[#This Row],[Elapsed]],0))</f>
        <v/>
      </c>
      <c r="H87"/>
      <c r="I87" s="136"/>
      <c r="J87" s="136"/>
      <c r="K87" s="103"/>
      <c r="L87" s="106" t="str">
        <f>IF(OR(ISBLANK(Term3_Early_Dismissal_2[[#This Row],[Start]]),ISBLANK(Term3_Early_Dismissal_2[[#This Row],[End]])),"",(Term3_Early_Dismissal_2[[#This Row],[End]]-Term3_Early_Dismissal_2[[#This Row],[Start]])*1440)</f>
        <v/>
      </c>
      <c r="M87" s="106" t="str">
        <f>IF(ISBLANK(Term3_Early_Dismissal_2[[#This Row],[Activity]]),"",IF(_xlfn.XLOOKUP(Term3_Early_Dismissal_2[[#This Row],[Activity]],Types_of_Activity[Type of Activity],Types_of_Activity[Classification])=1,Term3_Early_Dismissal_2[[#This Row],[Elapsed]],0))</f>
        <v/>
      </c>
      <c r="N87" s="106" t="str">
        <f>IF(ISBLANK(Term3_Early_Dismissal_2[[#This Row],[Activity]]),"",IF(_xlfn.XLOOKUP(Term3_Early_Dismissal_2[[#This Row],[Activity]],Types_of_Activity[Type of Activity],Types_of_Activity[Classification])=2,Term3_Early_Dismissal_2[[#This Row],[Elapsed]],0))</f>
        <v/>
      </c>
      <c r="O87"/>
      <c r="P87" s="136"/>
      <c r="Q87" s="136"/>
      <c r="R87" s="103"/>
      <c r="S87" s="106" t="str">
        <f>IF(OR(ISBLANK(Term3_Early_Dismissal_3[[#This Row],[Start]]),ISBLANK(Term3_Early_Dismissal_3[[#This Row],[End]])),"",(Term3_Early_Dismissal_3[[#This Row],[End]]-Term3_Early_Dismissal_3[[#This Row],[Start]])*1440)</f>
        <v/>
      </c>
      <c r="T87" s="106" t="str">
        <f>IF(ISBLANK(Term3_Early_Dismissal_3[[#This Row],[Activity]]),"",IF(_xlfn.XLOOKUP(Term3_Early_Dismissal_3[[#This Row],[Activity]],Types_of_Activity[Type of Activity],Types_of_Activity[Classification])=1,Term3_Early_Dismissal_3[[#This Row],[Elapsed]],0))</f>
        <v/>
      </c>
      <c r="U87" s="106" t="str">
        <f>IF(ISBLANK(Term3_Early_Dismissal_3[[#This Row],[Activity]]),"",IF(_xlfn.XLOOKUP(Term3_Early_Dismissal_3[[#This Row],[Activity]],Types_of_Activity[Type of Activity],Types_of_Activity[Classification])=2,Term3_Early_Dismissal_3[[#This Row],[Elapsed]],0))</f>
        <v/>
      </c>
      <c r="W87" s="136"/>
      <c r="X87" s="136"/>
      <c r="Y87" s="103"/>
      <c r="Z87" s="106" t="str">
        <f>IF(OR(ISBLANK(Term3_Early_Dismissal_4[[#This Row],[Start]]),ISBLANK(Term3_Early_Dismissal_4[[#This Row],[End]])),"",(Term3_Early_Dismissal_4[[#This Row],[End]]-Term3_Early_Dismissal_4[[#This Row],[Start]])*1440)</f>
        <v/>
      </c>
      <c r="AA87" s="106" t="str">
        <f>IF(ISBLANK(Term3_Early_Dismissal_4[[#This Row],[Activity]]),"",IF(_xlfn.XLOOKUP(Term3_Early_Dismissal_4[[#This Row],[Activity]],Types_of_Activity[Type of Activity],Types_of_Activity[Classification])=1,Term3_Early_Dismissal_4[[#This Row],[Elapsed]],0))</f>
        <v/>
      </c>
      <c r="AB87" s="106" t="str">
        <f>IF(ISBLANK(Term3_Early_Dismissal_4[[#This Row],[Activity]]),"",IF(_xlfn.XLOOKUP(Term3_Early_Dismissal_4[[#This Row],[Activity]],Types_of_Activity[Type of Activity],Types_of_Activity[Classification])=2,Term3_Early_Dismissal_4[[#This Row],[Elapsed]],0))</f>
        <v/>
      </c>
      <c r="AD87" s="136"/>
      <c r="AE87" s="136"/>
      <c r="AF87" s="103"/>
      <c r="AG87" s="106" t="str">
        <f>IF(OR(ISBLANK(Term3_Early_Dismissal_5[[#This Row],[Start]]),ISBLANK(Term3_Early_Dismissal_5[[#This Row],[End]])),"",(Term3_Early_Dismissal_5[[#This Row],[End]]-Term3_Early_Dismissal_5[[#This Row],[Start]])*1440)</f>
        <v/>
      </c>
      <c r="AH87" s="106" t="str">
        <f>IF(ISBLANK(Term3_Early_Dismissal_5[[#This Row],[Activity]]),"",IF(_xlfn.XLOOKUP(Term3_Early_Dismissal_5[[#This Row],[Activity]],Types_of_Activity[Type of Activity],Types_of_Activity[Classification])=1,Term3_Early_Dismissal_5[[#This Row],[Elapsed]],0))</f>
        <v/>
      </c>
      <c r="AI87" s="106" t="str">
        <f>IF(ISBLANK(Term3_Early_Dismissal_5[[#This Row],[Activity]]),"",IF(_xlfn.XLOOKUP(Term3_Early_Dismissal_5[[#This Row],[Activity]],Types_of_Activity[Type of Activity],Types_of_Activity[Classification])=2,Term3_Early_Dismissal_5[[#This Row],[Elapsed]],0))</f>
        <v/>
      </c>
      <c r="AK87" s="136"/>
      <c r="AL87" s="136"/>
      <c r="AM87" s="103"/>
      <c r="AN87" s="106" t="str">
        <f>IF(OR(ISBLANK(Term3_Early_Dismissal_6[[#This Row],[Start]]),ISBLANK(Term3_Early_Dismissal_6[[#This Row],[End]])),"",(Term3_Early_Dismissal_6[[#This Row],[End]]-Term3_Early_Dismissal_6[[#This Row],[Start]])*1440)</f>
        <v/>
      </c>
      <c r="AO87" s="106" t="str">
        <f>IF(ISBLANK(Term3_Early_Dismissal_6[[#This Row],[Activity]]),"",IF(_xlfn.XLOOKUP(Term3_Early_Dismissal_6[[#This Row],[Activity]],Types_of_Activity[Type of Activity],Types_of_Activity[Classification])=1,Term3_Early_Dismissal_6[[#This Row],[Elapsed]],0))</f>
        <v/>
      </c>
      <c r="AP87" s="106" t="str">
        <f>IF(ISBLANK(Term3_Early_Dismissal_6[[#This Row],[Activity]]),"",IF(_xlfn.XLOOKUP(Term3_Early_Dismissal_6[[#This Row],[Activity]],Types_of_Activity[Type of Activity],Types_of_Activity[Classification])=2,Term3_Early_Dismissal_6[[#This Row],[Elapsed]],0))</f>
        <v/>
      </c>
    </row>
    <row r="88" spans="2:42" x14ac:dyDescent="0.3">
      <c r="B88" s="136"/>
      <c r="C88" s="136"/>
      <c r="D88" s="103"/>
      <c r="E88" s="106" t="str">
        <f>IF(OR(ISBLANK(Term3_Early_Dismissal_1[[#This Row],[Start]]),ISBLANK(Term3_Early_Dismissal_1[[#This Row],[End]])),"",(Term3_Early_Dismissal_1[[#This Row],[End]]-Term3_Early_Dismissal_1[[#This Row],[Start]])*1440)</f>
        <v/>
      </c>
      <c r="F88" s="106" t="str">
        <f>IF(ISBLANK(Term3_Early_Dismissal_1[[#This Row],[Activity]]),"",IF(_xlfn.XLOOKUP(Term3_Early_Dismissal_1[[#This Row],[Activity]],Types_of_Activity[Type of Activity],Types_of_Activity[Classification])=1,Term3_Early_Dismissal_1[[#This Row],[Elapsed]],0))</f>
        <v/>
      </c>
      <c r="G88" s="106" t="str">
        <f>IF(ISBLANK(Term3_Early_Dismissal_1[[#This Row],[Activity]]),"",IF(_xlfn.XLOOKUP(Term3_Early_Dismissal_1[[#This Row],[Activity]],Types_of_Activity[Type of Activity],Types_of_Activity[Classification])=2,Term3_Early_Dismissal_1[[#This Row],[Elapsed]],0))</f>
        <v/>
      </c>
      <c r="H88"/>
      <c r="I88" s="136"/>
      <c r="J88" s="136"/>
      <c r="K88" s="103"/>
      <c r="L88" s="106" t="str">
        <f>IF(OR(ISBLANK(Term3_Early_Dismissal_2[[#This Row],[Start]]),ISBLANK(Term3_Early_Dismissal_2[[#This Row],[End]])),"",(Term3_Early_Dismissal_2[[#This Row],[End]]-Term3_Early_Dismissal_2[[#This Row],[Start]])*1440)</f>
        <v/>
      </c>
      <c r="M88" s="106" t="str">
        <f>IF(ISBLANK(Term3_Early_Dismissal_2[[#This Row],[Activity]]),"",IF(_xlfn.XLOOKUP(Term3_Early_Dismissal_2[[#This Row],[Activity]],Types_of_Activity[Type of Activity],Types_of_Activity[Classification])=1,Term3_Early_Dismissal_2[[#This Row],[Elapsed]],0))</f>
        <v/>
      </c>
      <c r="N88" s="106" t="str">
        <f>IF(ISBLANK(Term3_Early_Dismissal_2[[#This Row],[Activity]]),"",IF(_xlfn.XLOOKUP(Term3_Early_Dismissal_2[[#This Row],[Activity]],Types_of_Activity[Type of Activity],Types_of_Activity[Classification])=2,Term3_Early_Dismissal_2[[#This Row],[Elapsed]],0))</f>
        <v/>
      </c>
      <c r="O88"/>
      <c r="P88" s="136"/>
      <c r="Q88" s="136"/>
      <c r="R88" s="103"/>
      <c r="S88" s="106" t="str">
        <f>IF(OR(ISBLANK(Term3_Early_Dismissal_3[[#This Row],[Start]]),ISBLANK(Term3_Early_Dismissal_3[[#This Row],[End]])),"",(Term3_Early_Dismissal_3[[#This Row],[End]]-Term3_Early_Dismissal_3[[#This Row],[Start]])*1440)</f>
        <v/>
      </c>
      <c r="T88" s="106" t="str">
        <f>IF(ISBLANK(Term3_Early_Dismissal_3[[#This Row],[Activity]]),"",IF(_xlfn.XLOOKUP(Term3_Early_Dismissal_3[[#This Row],[Activity]],Types_of_Activity[Type of Activity],Types_of_Activity[Classification])=1,Term3_Early_Dismissal_3[[#This Row],[Elapsed]],0))</f>
        <v/>
      </c>
      <c r="U88" s="106" t="str">
        <f>IF(ISBLANK(Term3_Early_Dismissal_3[[#This Row],[Activity]]),"",IF(_xlfn.XLOOKUP(Term3_Early_Dismissal_3[[#This Row],[Activity]],Types_of_Activity[Type of Activity],Types_of_Activity[Classification])=2,Term3_Early_Dismissal_3[[#This Row],[Elapsed]],0))</f>
        <v/>
      </c>
      <c r="W88" s="136"/>
      <c r="X88" s="136"/>
      <c r="Y88" s="103"/>
      <c r="Z88" s="106" t="str">
        <f>IF(OR(ISBLANK(Term3_Early_Dismissal_4[[#This Row],[Start]]),ISBLANK(Term3_Early_Dismissal_4[[#This Row],[End]])),"",(Term3_Early_Dismissal_4[[#This Row],[End]]-Term3_Early_Dismissal_4[[#This Row],[Start]])*1440)</f>
        <v/>
      </c>
      <c r="AA88" s="106" t="str">
        <f>IF(ISBLANK(Term3_Early_Dismissal_4[[#This Row],[Activity]]),"",IF(_xlfn.XLOOKUP(Term3_Early_Dismissal_4[[#This Row],[Activity]],Types_of_Activity[Type of Activity],Types_of_Activity[Classification])=1,Term3_Early_Dismissal_4[[#This Row],[Elapsed]],0))</f>
        <v/>
      </c>
      <c r="AB88" s="106" t="str">
        <f>IF(ISBLANK(Term3_Early_Dismissal_4[[#This Row],[Activity]]),"",IF(_xlfn.XLOOKUP(Term3_Early_Dismissal_4[[#This Row],[Activity]],Types_of_Activity[Type of Activity],Types_of_Activity[Classification])=2,Term3_Early_Dismissal_4[[#This Row],[Elapsed]],0))</f>
        <v/>
      </c>
      <c r="AD88" s="136"/>
      <c r="AE88" s="136"/>
      <c r="AF88" s="103"/>
      <c r="AG88" s="106" t="str">
        <f>IF(OR(ISBLANK(Term3_Early_Dismissal_5[[#This Row],[Start]]),ISBLANK(Term3_Early_Dismissal_5[[#This Row],[End]])),"",(Term3_Early_Dismissal_5[[#This Row],[End]]-Term3_Early_Dismissal_5[[#This Row],[Start]])*1440)</f>
        <v/>
      </c>
      <c r="AH88" s="106" t="str">
        <f>IF(ISBLANK(Term3_Early_Dismissal_5[[#This Row],[Activity]]),"",IF(_xlfn.XLOOKUP(Term3_Early_Dismissal_5[[#This Row],[Activity]],Types_of_Activity[Type of Activity],Types_of_Activity[Classification])=1,Term3_Early_Dismissal_5[[#This Row],[Elapsed]],0))</f>
        <v/>
      </c>
      <c r="AI88" s="106" t="str">
        <f>IF(ISBLANK(Term3_Early_Dismissal_5[[#This Row],[Activity]]),"",IF(_xlfn.XLOOKUP(Term3_Early_Dismissal_5[[#This Row],[Activity]],Types_of_Activity[Type of Activity],Types_of_Activity[Classification])=2,Term3_Early_Dismissal_5[[#This Row],[Elapsed]],0))</f>
        <v/>
      </c>
      <c r="AK88" s="136"/>
      <c r="AL88" s="136"/>
      <c r="AM88" s="103"/>
      <c r="AN88" s="106" t="str">
        <f>IF(OR(ISBLANK(Term3_Early_Dismissal_6[[#This Row],[Start]]),ISBLANK(Term3_Early_Dismissal_6[[#This Row],[End]])),"",(Term3_Early_Dismissal_6[[#This Row],[End]]-Term3_Early_Dismissal_6[[#This Row],[Start]])*1440)</f>
        <v/>
      </c>
      <c r="AO88" s="106" t="str">
        <f>IF(ISBLANK(Term3_Early_Dismissal_6[[#This Row],[Activity]]),"",IF(_xlfn.XLOOKUP(Term3_Early_Dismissal_6[[#This Row],[Activity]],Types_of_Activity[Type of Activity],Types_of_Activity[Classification])=1,Term3_Early_Dismissal_6[[#This Row],[Elapsed]],0))</f>
        <v/>
      </c>
      <c r="AP88" s="106" t="str">
        <f>IF(ISBLANK(Term3_Early_Dismissal_6[[#This Row],[Activity]]),"",IF(_xlfn.XLOOKUP(Term3_Early_Dismissal_6[[#This Row],[Activity]],Types_of_Activity[Type of Activity],Types_of_Activity[Classification])=2,Term3_Early_Dismissal_6[[#This Row],[Elapsed]],0))</f>
        <v/>
      </c>
    </row>
    <row r="89" spans="2:42" x14ac:dyDescent="0.3">
      <c r="B89" s="136"/>
      <c r="C89" s="136"/>
      <c r="D89" s="103"/>
      <c r="E89" s="106" t="str">
        <f>IF(OR(ISBLANK(Term3_Early_Dismissal_1[[#This Row],[Start]]),ISBLANK(Term3_Early_Dismissal_1[[#This Row],[End]])),"",(Term3_Early_Dismissal_1[[#This Row],[End]]-Term3_Early_Dismissal_1[[#This Row],[Start]])*1440)</f>
        <v/>
      </c>
      <c r="F89" s="106" t="str">
        <f>IF(ISBLANK(Term3_Early_Dismissal_1[[#This Row],[Activity]]),"",IF(_xlfn.XLOOKUP(Term3_Early_Dismissal_1[[#This Row],[Activity]],Types_of_Activity[Type of Activity],Types_of_Activity[Classification])=1,Term3_Early_Dismissal_1[[#This Row],[Elapsed]],0))</f>
        <v/>
      </c>
      <c r="G89" s="106" t="str">
        <f>IF(ISBLANK(Term3_Early_Dismissal_1[[#This Row],[Activity]]),"",IF(_xlfn.XLOOKUP(Term3_Early_Dismissal_1[[#This Row],[Activity]],Types_of_Activity[Type of Activity],Types_of_Activity[Classification])=2,Term3_Early_Dismissal_1[[#This Row],[Elapsed]],0))</f>
        <v/>
      </c>
      <c r="H89"/>
      <c r="I89" s="136"/>
      <c r="J89" s="136"/>
      <c r="K89" s="103"/>
      <c r="L89" s="106" t="str">
        <f>IF(OR(ISBLANK(Term3_Early_Dismissal_2[[#This Row],[Start]]),ISBLANK(Term3_Early_Dismissal_2[[#This Row],[End]])),"",(Term3_Early_Dismissal_2[[#This Row],[End]]-Term3_Early_Dismissal_2[[#This Row],[Start]])*1440)</f>
        <v/>
      </c>
      <c r="M89" s="106" t="str">
        <f>IF(ISBLANK(Term3_Early_Dismissal_2[[#This Row],[Activity]]),"",IF(_xlfn.XLOOKUP(Term3_Early_Dismissal_2[[#This Row],[Activity]],Types_of_Activity[Type of Activity],Types_of_Activity[Classification])=1,Term3_Early_Dismissal_2[[#This Row],[Elapsed]],0))</f>
        <v/>
      </c>
      <c r="N89" s="106" t="str">
        <f>IF(ISBLANK(Term3_Early_Dismissal_2[[#This Row],[Activity]]),"",IF(_xlfn.XLOOKUP(Term3_Early_Dismissal_2[[#This Row],[Activity]],Types_of_Activity[Type of Activity],Types_of_Activity[Classification])=2,Term3_Early_Dismissal_2[[#This Row],[Elapsed]],0))</f>
        <v/>
      </c>
      <c r="O89"/>
      <c r="P89" s="136"/>
      <c r="Q89" s="136"/>
      <c r="R89" s="103"/>
      <c r="S89" s="106" t="str">
        <f>IF(OR(ISBLANK(Term3_Early_Dismissal_3[[#This Row],[Start]]),ISBLANK(Term3_Early_Dismissal_3[[#This Row],[End]])),"",(Term3_Early_Dismissal_3[[#This Row],[End]]-Term3_Early_Dismissal_3[[#This Row],[Start]])*1440)</f>
        <v/>
      </c>
      <c r="T89" s="106" t="str">
        <f>IF(ISBLANK(Term3_Early_Dismissal_3[[#This Row],[Activity]]),"",IF(_xlfn.XLOOKUP(Term3_Early_Dismissal_3[[#This Row],[Activity]],Types_of_Activity[Type of Activity],Types_of_Activity[Classification])=1,Term3_Early_Dismissal_3[[#This Row],[Elapsed]],0))</f>
        <v/>
      </c>
      <c r="U89" s="106" t="str">
        <f>IF(ISBLANK(Term3_Early_Dismissal_3[[#This Row],[Activity]]),"",IF(_xlfn.XLOOKUP(Term3_Early_Dismissal_3[[#This Row],[Activity]],Types_of_Activity[Type of Activity],Types_of_Activity[Classification])=2,Term3_Early_Dismissal_3[[#This Row],[Elapsed]],0))</f>
        <v/>
      </c>
      <c r="W89" s="136"/>
      <c r="X89" s="136"/>
      <c r="Y89" s="103"/>
      <c r="Z89" s="106" t="str">
        <f>IF(OR(ISBLANK(Term3_Early_Dismissal_4[[#This Row],[Start]]),ISBLANK(Term3_Early_Dismissal_4[[#This Row],[End]])),"",(Term3_Early_Dismissal_4[[#This Row],[End]]-Term3_Early_Dismissal_4[[#This Row],[Start]])*1440)</f>
        <v/>
      </c>
      <c r="AA89" s="106" t="str">
        <f>IF(ISBLANK(Term3_Early_Dismissal_4[[#This Row],[Activity]]),"",IF(_xlfn.XLOOKUP(Term3_Early_Dismissal_4[[#This Row],[Activity]],Types_of_Activity[Type of Activity],Types_of_Activity[Classification])=1,Term3_Early_Dismissal_4[[#This Row],[Elapsed]],0))</f>
        <v/>
      </c>
      <c r="AB89" s="106" t="str">
        <f>IF(ISBLANK(Term3_Early_Dismissal_4[[#This Row],[Activity]]),"",IF(_xlfn.XLOOKUP(Term3_Early_Dismissal_4[[#This Row],[Activity]],Types_of_Activity[Type of Activity],Types_of_Activity[Classification])=2,Term3_Early_Dismissal_4[[#This Row],[Elapsed]],0))</f>
        <v/>
      </c>
      <c r="AD89" s="136"/>
      <c r="AE89" s="136"/>
      <c r="AF89" s="103"/>
      <c r="AG89" s="106" t="str">
        <f>IF(OR(ISBLANK(Term3_Early_Dismissal_5[[#This Row],[Start]]),ISBLANK(Term3_Early_Dismissal_5[[#This Row],[End]])),"",(Term3_Early_Dismissal_5[[#This Row],[End]]-Term3_Early_Dismissal_5[[#This Row],[Start]])*1440)</f>
        <v/>
      </c>
      <c r="AH89" s="106" t="str">
        <f>IF(ISBLANK(Term3_Early_Dismissal_5[[#This Row],[Activity]]),"",IF(_xlfn.XLOOKUP(Term3_Early_Dismissal_5[[#This Row],[Activity]],Types_of_Activity[Type of Activity],Types_of_Activity[Classification])=1,Term3_Early_Dismissal_5[[#This Row],[Elapsed]],0))</f>
        <v/>
      </c>
      <c r="AI89" s="106" t="str">
        <f>IF(ISBLANK(Term3_Early_Dismissal_5[[#This Row],[Activity]]),"",IF(_xlfn.XLOOKUP(Term3_Early_Dismissal_5[[#This Row],[Activity]],Types_of_Activity[Type of Activity],Types_of_Activity[Classification])=2,Term3_Early_Dismissal_5[[#This Row],[Elapsed]],0))</f>
        <v/>
      </c>
      <c r="AK89" s="136"/>
      <c r="AL89" s="136"/>
      <c r="AM89" s="103"/>
      <c r="AN89" s="106" t="str">
        <f>IF(OR(ISBLANK(Term3_Early_Dismissal_6[[#This Row],[Start]]),ISBLANK(Term3_Early_Dismissal_6[[#This Row],[End]])),"",(Term3_Early_Dismissal_6[[#This Row],[End]]-Term3_Early_Dismissal_6[[#This Row],[Start]])*1440)</f>
        <v/>
      </c>
      <c r="AO89" s="106" t="str">
        <f>IF(ISBLANK(Term3_Early_Dismissal_6[[#This Row],[Activity]]),"",IF(_xlfn.XLOOKUP(Term3_Early_Dismissal_6[[#This Row],[Activity]],Types_of_Activity[Type of Activity],Types_of_Activity[Classification])=1,Term3_Early_Dismissal_6[[#This Row],[Elapsed]],0))</f>
        <v/>
      </c>
      <c r="AP89" s="106" t="str">
        <f>IF(ISBLANK(Term3_Early_Dismissal_6[[#This Row],[Activity]]),"",IF(_xlfn.XLOOKUP(Term3_Early_Dismissal_6[[#This Row],[Activity]],Types_of_Activity[Type of Activity],Types_of_Activity[Classification])=2,Term3_Early_Dismissal_6[[#This Row],[Elapsed]],0))</f>
        <v/>
      </c>
    </row>
    <row r="90" spans="2:42" x14ac:dyDescent="0.3">
      <c r="B90"/>
      <c r="C90"/>
      <c r="D90"/>
      <c r="E90"/>
      <c r="F90"/>
      <c r="G90"/>
      <c r="H90"/>
      <c r="I90"/>
      <c r="J90"/>
      <c r="K90"/>
      <c r="L90"/>
      <c r="M90"/>
      <c r="N90"/>
      <c r="O90"/>
      <c r="P90"/>
      <c r="Q90"/>
      <c r="R90"/>
      <c r="S90"/>
      <c r="T90"/>
      <c r="U90"/>
    </row>
    <row r="91" spans="2:42" x14ac:dyDescent="0.3">
      <c r="B91"/>
      <c r="C91"/>
      <c r="D91"/>
      <c r="E91"/>
      <c r="F91"/>
      <c r="G91"/>
      <c r="H91"/>
      <c r="I91"/>
      <c r="J91"/>
      <c r="K91"/>
      <c r="L91"/>
      <c r="M91"/>
      <c r="N91"/>
      <c r="O91"/>
      <c r="P91"/>
      <c r="Q91"/>
      <c r="R91"/>
      <c r="S91"/>
      <c r="T91"/>
      <c r="U91"/>
    </row>
    <row r="92" spans="2:42" x14ac:dyDescent="0.3">
      <c r="B92"/>
      <c r="C92"/>
      <c r="D92"/>
      <c r="E92"/>
      <c r="F92"/>
      <c r="G92"/>
      <c r="H92"/>
      <c r="I92"/>
      <c r="J92"/>
      <c r="K92"/>
      <c r="L92"/>
      <c r="M92"/>
      <c r="N92"/>
      <c r="O92"/>
      <c r="P92"/>
      <c r="Q92"/>
      <c r="R92"/>
      <c r="S92"/>
      <c r="T92"/>
      <c r="U92"/>
    </row>
    <row r="93" spans="2:42" x14ac:dyDescent="0.3">
      <c r="B93"/>
      <c r="C93"/>
      <c r="D93"/>
      <c r="E93"/>
      <c r="F93"/>
      <c r="G93"/>
      <c r="H93"/>
      <c r="I93"/>
      <c r="J93"/>
      <c r="K93"/>
      <c r="L93"/>
      <c r="M93"/>
      <c r="N93"/>
      <c r="O93"/>
      <c r="P93"/>
      <c r="Q93"/>
      <c r="R93"/>
      <c r="S93"/>
      <c r="T93"/>
      <c r="U93"/>
    </row>
    <row r="94" spans="2:42" x14ac:dyDescent="0.3">
      <c r="B94"/>
      <c r="C94"/>
      <c r="D94"/>
      <c r="E94"/>
      <c r="F94"/>
      <c r="G94"/>
      <c r="H94"/>
      <c r="I94"/>
      <c r="J94"/>
      <c r="K94"/>
      <c r="L94"/>
      <c r="M94"/>
      <c r="N94"/>
      <c r="O94"/>
      <c r="P94"/>
      <c r="Q94"/>
      <c r="R94"/>
      <c r="S94"/>
      <c r="T94"/>
      <c r="U94"/>
    </row>
    <row r="95" spans="2:42" x14ac:dyDescent="0.3">
      <c r="B95"/>
      <c r="C95"/>
      <c r="D95"/>
      <c r="E95"/>
      <c r="F95"/>
      <c r="G95"/>
      <c r="H95"/>
      <c r="I95"/>
      <c r="J95"/>
      <c r="K95"/>
      <c r="L95"/>
      <c r="M95"/>
      <c r="N95"/>
      <c r="O95"/>
      <c r="P95"/>
      <c r="Q95"/>
      <c r="R95"/>
      <c r="S95"/>
      <c r="T95"/>
      <c r="U95"/>
    </row>
    <row r="96" spans="2:42" x14ac:dyDescent="0.3">
      <c r="B96"/>
      <c r="C96"/>
      <c r="D96"/>
      <c r="E96"/>
      <c r="F96"/>
      <c r="G96"/>
      <c r="H96"/>
      <c r="I96"/>
      <c r="J96"/>
      <c r="K96"/>
      <c r="L96"/>
      <c r="M96"/>
      <c r="N96"/>
      <c r="O96"/>
      <c r="P96"/>
      <c r="Q96"/>
      <c r="R96"/>
      <c r="S96"/>
      <c r="T96"/>
      <c r="U96"/>
    </row>
    <row r="97" spans="2:21" ht="30.75" x14ac:dyDescent="0.45">
      <c r="B97" s="105" t="s">
        <v>25</v>
      </c>
      <c r="F97" s="106"/>
      <c r="G97" s="106"/>
      <c r="H97"/>
      <c r="I97" s="105" t="s">
        <v>26</v>
      </c>
      <c r="M97" s="106"/>
      <c r="N97" s="106"/>
      <c r="O97"/>
      <c r="P97" s="105" t="s">
        <v>27</v>
      </c>
      <c r="T97" s="106"/>
      <c r="U97" s="106"/>
    </row>
    <row r="98" spans="2:21" ht="33" x14ac:dyDescent="0.3">
      <c r="B98" s="120" t="s">
        <v>16</v>
      </c>
      <c r="C98" s="120" t="s">
        <v>17</v>
      </c>
      <c r="D98" s="120" t="s">
        <v>19</v>
      </c>
      <c r="E98" s="120" t="s">
        <v>18</v>
      </c>
      <c r="F98" s="120" t="s">
        <v>20</v>
      </c>
      <c r="G98" s="121" t="s">
        <v>4100</v>
      </c>
      <c r="H98"/>
      <c r="I98" s="120" t="s">
        <v>16</v>
      </c>
      <c r="J98" s="120" t="s">
        <v>17</v>
      </c>
      <c r="K98" s="120" t="s">
        <v>19</v>
      </c>
      <c r="L98" s="120" t="s">
        <v>18</v>
      </c>
      <c r="M98" s="120" t="s">
        <v>20</v>
      </c>
      <c r="N98" s="121" t="s">
        <v>4100</v>
      </c>
      <c r="O98"/>
      <c r="P98" s="120" t="s">
        <v>16</v>
      </c>
      <c r="Q98" s="120" t="s">
        <v>17</v>
      </c>
      <c r="R98" s="120" t="s">
        <v>19</v>
      </c>
      <c r="S98" s="120" t="s">
        <v>18</v>
      </c>
      <c r="T98" s="120" t="s">
        <v>20</v>
      </c>
      <c r="U98" s="121" t="s">
        <v>4100</v>
      </c>
    </row>
    <row r="99" spans="2:21" x14ac:dyDescent="0.3">
      <c r="B99" s="136"/>
      <c r="C99" s="136"/>
      <c r="D99" s="103"/>
      <c r="E99" s="106" t="str">
        <f>IF(OR(ISBLANK(Term3_Special_Day_1[[#This Row],[Start]]),ISBLANK(Term3_Special_Day_1[[#This Row],[End]])),"",(Term3_Special_Day_1[[#This Row],[End]]-Term3_Special_Day_1[[#This Row],[Start]])*1440)</f>
        <v/>
      </c>
      <c r="F99" s="106" t="str">
        <f>IF(ISBLANK(Term3_Special_Day_1[[#This Row],[Activity]]),"",IF(_xlfn.XLOOKUP(Term3_Special_Day_1[[#This Row],[Activity]],Types_of_Activity[Type of Activity],Types_of_Activity[Classification])=1,Term3_Special_Day_1[[#This Row],[Elapsed]],0))</f>
        <v/>
      </c>
      <c r="G99" s="106" t="str">
        <f>IF(ISBLANK(Term3_Special_Day_1[[#This Row],[Activity]]),"",IF(_xlfn.XLOOKUP(Term3_Special_Day_1[[#This Row],[Activity]],Types_of_Activity[Type of Activity],Types_of_Activity[Classification])=2,Term3_Special_Day_1[[#This Row],[Elapsed]],0))</f>
        <v/>
      </c>
      <c r="H99"/>
      <c r="I99" s="136"/>
      <c r="J99" s="136"/>
      <c r="K99" s="103"/>
      <c r="L99" s="106" t="str">
        <f>IF(OR(ISBLANK(Term3_Special_Day_2[[#This Row],[Start]]),ISBLANK(Term3_Special_Day_2[[#This Row],[End]])),"",(Term3_Special_Day_2[[#This Row],[End]]-Term3_Special_Day_2[[#This Row],[Start]])*1440)</f>
        <v/>
      </c>
      <c r="M99" s="106" t="str">
        <f>IF(ISBLANK(Term3_Special_Day_2[[#This Row],[Activity]]),"",IF(_xlfn.XLOOKUP(Term3_Special_Day_2[[#This Row],[Activity]],Types_of_Activity[Type of Activity],Types_of_Activity[Classification])=1,Term3_Special_Day_2[[#This Row],[Elapsed]],0))</f>
        <v/>
      </c>
      <c r="N99" s="106" t="str">
        <f>IF(ISBLANK(Term3_Special_Day_2[[#This Row],[Activity]]),"",IF(_xlfn.XLOOKUP(Term3_Special_Day_2[[#This Row],[Activity]],Types_of_Activity[Type of Activity],Types_of_Activity[Classification])=2,Term3_Special_Day_2[[#This Row],[Elapsed]],0))</f>
        <v/>
      </c>
      <c r="O99"/>
      <c r="P99" s="136"/>
      <c r="Q99" s="136"/>
      <c r="R99" s="103"/>
      <c r="S99" s="106" t="str">
        <f>IF(OR(ISBLANK(Term3_Special_Day_3[[#This Row],[Start]]),ISBLANK(Term3_Special_Day_3[[#This Row],[End]])),"",(Term3_Special_Day_3[[#This Row],[End]]-Term3_Special_Day_3[[#This Row],[Start]])*1440)</f>
        <v/>
      </c>
      <c r="T99" s="106" t="str">
        <f>IF(ISBLANK(Term3_Special_Day_3[[#This Row],[Activity]]),"",IF(_xlfn.XLOOKUP(Term3_Special_Day_3[[#This Row],[Activity]],Types_of_Activity[Type of Activity],Types_of_Activity[Classification])=1,Term3_Special_Day_3[[#This Row],[Elapsed]],0))</f>
        <v/>
      </c>
      <c r="U99" s="106" t="str">
        <f>IF(ISBLANK(Term3_Special_Day_3[[#This Row],[Activity]]),"",IF(_xlfn.XLOOKUP(Term3_Special_Day_3[[#This Row],[Activity]],Types_of_Activity[Type of Activity],Types_of_Activity[Classification])=2,Term3_Special_Day_3[[#This Row],[Elapsed]],0))</f>
        <v/>
      </c>
    </row>
    <row r="100" spans="2:21" x14ac:dyDescent="0.3">
      <c r="B100" s="136"/>
      <c r="C100" s="136"/>
      <c r="D100" s="103"/>
      <c r="E100" s="106" t="str">
        <f>IF(OR(ISBLANK(Term3_Special_Day_1[[#This Row],[Start]]),ISBLANK(Term3_Special_Day_1[[#This Row],[End]])),"",(Term3_Special_Day_1[[#This Row],[End]]-Term3_Special_Day_1[[#This Row],[Start]])*1440)</f>
        <v/>
      </c>
      <c r="F100" s="106" t="str">
        <f>IF(ISBLANK(Term3_Special_Day_1[[#This Row],[Activity]]),"",IF(_xlfn.XLOOKUP(Term3_Special_Day_1[[#This Row],[Activity]],Types_of_Activity[Type of Activity],Types_of_Activity[Classification])=1,Term3_Special_Day_1[[#This Row],[Elapsed]],0))</f>
        <v/>
      </c>
      <c r="G100" s="106" t="str">
        <f>IF(ISBLANK(Term3_Special_Day_1[[#This Row],[Activity]]),"",IF(_xlfn.XLOOKUP(Term3_Special_Day_1[[#This Row],[Activity]],Types_of_Activity[Type of Activity],Types_of_Activity[Classification])=2,Term3_Special_Day_1[[#This Row],[Elapsed]],0))</f>
        <v/>
      </c>
      <c r="H100"/>
      <c r="I100" s="136"/>
      <c r="J100" s="136"/>
      <c r="K100" s="103"/>
      <c r="L100" s="106" t="str">
        <f>IF(OR(ISBLANK(Term3_Special_Day_2[[#This Row],[Start]]),ISBLANK(Term3_Special_Day_2[[#This Row],[End]])),"",(Term3_Special_Day_2[[#This Row],[End]]-Term3_Special_Day_2[[#This Row],[Start]])*1440)</f>
        <v/>
      </c>
      <c r="M100" s="106" t="str">
        <f>IF(ISBLANK(Term3_Special_Day_2[[#This Row],[Activity]]),"",IF(_xlfn.XLOOKUP(Term3_Special_Day_2[[#This Row],[Activity]],Types_of_Activity[Type of Activity],Types_of_Activity[Classification])=1,Term3_Special_Day_2[[#This Row],[Elapsed]],0))</f>
        <v/>
      </c>
      <c r="N100" s="106" t="str">
        <f>IF(ISBLANK(Term3_Special_Day_2[[#This Row],[Activity]]),"",IF(_xlfn.XLOOKUP(Term3_Special_Day_2[[#This Row],[Activity]],Types_of_Activity[Type of Activity],Types_of_Activity[Classification])=2,Term3_Special_Day_2[[#This Row],[Elapsed]],0))</f>
        <v/>
      </c>
      <c r="O100"/>
      <c r="P100" s="136"/>
      <c r="Q100" s="136"/>
      <c r="R100" s="103"/>
      <c r="S100" s="106" t="str">
        <f>IF(OR(ISBLANK(Term3_Special_Day_3[[#This Row],[Start]]),ISBLANK(Term3_Special_Day_3[[#This Row],[End]])),"",(Term3_Special_Day_3[[#This Row],[End]]-Term3_Special_Day_3[[#This Row],[Start]])*1440)</f>
        <v/>
      </c>
      <c r="T100" s="106" t="str">
        <f>IF(ISBLANK(Term3_Special_Day_3[[#This Row],[Activity]]),"",IF(_xlfn.XLOOKUP(Term3_Special_Day_3[[#This Row],[Activity]],Types_of_Activity[Type of Activity],Types_of_Activity[Classification])=1,Term3_Special_Day_3[[#This Row],[Elapsed]],0))</f>
        <v/>
      </c>
      <c r="U100" s="106" t="str">
        <f>IF(ISBLANK(Term3_Special_Day_3[[#This Row],[Activity]]),"",IF(_xlfn.XLOOKUP(Term3_Special_Day_3[[#This Row],[Activity]],Types_of_Activity[Type of Activity],Types_of_Activity[Classification])=2,Term3_Special_Day_3[[#This Row],[Elapsed]],0))</f>
        <v/>
      </c>
    </row>
    <row r="101" spans="2:21" x14ac:dyDescent="0.3">
      <c r="B101" s="136"/>
      <c r="C101" s="136"/>
      <c r="D101" s="103"/>
      <c r="E101" s="106" t="str">
        <f>IF(OR(ISBLANK(Term3_Special_Day_1[[#This Row],[Start]]),ISBLANK(Term3_Special_Day_1[[#This Row],[End]])),"",(Term3_Special_Day_1[[#This Row],[End]]-Term3_Special_Day_1[[#This Row],[Start]])*1440)</f>
        <v/>
      </c>
      <c r="F101" s="106" t="str">
        <f>IF(ISBLANK(Term3_Special_Day_1[[#This Row],[Activity]]),"",IF(_xlfn.XLOOKUP(Term3_Special_Day_1[[#This Row],[Activity]],Types_of_Activity[Type of Activity],Types_of_Activity[Classification])=1,Term3_Special_Day_1[[#This Row],[Elapsed]],0))</f>
        <v/>
      </c>
      <c r="G101" s="106" t="str">
        <f>IF(ISBLANK(Term3_Special_Day_1[[#This Row],[Activity]]),"",IF(_xlfn.XLOOKUP(Term3_Special_Day_1[[#This Row],[Activity]],Types_of_Activity[Type of Activity],Types_of_Activity[Classification])=2,Term3_Special_Day_1[[#This Row],[Elapsed]],0))</f>
        <v/>
      </c>
      <c r="H101"/>
      <c r="I101" s="136"/>
      <c r="J101" s="136"/>
      <c r="K101" s="103"/>
      <c r="L101" s="106" t="str">
        <f>IF(OR(ISBLANK(Term3_Special_Day_2[[#This Row],[Start]]),ISBLANK(Term3_Special_Day_2[[#This Row],[End]])),"",(Term3_Special_Day_2[[#This Row],[End]]-Term3_Special_Day_2[[#This Row],[Start]])*1440)</f>
        <v/>
      </c>
      <c r="M101" s="106" t="str">
        <f>IF(ISBLANK(Term3_Special_Day_2[[#This Row],[Activity]]),"",IF(_xlfn.XLOOKUP(Term3_Special_Day_2[[#This Row],[Activity]],Types_of_Activity[Type of Activity],Types_of_Activity[Classification])=1,Term3_Special_Day_2[[#This Row],[Elapsed]],0))</f>
        <v/>
      </c>
      <c r="N101" s="106" t="str">
        <f>IF(ISBLANK(Term3_Special_Day_2[[#This Row],[Activity]]),"",IF(_xlfn.XLOOKUP(Term3_Special_Day_2[[#This Row],[Activity]],Types_of_Activity[Type of Activity],Types_of_Activity[Classification])=2,Term3_Special_Day_2[[#This Row],[Elapsed]],0))</f>
        <v/>
      </c>
      <c r="O101"/>
      <c r="P101" s="136"/>
      <c r="Q101" s="136"/>
      <c r="R101" s="103"/>
      <c r="S101" s="106" t="str">
        <f>IF(OR(ISBLANK(Term3_Special_Day_3[[#This Row],[Start]]),ISBLANK(Term3_Special_Day_3[[#This Row],[End]])),"",(Term3_Special_Day_3[[#This Row],[End]]-Term3_Special_Day_3[[#This Row],[Start]])*1440)</f>
        <v/>
      </c>
      <c r="T101" s="106" t="str">
        <f>IF(ISBLANK(Term3_Special_Day_3[[#This Row],[Activity]]),"",IF(_xlfn.XLOOKUP(Term3_Special_Day_3[[#This Row],[Activity]],Types_of_Activity[Type of Activity],Types_of_Activity[Classification])=1,Term3_Special_Day_3[[#This Row],[Elapsed]],0))</f>
        <v/>
      </c>
      <c r="U101" s="106" t="str">
        <f>IF(ISBLANK(Term3_Special_Day_3[[#This Row],[Activity]]),"",IF(_xlfn.XLOOKUP(Term3_Special_Day_3[[#This Row],[Activity]],Types_of_Activity[Type of Activity],Types_of_Activity[Classification])=2,Term3_Special_Day_3[[#This Row],[Elapsed]],0))</f>
        <v/>
      </c>
    </row>
    <row r="102" spans="2:21" x14ac:dyDescent="0.3">
      <c r="B102" s="136"/>
      <c r="C102" s="136"/>
      <c r="D102" s="103"/>
      <c r="E102" s="106" t="str">
        <f>IF(OR(ISBLANK(Term3_Special_Day_1[[#This Row],[Start]]),ISBLANK(Term3_Special_Day_1[[#This Row],[End]])),"",(Term3_Special_Day_1[[#This Row],[End]]-Term3_Special_Day_1[[#This Row],[Start]])*1440)</f>
        <v/>
      </c>
      <c r="F102" s="106" t="str">
        <f>IF(ISBLANK(Term3_Special_Day_1[[#This Row],[Activity]]),"",IF(_xlfn.XLOOKUP(Term3_Special_Day_1[[#This Row],[Activity]],Types_of_Activity[Type of Activity],Types_of_Activity[Classification])=1,Term3_Special_Day_1[[#This Row],[Elapsed]],0))</f>
        <v/>
      </c>
      <c r="G102" s="106" t="str">
        <f>IF(ISBLANK(Term3_Special_Day_1[[#This Row],[Activity]]),"",IF(_xlfn.XLOOKUP(Term3_Special_Day_1[[#This Row],[Activity]],Types_of_Activity[Type of Activity],Types_of_Activity[Classification])=2,Term3_Special_Day_1[[#This Row],[Elapsed]],0))</f>
        <v/>
      </c>
      <c r="H102"/>
      <c r="I102" s="136"/>
      <c r="J102" s="136"/>
      <c r="K102" s="103"/>
      <c r="L102" s="106" t="str">
        <f>IF(OR(ISBLANK(Term3_Special_Day_2[[#This Row],[Start]]),ISBLANK(Term3_Special_Day_2[[#This Row],[End]])),"",(Term3_Special_Day_2[[#This Row],[End]]-Term3_Special_Day_2[[#This Row],[Start]])*1440)</f>
        <v/>
      </c>
      <c r="M102" s="106" t="str">
        <f>IF(ISBLANK(Term3_Special_Day_2[[#This Row],[Activity]]),"",IF(_xlfn.XLOOKUP(Term3_Special_Day_2[[#This Row],[Activity]],Types_of_Activity[Type of Activity],Types_of_Activity[Classification])=1,Term3_Special_Day_2[[#This Row],[Elapsed]],0))</f>
        <v/>
      </c>
      <c r="N102" s="106" t="str">
        <f>IF(ISBLANK(Term3_Special_Day_2[[#This Row],[Activity]]),"",IF(_xlfn.XLOOKUP(Term3_Special_Day_2[[#This Row],[Activity]],Types_of_Activity[Type of Activity],Types_of_Activity[Classification])=2,Term3_Special_Day_2[[#This Row],[Elapsed]],0))</f>
        <v/>
      </c>
      <c r="O102"/>
      <c r="P102" s="136"/>
      <c r="Q102" s="136"/>
      <c r="R102" s="103"/>
      <c r="S102" s="106" t="str">
        <f>IF(OR(ISBLANK(Term3_Special_Day_3[[#This Row],[Start]]),ISBLANK(Term3_Special_Day_3[[#This Row],[End]])),"",(Term3_Special_Day_3[[#This Row],[End]]-Term3_Special_Day_3[[#This Row],[Start]])*1440)</f>
        <v/>
      </c>
      <c r="T102" s="106" t="str">
        <f>IF(ISBLANK(Term3_Special_Day_3[[#This Row],[Activity]]),"",IF(_xlfn.XLOOKUP(Term3_Special_Day_3[[#This Row],[Activity]],Types_of_Activity[Type of Activity],Types_of_Activity[Classification])=1,Term3_Special_Day_3[[#This Row],[Elapsed]],0))</f>
        <v/>
      </c>
      <c r="U102" s="106" t="str">
        <f>IF(ISBLANK(Term3_Special_Day_3[[#This Row],[Activity]]),"",IF(_xlfn.XLOOKUP(Term3_Special_Day_3[[#This Row],[Activity]],Types_of_Activity[Type of Activity],Types_of_Activity[Classification])=2,Term3_Special_Day_3[[#This Row],[Elapsed]],0))</f>
        <v/>
      </c>
    </row>
    <row r="103" spans="2:21" x14ac:dyDescent="0.3">
      <c r="B103" s="136"/>
      <c r="C103" s="136"/>
      <c r="D103" s="103"/>
      <c r="E103" s="106" t="str">
        <f>IF(OR(ISBLANK(Term3_Special_Day_1[[#This Row],[Start]]),ISBLANK(Term3_Special_Day_1[[#This Row],[End]])),"",(Term3_Special_Day_1[[#This Row],[End]]-Term3_Special_Day_1[[#This Row],[Start]])*1440)</f>
        <v/>
      </c>
      <c r="F103" s="106" t="str">
        <f>IF(ISBLANK(Term3_Special_Day_1[[#This Row],[Activity]]),"",IF(_xlfn.XLOOKUP(Term3_Special_Day_1[[#This Row],[Activity]],Types_of_Activity[Type of Activity],Types_of_Activity[Classification])=1,Term3_Special_Day_1[[#This Row],[Elapsed]],0))</f>
        <v/>
      </c>
      <c r="G103" s="106" t="str">
        <f>IF(ISBLANK(Term3_Special_Day_1[[#This Row],[Activity]]),"",IF(_xlfn.XLOOKUP(Term3_Special_Day_1[[#This Row],[Activity]],Types_of_Activity[Type of Activity],Types_of_Activity[Classification])=2,Term3_Special_Day_1[[#This Row],[Elapsed]],0))</f>
        <v/>
      </c>
      <c r="H103"/>
      <c r="I103" s="136"/>
      <c r="J103" s="136"/>
      <c r="K103" s="103"/>
      <c r="L103" s="106" t="str">
        <f>IF(OR(ISBLANK(Term3_Special_Day_2[[#This Row],[Start]]),ISBLANK(Term3_Special_Day_2[[#This Row],[End]])),"",(Term3_Special_Day_2[[#This Row],[End]]-Term3_Special_Day_2[[#This Row],[Start]])*1440)</f>
        <v/>
      </c>
      <c r="M103" s="106" t="str">
        <f>IF(ISBLANK(Term3_Special_Day_2[[#This Row],[Activity]]),"",IF(_xlfn.XLOOKUP(Term3_Special_Day_2[[#This Row],[Activity]],Types_of_Activity[Type of Activity],Types_of_Activity[Classification])=1,Term3_Special_Day_2[[#This Row],[Elapsed]],0))</f>
        <v/>
      </c>
      <c r="N103" s="106" t="str">
        <f>IF(ISBLANK(Term3_Special_Day_2[[#This Row],[Activity]]),"",IF(_xlfn.XLOOKUP(Term3_Special_Day_2[[#This Row],[Activity]],Types_of_Activity[Type of Activity],Types_of_Activity[Classification])=2,Term3_Special_Day_2[[#This Row],[Elapsed]],0))</f>
        <v/>
      </c>
      <c r="O103"/>
      <c r="P103" s="136"/>
      <c r="Q103" s="136"/>
      <c r="R103" s="103"/>
      <c r="S103" s="106" t="str">
        <f>IF(OR(ISBLANK(Term3_Special_Day_3[[#This Row],[Start]]),ISBLANK(Term3_Special_Day_3[[#This Row],[End]])),"",(Term3_Special_Day_3[[#This Row],[End]]-Term3_Special_Day_3[[#This Row],[Start]])*1440)</f>
        <v/>
      </c>
      <c r="T103" s="106" t="str">
        <f>IF(ISBLANK(Term3_Special_Day_3[[#This Row],[Activity]]),"",IF(_xlfn.XLOOKUP(Term3_Special_Day_3[[#This Row],[Activity]],Types_of_Activity[Type of Activity],Types_of_Activity[Classification])=1,Term3_Special_Day_3[[#This Row],[Elapsed]],0))</f>
        <v/>
      </c>
      <c r="U103" s="106" t="str">
        <f>IF(ISBLANK(Term3_Special_Day_3[[#This Row],[Activity]]),"",IF(_xlfn.XLOOKUP(Term3_Special_Day_3[[#This Row],[Activity]],Types_of_Activity[Type of Activity],Types_of_Activity[Classification])=2,Term3_Special_Day_3[[#This Row],[Elapsed]],0))</f>
        <v/>
      </c>
    </row>
    <row r="104" spans="2:21" x14ac:dyDescent="0.3">
      <c r="B104" s="136"/>
      <c r="C104" s="136"/>
      <c r="D104" s="103"/>
      <c r="E104" s="106" t="str">
        <f>IF(OR(ISBLANK(Term3_Special_Day_1[[#This Row],[Start]]),ISBLANK(Term3_Special_Day_1[[#This Row],[End]])),"",(Term3_Special_Day_1[[#This Row],[End]]-Term3_Special_Day_1[[#This Row],[Start]])*1440)</f>
        <v/>
      </c>
      <c r="F104" s="106" t="str">
        <f>IF(ISBLANK(Term3_Special_Day_1[[#This Row],[Activity]]),"",IF(_xlfn.XLOOKUP(Term3_Special_Day_1[[#This Row],[Activity]],Types_of_Activity[Type of Activity],Types_of_Activity[Classification])=1,Term3_Special_Day_1[[#This Row],[Elapsed]],0))</f>
        <v/>
      </c>
      <c r="G104" s="106" t="str">
        <f>IF(ISBLANK(Term3_Special_Day_1[[#This Row],[Activity]]),"",IF(_xlfn.XLOOKUP(Term3_Special_Day_1[[#This Row],[Activity]],Types_of_Activity[Type of Activity],Types_of_Activity[Classification])=2,Term3_Special_Day_1[[#This Row],[Elapsed]],0))</f>
        <v/>
      </c>
      <c r="H104"/>
      <c r="I104" s="136"/>
      <c r="J104" s="136"/>
      <c r="K104" s="103"/>
      <c r="L104" s="106" t="str">
        <f>IF(OR(ISBLANK(Term3_Special_Day_2[[#This Row],[Start]]),ISBLANK(Term3_Special_Day_2[[#This Row],[End]])),"",(Term3_Special_Day_2[[#This Row],[End]]-Term3_Special_Day_2[[#This Row],[Start]])*1440)</f>
        <v/>
      </c>
      <c r="M104" s="106" t="str">
        <f>IF(ISBLANK(Term3_Special_Day_2[[#This Row],[Activity]]),"",IF(_xlfn.XLOOKUP(Term3_Special_Day_2[[#This Row],[Activity]],Types_of_Activity[Type of Activity],Types_of_Activity[Classification])=1,Term3_Special_Day_2[[#This Row],[Elapsed]],0))</f>
        <v/>
      </c>
      <c r="N104" s="106" t="str">
        <f>IF(ISBLANK(Term3_Special_Day_2[[#This Row],[Activity]]),"",IF(_xlfn.XLOOKUP(Term3_Special_Day_2[[#This Row],[Activity]],Types_of_Activity[Type of Activity],Types_of_Activity[Classification])=2,Term3_Special_Day_2[[#This Row],[Elapsed]],0))</f>
        <v/>
      </c>
      <c r="O104"/>
      <c r="P104" s="136"/>
      <c r="Q104" s="136"/>
      <c r="R104" s="103"/>
      <c r="S104" s="106" t="str">
        <f>IF(OR(ISBLANK(Term3_Special_Day_3[[#This Row],[Start]]),ISBLANK(Term3_Special_Day_3[[#This Row],[End]])),"",(Term3_Special_Day_3[[#This Row],[End]]-Term3_Special_Day_3[[#This Row],[Start]])*1440)</f>
        <v/>
      </c>
      <c r="T104" s="106" t="str">
        <f>IF(ISBLANK(Term3_Special_Day_3[[#This Row],[Activity]]),"",IF(_xlfn.XLOOKUP(Term3_Special_Day_3[[#This Row],[Activity]],Types_of_Activity[Type of Activity],Types_of_Activity[Classification])=1,Term3_Special_Day_3[[#This Row],[Elapsed]],0))</f>
        <v/>
      </c>
      <c r="U104" s="106" t="str">
        <f>IF(ISBLANK(Term3_Special_Day_3[[#This Row],[Activity]]),"",IF(_xlfn.XLOOKUP(Term3_Special_Day_3[[#This Row],[Activity]],Types_of_Activity[Type of Activity],Types_of_Activity[Classification])=2,Term3_Special_Day_3[[#This Row],[Elapsed]],0))</f>
        <v/>
      </c>
    </row>
    <row r="105" spans="2:21" x14ac:dyDescent="0.3">
      <c r="B105" s="136"/>
      <c r="C105" s="136"/>
      <c r="D105" s="103"/>
      <c r="E105" s="106" t="str">
        <f>IF(OR(ISBLANK(Term3_Special_Day_1[[#This Row],[Start]]),ISBLANK(Term3_Special_Day_1[[#This Row],[End]])),"",(Term3_Special_Day_1[[#This Row],[End]]-Term3_Special_Day_1[[#This Row],[Start]])*1440)</f>
        <v/>
      </c>
      <c r="F105" s="106" t="str">
        <f>IF(ISBLANK(Term3_Special_Day_1[[#This Row],[Activity]]),"",IF(_xlfn.XLOOKUP(Term3_Special_Day_1[[#This Row],[Activity]],Types_of_Activity[Type of Activity],Types_of_Activity[Classification])=1,Term3_Special_Day_1[[#This Row],[Elapsed]],0))</f>
        <v/>
      </c>
      <c r="G105" s="106" t="str">
        <f>IF(ISBLANK(Term3_Special_Day_1[[#This Row],[Activity]]),"",IF(_xlfn.XLOOKUP(Term3_Special_Day_1[[#This Row],[Activity]],Types_of_Activity[Type of Activity],Types_of_Activity[Classification])=2,Term3_Special_Day_1[[#This Row],[Elapsed]],0))</f>
        <v/>
      </c>
      <c r="H105"/>
      <c r="I105" s="136"/>
      <c r="J105" s="136"/>
      <c r="K105" s="103"/>
      <c r="L105" s="106" t="str">
        <f>IF(OR(ISBLANK(Term3_Special_Day_2[[#This Row],[Start]]),ISBLANK(Term3_Special_Day_2[[#This Row],[End]])),"",(Term3_Special_Day_2[[#This Row],[End]]-Term3_Special_Day_2[[#This Row],[Start]])*1440)</f>
        <v/>
      </c>
      <c r="M105" s="106" t="str">
        <f>IF(ISBLANK(Term3_Special_Day_2[[#This Row],[Activity]]),"",IF(_xlfn.XLOOKUP(Term3_Special_Day_2[[#This Row],[Activity]],Types_of_Activity[Type of Activity],Types_of_Activity[Classification])=1,Term3_Special_Day_2[[#This Row],[Elapsed]],0))</f>
        <v/>
      </c>
      <c r="N105" s="106" t="str">
        <f>IF(ISBLANK(Term3_Special_Day_2[[#This Row],[Activity]]),"",IF(_xlfn.XLOOKUP(Term3_Special_Day_2[[#This Row],[Activity]],Types_of_Activity[Type of Activity],Types_of_Activity[Classification])=2,Term3_Special_Day_2[[#This Row],[Elapsed]],0))</f>
        <v/>
      </c>
      <c r="O105"/>
      <c r="P105" s="136"/>
      <c r="Q105" s="136"/>
      <c r="R105" s="103"/>
      <c r="S105" s="106" t="str">
        <f>IF(OR(ISBLANK(Term3_Special_Day_3[[#This Row],[Start]]),ISBLANK(Term3_Special_Day_3[[#This Row],[End]])),"",(Term3_Special_Day_3[[#This Row],[End]]-Term3_Special_Day_3[[#This Row],[Start]])*1440)</f>
        <v/>
      </c>
      <c r="T105" s="106" t="str">
        <f>IF(ISBLANK(Term3_Special_Day_3[[#This Row],[Activity]]),"",IF(_xlfn.XLOOKUP(Term3_Special_Day_3[[#This Row],[Activity]],Types_of_Activity[Type of Activity],Types_of_Activity[Classification])=1,Term3_Special_Day_3[[#This Row],[Elapsed]],0))</f>
        <v/>
      </c>
      <c r="U105" s="106" t="str">
        <f>IF(ISBLANK(Term3_Special_Day_3[[#This Row],[Activity]]),"",IF(_xlfn.XLOOKUP(Term3_Special_Day_3[[#This Row],[Activity]],Types_of_Activity[Type of Activity],Types_of_Activity[Classification])=2,Term3_Special_Day_3[[#This Row],[Elapsed]],0))</f>
        <v/>
      </c>
    </row>
    <row r="106" spans="2:21" x14ac:dyDescent="0.3">
      <c r="B106" s="136"/>
      <c r="C106" s="136"/>
      <c r="D106" s="103"/>
      <c r="E106" s="106" t="str">
        <f>IF(OR(ISBLANK(Term3_Special_Day_1[[#This Row],[Start]]),ISBLANK(Term3_Special_Day_1[[#This Row],[End]])),"",(Term3_Special_Day_1[[#This Row],[End]]-Term3_Special_Day_1[[#This Row],[Start]])*1440)</f>
        <v/>
      </c>
      <c r="F106" s="106" t="str">
        <f>IF(ISBLANK(Term3_Special_Day_1[[#This Row],[Activity]]),"",IF(_xlfn.XLOOKUP(Term3_Special_Day_1[[#This Row],[Activity]],Types_of_Activity[Type of Activity],Types_of_Activity[Classification])=1,Term3_Special_Day_1[[#This Row],[Elapsed]],0))</f>
        <v/>
      </c>
      <c r="G106" s="106" t="str">
        <f>IF(ISBLANK(Term3_Special_Day_1[[#This Row],[Activity]]),"",IF(_xlfn.XLOOKUP(Term3_Special_Day_1[[#This Row],[Activity]],Types_of_Activity[Type of Activity],Types_of_Activity[Classification])=2,Term3_Special_Day_1[[#This Row],[Elapsed]],0))</f>
        <v/>
      </c>
      <c r="H106"/>
      <c r="I106" s="136"/>
      <c r="J106" s="136"/>
      <c r="K106" s="103"/>
      <c r="L106" s="106" t="str">
        <f>IF(OR(ISBLANK(Term3_Special_Day_2[[#This Row],[Start]]),ISBLANK(Term3_Special_Day_2[[#This Row],[End]])),"",(Term3_Special_Day_2[[#This Row],[End]]-Term3_Special_Day_2[[#This Row],[Start]])*1440)</f>
        <v/>
      </c>
      <c r="M106" s="106" t="str">
        <f>IF(ISBLANK(Term3_Special_Day_2[[#This Row],[Activity]]),"",IF(_xlfn.XLOOKUP(Term3_Special_Day_2[[#This Row],[Activity]],Types_of_Activity[Type of Activity],Types_of_Activity[Classification])=1,Term3_Special_Day_2[[#This Row],[Elapsed]],0))</f>
        <v/>
      </c>
      <c r="N106" s="106" t="str">
        <f>IF(ISBLANK(Term3_Special_Day_2[[#This Row],[Activity]]),"",IF(_xlfn.XLOOKUP(Term3_Special_Day_2[[#This Row],[Activity]],Types_of_Activity[Type of Activity],Types_of_Activity[Classification])=2,Term3_Special_Day_2[[#This Row],[Elapsed]],0))</f>
        <v/>
      </c>
      <c r="O106"/>
      <c r="P106" s="136"/>
      <c r="Q106" s="136"/>
      <c r="R106" s="103"/>
      <c r="S106" s="106" t="str">
        <f>IF(OR(ISBLANK(Term3_Special_Day_3[[#This Row],[Start]]),ISBLANK(Term3_Special_Day_3[[#This Row],[End]])),"",(Term3_Special_Day_3[[#This Row],[End]]-Term3_Special_Day_3[[#This Row],[Start]])*1440)</f>
        <v/>
      </c>
      <c r="T106" s="106" t="str">
        <f>IF(ISBLANK(Term3_Special_Day_3[[#This Row],[Activity]]),"",IF(_xlfn.XLOOKUP(Term3_Special_Day_3[[#This Row],[Activity]],Types_of_Activity[Type of Activity],Types_of_Activity[Classification])=1,Term3_Special_Day_3[[#This Row],[Elapsed]],0))</f>
        <v/>
      </c>
      <c r="U106" s="106" t="str">
        <f>IF(ISBLANK(Term3_Special_Day_3[[#This Row],[Activity]]),"",IF(_xlfn.XLOOKUP(Term3_Special_Day_3[[#This Row],[Activity]],Types_of_Activity[Type of Activity],Types_of_Activity[Classification])=2,Term3_Special_Day_3[[#This Row],[Elapsed]],0))</f>
        <v/>
      </c>
    </row>
    <row r="107" spans="2:21" x14ac:dyDescent="0.3">
      <c r="B107" s="136"/>
      <c r="C107" s="136"/>
      <c r="D107" s="103"/>
      <c r="E107" s="106" t="str">
        <f>IF(OR(ISBLANK(Term3_Special_Day_1[[#This Row],[Start]]),ISBLANK(Term3_Special_Day_1[[#This Row],[End]])),"",(Term3_Special_Day_1[[#This Row],[End]]-Term3_Special_Day_1[[#This Row],[Start]])*1440)</f>
        <v/>
      </c>
      <c r="F107" s="106" t="str">
        <f>IF(ISBLANK(Term3_Special_Day_1[[#This Row],[Activity]]),"",IF(_xlfn.XLOOKUP(Term3_Special_Day_1[[#This Row],[Activity]],Types_of_Activity[Type of Activity],Types_of_Activity[Classification])=1,Term3_Special_Day_1[[#This Row],[Elapsed]],0))</f>
        <v/>
      </c>
      <c r="G107" s="106" t="str">
        <f>IF(ISBLANK(Term3_Special_Day_1[[#This Row],[Activity]]),"",IF(_xlfn.XLOOKUP(Term3_Special_Day_1[[#This Row],[Activity]],Types_of_Activity[Type of Activity],Types_of_Activity[Classification])=2,Term3_Special_Day_1[[#This Row],[Elapsed]],0))</f>
        <v/>
      </c>
      <c r="H107"/>
      <c r="I107" s="136"/>
      <c r="J107" s="136"/>
      <c r="K107" s="103"/>
      <c r="L107" s="106" t="str">
        <f>IF(OR(ISBLANK(Term3_Special_Day_2[[#This Row],[Start]]),ISBLANK(Term3_Special_Day_2[[#This Row],[End]])),"",(Term3_Special_Day_2[[#This Row],[End]]-Term3_Special_Day_2[[#This Row],[Start]])*1440)</f>
        <v/>
      </c>
      <c r="M107" s="106" t="str">
        <f>IF(ISBLANK(Term3_Special_Day_2[[#This Row],[Activity]]),"",IF(_xlfn.XLOOKUP(Term3_Special_Day_2[[#This Row],[Activity]],Types_of_Activity[Type of Activity],Types_of_Activity[Classification])=1,Term3_Special_Day_2[[#This Row],[Elapsed]],0))</f>
        <v/>
      </c>
      <c r="N107" s="106" t="str">
        <f>IF(ISBLANK(Term3_Special_Day_2[[#This Row],[Activity]]),"",IF(_xlfn.XLOOKUP(Term3_Special_Day_2[[#This Row],[Activity]],Types_of_Activity[Type of Activity],Types_of_Activity[Classification])=2,Term3_Special_Day_2[[#This Row],[Elapsed]],0))</f>
        <v/>
      </c>
      <c r="O107"/>
      <c r="P107" s="136"/>
      <c r="Q107" s="136"/>
      <c r="R107" s="103"/>
      <c r="S107" s="106" t="str">
        <f>IF(OR(ISBLANK(Term3_Special_Day_3[[#This Row],[Start]]),ISBLANK(Term3_Special_Day_3[[#This Row],[End]])),"",(Term3_Special_Day_3[[#This Row],[End]]-Term3_Special_Day_3[[#This Row],[Start]])*1440)</f>
        <v/>
      </c>
      <c r="T107" s="106" t="str">
        <f>IF(ISBLANK(Term3_Special_Day_3[[#This Row],[Activity]]),"",IF(_xlfn.XLOOKUP(Term3_Special_Day_3[[#This Row],[Activity]],Types_of_Activity[Type of Activity],Types_of_Activity[Classification])=1,Term3_Special_Day_3[[#This Row],[Elapsed]],0))</f>
        <v/>
      </c>
      <c r="U107" s="106" t="str">
        <f>IF(ISBLANK(Term3_Special_Day_3[[#This Row],[Activity]]),"",IF(_xlfn.XLOOKUP(Term3_Special_Day_3[[#This Row],[Activity]],Types_of_Activity[Type of Activity],Types_of_Activity[Classification])=2,Term3_Special_Day_3[[#This Row],[Elapsed]],0))</f>
        <v/>
      </c>
    </row>
    <row r="108" spans="2:21" x14ac:dyDescent="0.3">
      <c r="B108" s="136"/>
      <c r="C108" s="136"/>
      <c r="D108" s="103"/>
      <c r="E108" s="106" t="str">
        <f>IF(OR(ISBLANK(Term3_Special_Day_1[[#This Row],[Start]]),ISBLANK(Term3_Special_Day_1[[#This Row],[End]])),"",(Term3_Special_Day_1[[#This Row],[End]]-Term3_Special_Day_1[[#This Row],[Start]])*1440)</f>
        <v/>
      </c>
      <c r="F108" s="106" t="str">
        <f>IF(ISBLANK(Term3_Special_Day_1[[#This Row],[Activity]]),"",IF(_xlfn.XLOOKUP(Term3_Special_Day_1[[#This Row],[Activity]],Types_of_Activity[Type of Activity],Types_of_Activity[Classification])=1,Term3_Special_Day_1[[#This Row],[Elapsed]],0))</f>
        <v/>
      </c>
      <c r="G108" s="106" t="str">
        <f>IF(ISBLANK(Term3_Special_Day_1[[#This Row],[Activity]]),"",IF(_xlfn.XLOOKUP(Term3_Special_Day_1[[#This Row],[Activity]],Types_of_Activity[Type of Activity],Types_of_Activity[Classification])=2,Term3_Special_Day_1[[#This Row],[Elapsed]],0))</f>
        <v/>
      </c>
      <c r="H108"/>
      <c r="I108" s="136"/>
      <c r="J108" s="136"/>
      <c r="K108" s="103"/>
      <c r="L108" s="106" t="str">
        <f>IF(OR(ISBLANK(Term3_Special_Day_2[[#This Row],[Start]]),ISBLANK(Term3_Special_Day_2[[#This Row],[End]])),"",(Term3_Special_Day_2[[#This Row],[End]]-Term3_Special_Day_2[[#This Row],[Start]])*1440)</f>
        <v/>
      </c>
      <c r="M108" s="106" t="str">
        <f>IF(ISBLANK(Term3_Special_Day_2[[#This Row],[Activity]]),"",IF(_xlfn.XLOOKUP(Term3_Special_Day_2[[#This Row],[Activity]],Types_of_Activity[Type of Activity],Types_of_Activity[Classification])=1,Term3_Special_Day_2[[#This Row],[Elapsed]],0))</f>
        <v/>
      </c>
      <c r="N108" s="106" t="str">
        <f>IF(ISBLANK(Term3_Special_Day_2[[#This Row],[Activity]]),"",IF(_xlfn.XLOOKUP(Term3_Special_Day_2[[#This Row],[Activity]],Types_of_Activity[Type of Activity],Types_of_Activity[Classification])=2,Term3_Special_Day_2[[#This Row],[Elapsed]],0))</f>
        <v/>
      </c>
      <c r="O108"/>
      <c r="P108" s="136"/>
      <c r="Q108" s="136"/>
      <c r="R108" s="103"/>
      <c r="S108" s="106" t="str">
        <f>IF(OR(ISBLANK(Term3_Special_Day_3[[#This Row],[Start]]),ISBLANK(Term3_Special_Day_3[[#This Row],[End]])),"",(Term3_Special_Day_3[[#This Row],[End]]-Term3_Special_Day_3[[#This Row],[Start]])*1440)</f>
        <v/>
      </c>
      <c r="T108" s="106" t="str">
        <f>IF(ISBLANK(Term3_Special_Day_3[[#This Row],[Activity]]),"",IF(_xlfn.XLOOKUP(Term3_Special_Day_3[[#This Row],[Activity]],Types_of_Activity[Type of Activity],Types_of_Activity[Classification])=1,Term3_Special_Day_3[[#This Row],[Elapsed]],0))</f>
        <v/>
      </c>
      <c r="U108" s="106" t="str">
        <f>IF(ISBLANK(Term3_Special_Day_3[[#This Row],[Activity]]),"",IF(_xlfn.XLOOKUP(Term3_Special_Day_3[[#This Row],[Activity]],Types_of_Activity[Type of Activity],Types_of_Activity[Classification])=2,Term3_Special_Day_3[[#This Row],[Elapsed]],0))</f>
        <v/>
      </c>
    </row>
    <row r="109" spans="2:21" x14ac:dyDescent="0.3">
      <c r="B109" s="136"/>
      <c r="C109" s="136"/>
      <c r="D109" s="103"/>
      <c r="E109" s="106" t="str">
        <f>IF(OR(ISBLANK(Term3_Special_Day_1[[#This Row],[Start]]),ISBLANK(Term3_Special_Day_1[[#This Row],[End]])),"",(Term3_Special_Day_1[[#This Row],[End]]-Term3_Special_Day_1[[#This Row],[Start]])*1440)</f>
        <v/>
      </c>
      <c r="F109" s="106" t="str">
        <f>IF(ISBLANK(Term3_Special_Day_1[[#This Row],[Activity]]),"",IF(_xlfn.XLOOKUP(Term3_Special_Day_1[[#This Row],[Activity]],Types_of_Activity[Type of Activity],Types_of_Activity[Classification])=1,Term3_Special_Day_1[[#This Row],[Elapsed]],0))</f>
        <v/>
      </c>
      <c r="G109" s="106" t="str">
        <f>IF(ISBLANK(Term3_Special_Day_1[[#This Row],[Activity]]),"",IF(_xlfn.XLOOKUP(Term3_Special_Day_1[[#This Row],[Activity]],Types_of_Activity[Type of Activity],Types_of_Activity[Classification])=2,Term3_Special_Day_1[[#This Row],[Elapsed]],0))</f>
        <v/>
      </c>
      <c r="H109"/>
      <c r="I109" s="136"/>
      <c r="J109" s="136"/>
      <c r="K109" s="103"/>
      <c r="L109" s="106" t="str">
        <f>IF(OR(ISBLANK(Term3_Special_Day_2[[#This Row],[Start]]),ISBLANK(Term3_Special_Day_2[[#This Row],[End]])),"",(Term3_Special_Day_2[[#This Row],[End]]-Term3_Special_Day_2[[#This Row],[Start]])*1440)</f>
        <v/>
      </c>
      <c r="M109" s="106" t="str">
        <f>IF(ISBLANK(Term3_Special_Day_2[[#This Row],[Activity]]),"",IF(_xlfn.XLOOKUP(Term3_Special_Day_2[[#This Row],[Activity]],Types_of_Activity[Type of Activity],Types_of_Activity[Classification])=1,Term3_Special_Day_2[[#This Row],[Elapsed]],0))</f>
        <v/>
      </c>
      <c r="N109" s="106" t="str">
        <f>IF(ISBLANK(Term3_Special_Day_2[[#This Row],[Activity]]),"",IF(_xlfn.XLOOKUP(Term3_Special_Day_2[[#This Row],[Activity]],Types_of_Activity[Type of Activity],Types_of_Activity[Classification])=2,Term3_Special_Day_2[[#This Row],[Elapsed]],0))</f>
        <v/>
      </c>
      <c r="O109"/>
      <c r="P109" s="136"/>
      <c r="Q109" s="136"/>
      <c r="R109" s="103"/>
      <c r="S109" s="106" t="str">
        <f>IF(OR(ISBLANK(Term3_Special_Day_3[[#This Row],[Start]]),ISBLANK(Term3_Special_Day_3[[#This Row],[End]])),"",(Term3_Special_Day_3[[#This Row],[End]]-Term3_Special_Day_3[[#This Row],[Start]])*1440)</f>
        <v/>
      </c>
      <c r="T109" s="106" t="str">
        <f>IF(ISBLANK(Term3_Special_Day_3[[#This Row],[Activity]]),"",IF(_xlfn.XLOOKUP(Term3_Special_Day_3[[#This Row],[Activity]],Types_of_Activity[Type of Activity],Types_of_Activity[Classification])=1,Term3_Special_Day_3[[#This Row],[Elapsed]],0))</f>
        <v/>
      </c>
      <c r="U109" s="106" t="str">
        <f>IF(ISBLANK(Term3_Special_Day_3[[#This Row],[Activity]]),"",IF(_xlfn.XLOOKUP(Term3_Special_Day_3[[#This Row],[Activity]],Types_of_Activity[Type of Activity],Types_of_Activity[Classification])=2,Term3_Special_Day_3[[#This Row],[Elapsed]],0))</f>
        <v/>
      </c>
    </row>
    <row r="110" spans="2:21" x14ac:dyDescent="0.3">
      <c r="B110" s="136"/>
      <c r="C110" s="136"/>
      <c r="D110" s="103"/>
      <c r="E110" s="106" t="str">
        <f>IF(OR(ISBLANK(Term3_Special_Day_1[[#This Row],[Start]]),ISBLANK(Term3_Special_Day_1[[#This Row],[End]])),"",(Term3_Special_Day_1[[#This Row],[End]]-Term3_Special_Day_1[[#This Row],[Start]])*1440)</f>
        <v/>
      </c>
      <c r="F110" s="106" t="str">
        <f>IF(ISBLANK(Term3_Special_Day_1[[#This Row],[Activity]]),"",IF(_xlfn.XLOOKUP(Term3_Special_Day_1[[#This Row],[Activity]],Types_of_Activity[Type of Activity],Types_of_Activity[Classification])=1,Term3_Special_Day_1[[#This Row],[Elapsed]],0))</f>
        <v/>
      </c>
      <c r="G110" s="106" t="str">
        <f>IF(ISBLANK(Term3_Special_Day_1[[#This Row],[Activity]]),"",IF(_xlfn.XLOOKUP(Term3_Special_Day_1[[#This Row],[Activity]],Types_of_Activity[Type of Activity],Types_of_Activity[Classification])=2,Term3_Special_Day_1[[#This Row],[Elapsed]],0))</f>
        <v/>
      </c>
      <c r="H110"/>
      <c r="I110" s="136"/>
      <c r="J110" s="136"/>
      <c r="K110" s="103"/>
      <c r="L110" s="106" t="str">
        <f>IF(OR(ISBLANK(Term3_Special_Day_2[[#This Row],[Start]]),ISBLANK(Term3_Special_Day_2[[#This Row],[End]])),"",(Term3_Special_Day_2[[#This Row],[End]]-Term3_Special_Day_2[[#This Row],[Start]])*1440)</f>
        <v/>
      </c>
      <c r="M110" s="106" t="str">
        <f>IF(ISBLANK(Term3_Special_Day_2[[#This Row],[Activity]]),"",IF(_xlfn.XLOOKUP(Term3_Special_Day_2[[#This Row],[Activity]],Types_of_Activity[Type of Activity],Types_of_Activity[Classification])=1,Term3_Special_Day_2[[#This Row],[Elapsed]],0))</f>
        <v/>
      </c>
      <c r="N110" s="106" t="str">
        <f>IF(ISBLANK(Term3_Special_Day_2[[#This Row],[Activity]]),"",IF(_xlfn.XLOOKUP(Term3_Special_Day_2[[#This Row],[Activity]],Types_of_Activity[Type of Activity],Types_of_Activity[Classification])=2,Term3_Special_Day_2[[#This Row],[Elapsed]],0))</f>
        <v/>
      </c>
      <c r="O110"/>
      <c r="P110" s="136"/>
      <c r="Q110" s="136"/>
      <c r="R110" s="103"/>
      <c r="S110" s="106" t="str">
        <f>IF(OR(ISBLANK(Term3_Special_Day_3[[#This Row],[Start]]),ISBLANK(Term3_Special_Day_3[[#This Row],[End]])),"",(Term3_Special_Day_3[[#This Row],[End]]-Term3_Special_Day_3[[#This Row],[Start]])*1440)</f>
        <v/>
      </c>
      <c r="T110" s="106" t="str">
        <f>IF(ISBLANK(Term3_Special_Day_3[[#This Row],[Activity]]),"",IF(_xlfn.XLOOKUP(Term3_Special_Day_3[[#This Row],[Activity]],Types_of_Activity[Type of Activity],Types_of_Activity[Classification])=1,Term3_Special_Day_3[[#This Row],[Elapsed]],0))</f>
        <v/>
      </c>
      <c r="U110" s="106" t="str">
        <f>IF(ISBLANK(Term3_Special_Day_3[[#This Row],[Activity]]),"",IF(_xlfn.XLOOKUP(Term3_Special_Day_3[[#This Row],[Activity]],Types_of_Activity[Type of Activity],Types_of_Activity[Classification])=2,Term3_Special_Day_3[[#This Row],[Elapsed]],0))</f>
        <v/>
      </c>
    </row>
    <row r="111" spans="2:21" x14ac:dyDescent="0.3">
      <c r="B111" s="136"/>
      <c r="C111" s="136"/>
      <c r="D111" s="103"/>
      <c r="E111" s="106" t="str">
        <f>IF(OR(ISBLANK(Term3_Special_Day_1[[#This Row],[Start]]),ISBLANK(Term3_Special_Day_1[[#This Row],[End]])),"",(Term3_Special_Day_1[[#This Row],[End]]-Term3_Special_Day_1[[#This Row],[Start]])*1440)</f>
        <v/>
      </c>
      <c r="F111" s="106" t="str">
        <f>IF(ISBLANK(Term3_Special_Day_1[[#This Row],[Activity]]),"",IF(_xlfn.XLOOKUP(Term3_Special_Day_1[[#This Row],[Activity]],Types_of_Activity[Type of Activity],Types_of_Activity[Classification])=1,Term3_Special_Day_1[[#This Row],[Elapsed]],0))</f>
        <v/>
      </c>
      <c r="G111" s="106" t="str">
        <f>IF(ISBLANK(Term3_Special_Day_1[[#This Row],[Activity]]),"",IF(_xlfn.XLOOKUP(Term3_Special_Day_1[[#This Row],[Activity]],Types_of_Activity[Type of Activity],Types_of_Activity[Classification])=2,Term3_Special_Day_1[[#This Row],[Elapsed]],0))</f>
        <v/>
      </c>
      <c r="H111"/>
      <c r="I111" s="136"/>
      <c r="J111" s="136"/>
      <c r="K111" s="103"/>
      <c r="L111" s="106" t="str">
        <f>IF(OR(ISBLANK(Term3_Special_Day_2[[#This Row],[Start]]),ISBLANK(Term3_Special_Day_2[[#This Row],[End]])),"",(Term3_Special_Day_2[[#This Row],[End]]-Term3_Special_Day_2[[#This Row],[Start]])*1440)</f>
        <v/>
      </c>
      <c r="M111" s="106" t="str">
        <f>IF(ISBLANK(Term3_Special_Day_2[[#This Row],[Activity]]),"",IF(_xlfn.XLOOKUP(Term3_Special_Day_2[[#This Row],[Activity]],Types_of_Activity[Type of Activity],Types_of_Activity[Classification])=1,Term3_Special_Day_2[[#This Row],[Elapsed]],0))</f>
        <v/>
      </c>
      <c r="N111" s="106" t="str">
        <f>IF(ISBLANK(Term3_Special_Day_2[[#This Row],[Activity]]),"",IF(_xlfn.XLOOKUP(Term3_Special_Day_2[[#This Row],[Activity]],Types_of_Activity[Type of Activity],Types_of_Activity[Classification])=2,Term3_Special_Day_2[[#This Row],[Elapsed]],0))</f>
        <v/>
      </c>
      <c r="O111"/>
      <c r="P111" s="136"/>
      <c r="Q111" s="136"/>
      <c r="R111" s="103"/>
      <c r="S111" s="106" t="str">
        <f>IF(OR(ISBLANK(Term3_Special_Day_3[[#This Row],[Start]]),ISBLANK(Term3_Special_Day_3[[#This Row],[End]])),"",(Term3_Special_Day_3[[#This Row],[End]]-Term3_Special_Day_3[[#This Row],[Start]])*1440)</f>
        <v/>
      </c>
      <c r="T111" s="106" t="str">
        <f>IF(ISBLANK(Term3_Special_Day_3[[#This Row],[Activity]]),"",IF(_xlfn.XLOOKUP(Term3_Special_Day_3[[#This Row],[Activity]],Types_of_Activity[Type of Activity],Types_of_Activity[Classification])=1,Term3_Special_Day_3[[#This Row],[Elapsed]],0))</f>
        <v/>
      </c>
      <c r="U111" s="106" t="str">
        <f>IF(ISBLANK(Term3_Special_Day_3[[#This Row],[Activity]]),"",IF(_xlfn.XLOOKUP(Term3_Special_Day_3[[#This Row],[Activity]],Types_of_Activity[Type of Activity],Types_of_Activity[Classification])=2,Term3_Special_Day_3[[#This Row],[Elapsed]],0))</f>
        <v/>
      </c>
    </row>
    <row r="112" spans="2:21" x14ac:dyDescent="0.3">
      <c r="B112" s="136"/>
      <c r="C112" s="136"/>
      <c r="D112" s="103"/>
      <c r="E112" s="106" t="str">
        <f>IF(OR(ISBLANK(Term3_Special_Day_1[[#This Row],[Start]]),ISBLANK(Term3_Special_Day_1[[#This Row],[End]])),"",(Term3_Special_Day_1[[#This Row],[End]]-Term3_Special_Day_1[[#This Row],[Start]])*1440)</f>
        <v/>
      </c>
      <c r="F112" s="106" t="str">
        <f>IF(ISBLANK(Term3_Special_Day_1[[#This Row],[Activity]]),"",IF(_xlfn.XLOOKUP(Term3_Special_Day_1[[#This Row],[Activity]],Types_of_Activity[Type of Activity],Types_of_Activity[Classification])=1,Term3_Special_Day_1[[#This Row],[Elapsed]],0))</f>
        <v/>
      </c>
      <c r="G112" s="106" t="str">
        <f>IF(ISBLANK(Term3_Special_Day_1[[#This Row],[Activity]]),"",IF(_xlfn.XLOOKUP(Term3_Special_Day_1[[#This Row],[Activity]],Types_of_Activity[Type of Activity],Types_of_Activity[Classification])=2,Term3_Special_Day_1[[#This Row],[Elapsed]],0))</f>
        <v/>
      </c>
      <c r="H112"/>
      <c r="I112" s="136"/>
      <c r="J112" s="136"/>
      <c r="K112" s="103"/>
      <c r="L112" s="106" t="str">
        <f>IF(OR(ISBLANK(Term3_Special_Day_2[[#This Row],[Start]]),ISBLANK(Term3_Special_Day_2[[#This Row],[End]])),"",(Term3_Special_Day_2[[#This Row],[End]]-Term3_Special_Day_2[[#This Row],[Start]])*1440)</f>
        <v/>
      </c>
      <c r="M112" s="106" t="str">
        <f>IF(ISBLANK(Term3_Special_Day_2[[#This Row],[Activity]]),"",IF(_xlfn.XLOOKUP(Term3_Special_Day_2[[#This Row],[Activity]],Types_of_Activity[Type of Activity],Types_of_Activity[Classification])=1,Term3_Special_Day_2[[#This Row],[Elapsed]],0))</f>
        <v/>
      </c>
      <c r="N112" s="106" t="str">
        <f>IF(ISBLANK(Term3_Special_Day_2[[#This Row],[Activity]]),"",IF(_xlfn.XLOOKUP(Term3_Special_Day_2[[#This Row],[Activity]],Types_of_Activity[Type of Activity],Types_of_Activity[Classification])=2,Term3_Special_Day_2[[#This Row],[Elapsed]],0))</f>
        <v/>
      </c>
      <c r="O112"/>
      <c r="P112" s="136"/>
      <c r="Q112" s="136"/>
      <c r="R112" s="103"/>
      <c r="S112" s="106" t="str">
        <f>IF(OR(ISBLANK(Term3_Special_Day_3[[#This Row],[Start]]),ISBLANK(Term3_Special_Day_3[[#This Row],[End]])),"",(Term3_Special_Day_3[[#This Row],[End]]-Term3_Special_Day_3[[#This Row],[Start]])*1440)</f>
        <v/>
      </c>
      <c r="T112" s="106" t="str">
        <f>IF(ISBLANK(Term3_Special_Day_3[[#This Row],[Activity]]),"",IF(_xlfn.XLOOKUP(Term3_Special_Day_3[[#This Row],[Activity]],Types_of_Activity[Type of Activity],Types_of_Activity[Classification])=1,Term3_Special_Day_3[[#This Row],[Elapsed]],0))</f>
        <v/>
      </c>
      <c r="U112" s="106" t="str">
        <f>IF(ISBLANK(Term3_Special_Day_3[[#This Row],[Activity]]),"",IF(_xlfn.XLOOKUP(Term3_Special_Day_3[[#This Row],[Activity]],Types_of_Activity[Type of Activity],Types_of_Activity[Classification])=2,Term3_Special_Day_3[[#This Row],[Elapsed]],0))</f>
        <v/>
      </c>
    </row>
    <row r="113" spans="2:21" x14ac:dyDescent="0.3">
      <c r="B113" s="136"/>
      <c r="C113" s="136"/>
      <c r="D113" s="103"/>
      <c r="E113" s="106" t="str">
        <f>IF(OR(ISBLANK(Term3_Special_Day_1[[#This Row],[Start]]),ISBLANK(Term3_Special_Day_1[[#This Row],[End]])),"",(Term3_Special_Day_1[[#This Row],[End]]-Term3_Special_Day_1[[#This Row],[Start]])*1440)</f>
        <v/>
      </c>
      <c r="F113" s="106" t="str">
        <f>IF(ISBLANK(Term3_Special_Day_1[[#This Row],[Activity]]),"",IF(_xlfn.XLOOKUP(Term3_Special_Day_1[[#This Row],[Activity]],Types_of_Activity[Type of Activity],Types_of_Activity[Classification])=1,Term3_Special_Day_1[[#This Row],[Elapsed]],0))</f>
        <v/>
      </c>
      <c r="G113" s="106" t="str">
        <f>IF(ISBLANK(Term3_Special_Day_1[[#This Row],[Activity]]),"",IF(_xlfn.XLOOKUP(Term3_Special_Day_1[[#This Row],[Activity]],Types_of_Activity[Type of Activity],Types_of_Activity[Classification])=2,Term3_Special_Day_1[[#This Row],[Elapsed]],0))</f>
        <v/>
      </c>
      <c r="H113"/>
      <c r="I113" s="136"/>
      <c r="J113" s="136"/>
      <c r="K113" s="103"/>
      <c r="L113" s="106" t="str">
        <f>IF(OR(ISBLANK(Term3_Special_Day_2[[#This Row],[Start]]),ISBLANK(Term3_Special_Day_2[[#This Row],[End]])),"",(Term3_Special_Day_2[[#This Row],[End]]-Term3_Special_Day_2[[#This Row],[Start]])*1440)</f>
        <v/>
      </c>
      <c r="M113" s="106" t="str">
        <f>IF(ISBLANK(Term3_Special_Day_2[[#This Row],[Activity]]),"",IF(_xlfn.XLOOKUP(Term3_Special_Day_2[[#This Row],[Activity]],Types_of_Activity[Type of Activity],Types_of_Activity[Classification])=1,Term3_Special_Day_2[[#This Row],[Elapsed]],0))</f>
        <v/>
      </c>
      <c r="N113" s="106" t="str">
        <f>IF(ISBLANK(Term3_Special_Day_2[[#This Row],[Activity]]),"",IF(_xlfn.XLOOKUP(Term3_Special_Day_2[[#This Row],[Activity]],Types_of_Activity[Type of Activity],Types_of_Activity[Classification])=2,Term3_Special_Day_2[[#This Row],[Elapsed]],0))</f>
        <v/>
      </c>
      <c r="O113"/>
      <c r="P113" s="136"/>
      <c r="Q113" s="136"/>
      <c r="R113" s="103"/>
      <c r="S113" s="106" t="str">
        <f>IF(OR(ISBLANK(Term3_Special_Day_3[[#This Row],[Start]]),ISBLANK(Term3_Special_Day_3[[#This Row],[End]])),"",(Term3_Special_Day_3[[#This Row],[End]]-Term3_Special_Day_3[[#This Row],[Start]])*1440)</f>
        <v/>
      </c>
      <c r="T113" s="106" t="str">
        <f>IF(ISBLANK(Term3_Special_Day_3[[#This Row],[Activity]]),"",IF(_xlfn.XLOOKUP(Term3_Special_Day_3[[#This Row],[Activity]],Types_of_Activity[Type of Activity],Types_of_Activity[Classification])=1,Term3_Special_Day_3[[#This Row],[Elapsed]],0))</f>
        <v/>
      </c>
      <c r="U113" s="106" t="str">
        <f>IF(ISBLANK(Term3_Special_Day_3[[#This Row],[Activity]]),"",IF(_xlfn.XLOOKUP(Term3_Special_Day_3[[#This Row],[Activity]],Types_of_Activity[Type of Activity],Types_of_Activity[Classification])=2,Term3_Special_Day_3[[#This Row],[Elapsed]],0))</f>
        <v/>
      </c>
    </row>
    <row r="114" spans="2:21" x14ac:dyDescent="0.3">
      <c r="B114" s="136"/>
      <c r="C114" s="136"/>
      <c r="D114" s="103"/>
      <c r="E114" s="106" t="str">
        <f>IF(OR(ISBLANK(Term3_Special_Day_1[[#This Row],[Start]]),ISBLANK(Term3_Special_Day_1[[#This Row],[End]])),"",(Term3_Special_Day_1[[#This Row],[End]]-Term3_Special_Day_1[[#This Row],[Start]])*1440)</f>
        <v/>
      </c>
      <c r="F114" s="106" t="str">
        <f>IF(ISBLANK(Term3_Special_Day_1[[#This Row],[Activity]]),"",IF(_xlfn.XLOOKUP(Term3_Special_Day_1[[#This Row],[Activity]],Types_of_Activity[Type of Activity],Types_of_Activity[Classification])=1,Term3_Special_Day_1[[#This Row],[Elapsed]],0))</f>
        <v/>
      </c>
      <c r="G114" s="106" t="str">
        <f>IF(ISBLANK(Term3_Special_Day_1[[#This Row],[Activity]]),"",IF(_xlfn.XLOOKUP(Term3_Special_Day_1[[#This Row],[Activity]],Types_of_Activity[Type of Activity],Types_of_Activity[Classification])=2,Term3_Special_Day_1[[#This Row],[Elapsed]],0))</f>
        <v/>
      </c>
      <c r="H114"/>
      <c r="I114" s="136"/>
      <c r="J114" s="136"/>
      <c r="K114" s="103"/>
      <c r="L114" s="106" t="str">
        <f>IF(OR(ISBLANK(Term3_Special_Day_2[[#This Row],[Start]]),ISBLANK(Term3_Special_Day_2[[#This Row],[End]])),"",(Term3_Special_Day_2[[#This Row],[End]]-Term3_Special_Day_2[[#This Row],[Start]])*1440)</f>
        <v/>
      </c>
      <c r="M114" s="106" t="str">
        <f>IF(ISBLANK(Term3_Special_Day_2[[#This Row],[Activity]]),"",IF(_xlfn.XLOOKUP(Term3_Special_Day_2[[#This Row],[Activity]],Types_of_Activity[Type of Activity],Types_of_Activity[Classification])=1,Term3_Special_Day_2[[#This Row],[Elapsed]],0))</f>
        <v/>
      </c>
      <c r="N114" s="106" t="str">
        <f>IF(ISBLANK(Term3_Special_Day_2[[#This Row],[Activity]]),"",IF(_xlfn.XLOOKUP(Term3_Special_Day_2[[#This Row],[Activity]],Types_of_Activity[Type of Activity],Types_of_Activity[Classification])=2,Term3_Special_Day_2[[#This Row],[Elapsed]],0))</f>
        <v/>
      </c>
      <c r="O114"/>
      <c r="P114" s="136"/>
      <c r="Q114" s="136"/>
      <c r="R114" s="103"/>
      <c r="S114" s="106" t="str">
        <f>IF(OR(ISBLANK(Term3_Special_Day_3[[#This Row],[Start]]),ISBLANK(Term3_Special_Day_3[[#This Row],[End]])),"",(Term3_Special_Day_3[[#This Row],[End]]-Term3_Special_Day_3[[#This Row],[Start]])*1440)</f>
        <v/>
      </c>
      <c r="T114" s="106" t="str">
        <f>IF(ISBLANK(Term3_Special_Day_3[[#This Row],[Activity]]),"",IF(_xlfn.XLOOKUP(Term3_Special_Day_3[[#This Row],[Activity]],Types_of_Activity[Type of Activity],Types_of_Activity[Classification])=1,Term3_Special_Day_3[[#This Row],[Elapsed]],0))</f>
        <v/>
      </c>
      <c r="U114" s="106" t="str">
        <f>IF(ISBLANK(Term3_Special_Day_3[[#This Row],[Activity]]),"",IF(_xlfn.XLOOKUP(Term3_Special_Day_3[[#This Row],[Activity]],Types_of_Activity[Type of Activity],Types_of_Activity[Classification])=2,Term3_Special_Day_3[[#This Row],[Elapsed]],0))</f>
        <v/>
      </c>
    </row>
    <row r="115" spans="2:21" x14ac:dyDescent="0.3">
      <c r="B115" s="136"/>
      <c r="C115" s="136"/>
      <c r="D115" s="103"/>
      <c r="E115" s="106" t="str">
        <f>IF(OR(ISBLANK(Term3_Special_Day_1[[#This Row],[Start]]),ISBLANK(Term3_Special_Day_1[[#This Row],[End]])),"",(Term3_Special_Day_1[[#This Row],[End]]-Term3_Special_Day_1[[#This Row],[Start]])*1440)</f>
        <v/>
      </c>
      <c r="F115" s="106" t="str">
        <f>IF(ISBLANK(Term3_Special_Day_1[[#This Row],[Activity]]),"",IF(_xlfn.XLOOKUP(Term3_Special_Day_1[[#This Row],[Activity]],Types_of_Activity[Type of Activity],Types_of_Activity[Classification])=1,Term3_Special_Day_1[[#This Row],[Elapsed]],0))</f>
        <v/>
      </c>
      <c r="G115" s="106" t="str">
        <f>IF(ISBLANK(Term3_Special_Day_1[[#This Row],[Activity]]),"",IF(_xlfn.XLOOKUP(Term3_Special_Day_1[[#This Row],[Activity]],Types_of_Activity[Type of Activity],Types_of_Activity[Classification])=2,Term3_Special_Day_1[[#This Row],[Elapsed]],0))</f>
        <v/>
      </c>
      <c r="H115"/>
      <c r="I115" s="136"/>
      <c r="J115" s="136"/>
      <c r="K115" s="103"/>
      <c r="L115" s="106" t="str">
        <f>IF(OR(ISBLANK(Term3_Special_Day_2[[#This Row],[Start]]),ISBLANK(Term3_Special_Day_2[[#This Row],[End]])),"",(Term3_Special_Day_2[[#This Row],[End]]-Term3_Special_Day_2[[#This Row],[Start]])*1440)</f>
        <v/>
      </c>
      <c r="M115" s="106" t="str">
        <f>IF(ISBLANK(Term3_Special_Day_2[[#This Row],[Activity]]),"",IF(_xlfn.XLOOKUP(Term3_Special_Day_2[[#This Row],[Activity]],Types_of_Activity[Type of Activity],Types_of_Activity[Classification])=1,Term3_Special_Day_2[[#This Row],[Elapsed]],0))</f>
        <v/>
      </c>
      <c r="N115" s="106" t="str">
        <f>IF(ISBLANK(Term3_Special_Day_2[[#This Row],[Activity]]),"",IF(_xlfn.XLOOKUP(Term3_Special_Day_2[[#This Row],[Activity]],Types_of_Activity[Type of Activity],Types_of_Activity[Classification])=2,Term3_Special_Day_2[[#This Row],[Elapsed]],0))</f>
        <v/>
      </c>
      <c r="O115"/>
      <c r="P115" s="136"/>
      <c r="Q115" s="136"/>
      <c r="R115" s="103"/>
      <c r="S115" s="106" t="str">
        <f>IF(OR(ISBLANK(Term3_Special_Day_3[[#This Row],[Start]]),ISBLANK(Term3_Special_Day_3[[#This Row],[End]])),"",(Term3_Special_Day_3[[#This Row],[End]]-Term3_Special_Day_3[[#This Row],[Start]])*1440)</f>
        <v/>
      </c>
      <c r="T115" s="106" t="str">
        <f>IF(ISBLANK(Term3_Special_Day_3[[#This Row],[Activity]]),"",IF(_xlfn.XLOOKUP(Term3_Special_Day_3[[#This Row],[Activity]],Types_of_Activity[Type of Activity],Types_of_Activity[Classification])=1,Term3_Special_Day_3[[#This Row],[Elapsed]],0))</f>
        <v/>
      </c>
      <c r="U115" s="106" t="str">
        <f>IF(ISBLANK(Term3_Special_Day_3[[#This Row],[Activity]]),"",IF(_xlfn.XLOOKUP(Term3_Special_Day_3[[#This Row],[Activity]],Types_of_Activity[Type of Activity],Types_of_Activity[Classification])=2,Term3_Special_Day_3[[#This Row],[Elapsed]],0))</f>
        <v/>
      </c>
    </row>
    <row r="116" spans="2:21" x14ac:dyDescent="0.3">
      <c r="B116" s="136"/>
      <c r="C116" s="136"/>
      <c r="D116" s="103"/>
      <c r="E116" s="106" t="str">
        <f>IF(OR(ISBLANK(Term3_Special_Day_1[[#This Row],[Start]]),ISBLANK(Term3_Special_Day_1[[#This Row],[End]])),"",(Term3_Special_Day_1[[#This Row],[End]]-Term3_Special_Day_1[[#This Row],[Start]])*1440)</f>
        <v/>
      </c>
      <c r="F116" s="106" t="str">
        <f>IF(ISBLANK(Term3_Special_Day_1[[#This Row],[Activity]]),"",IF(_xlfn.XLOOKUP(Term3_Special_Day_1[[#This Row],[Activity]],Types_of_Activity[Type of Activity],Types_of_Activity[Classification])=1,Term3_Special_Day_1[[#This Row],[Elapsed]],0))</f>
        <v/>
      </c>
      <c r="G116" s="106" t="str">
        <f>IF(ISBLANK(Term3_Special_Day_1[[#This Row],[Activity]]),"",IF(_xlfn.XLOOKUP(Term3_Special_Day_1[[#This Row],[Activity]],Types_of_Activity[Type of Activity],Types_of_Activity[Classification])=2,Term3_Special_Day_1[[#This Row],[Elapsed]],0))</f>
        <v/>
      </c>
      <c r="H116"/>
      <c r="I116" s="136"/>
      <c r="J116" s="136"/>
      <c r="K116" s="103"/>
      <c r="L116" s="106" t="str">
        <f>IF(OR(ISBLANK(Term3_Special_Day_2[[#This Row],[Start]]),ISBLANK(Term3_Special_Day_2[[#This Row],[End]])),"",(Term3_Special_Day_2[[#This Row],[End]]-Term3_Special_Day_2[[#This Row],[Start]])*1440)</f>
        <v/>
      </c>
      <c r="M116" s="106" t="str">
        <f>IF(ISBLANK(Term3_Special_Day_2[[#This Row],[Activity]]),"",IF(_xlfn.XLOOKUP(Term3_Special_Day_2[[#This Row],[Activity]],Types_of_Activity[Type of Activity],Types_of_Activity[Classification])=1,Term3_Special_Day_2[[#This Row],[Elapsed]],0))</f>
        <v/>
      </c>
      <c r="N116" s="106" t="str">
        <f>IF(ISBLANK(Term3_Special_Day_2[[#This Row],[Activity]]),"",IF(_xlfn.XLOOKUP(Term3_Special_Day_2[[#This Row],[Activity]],Types_of_Activity[Type of Activity],Types_of_Activity[Classification])=2,Term3_Special_Day_2[[#This Row],[Elapsed]],0))</f>
        <v/>
      </c>
      <c r="O116"/>
      <c r="P116" s="136"/>
      <c r="Q116" s="136"/>
      <c r="R116" s="103"/>
      <c r="S116" s="106" t="str">
        <f>IF(OR(ISBLANK(Term3_Special_Day_3[[#This Row],[Start]]),ISBLANK(Term3_Special_Day_3[[#This Row],[End]])),"",(Term3_Special_Day_3[[#This Row],[End]]-Term3_Special_Day_3[[#This Row],[Start]])*1440)</f>
        <v/>
      </c>
      <c r="T116" s="106" t="str">
        <f>IF(ISBLANK(Term3_Special_Day_3[[#This Row],[Activity]]),"",IF(_xlfn.XLOOKUP(Term3_Special_Day_3[[#This Row],[Activity]],Types_of_Activity[Type of Activity],Types_of_Activity[Classification])=1,Term3_Special_Day_3[[#This Row],[Elapsed]],0))</f>
        <v/>
      </c>
      <c r="U116" s="106" t="str">
        <f>IF(ISBLANK(Term3_Special_Day_3[[#This Row],[Activity]]),"",IF(_xlfn.XLOOKUP(Term3_Special_Day_3[[#This Row],[Activity]],Types_of_Activity[Type of Activity],Types_of_Activity[Classification])=2,Term3_Special_Day_3[[#This Row],[Elapsed]],0))</f>
        <v/>
      </c>
    </row>
    <row r="117" spans="2:21" x14ac:dyDescent="0.3">
      <c r="B117" s="136"/>
      <c r="C117" s="136"/>
      <c r="D117" s="103"/>
      <c r="E117" s="106" t="str">
        <f>IF(OR(ISBLANK(Term3_Special_Day_1[[#This Row],[Start]]),ISBLANK(Term3_Special_Day_1[[#This Row],[End]])),"",(Term3_Special_Day_1[[#This Row],[End]]-Term3_Special_Day_1[[#This Row],[Start]])*1440)</f>
        <v/>
      </c>
      <c r="F117" s="106" t="str">
        <f>IF(ISBLANK(Term3_Special_Day_1[[#This Row],[Activity]]),"",IF(_xlfn.XLOOKUP(Term3_Special_Day_1[[#This Row],[Activity]],Types_of_Activity[Type of Activity],Types_of_Activity[Classification])=1,Term3_Special_Day_1[[#This Row],[Elapsed]],0))</f>
        <v/>
      </c>
      <c r="G117" s="106" t="str">
        <f>IF(ISBLANK(Term3_Special_Day_1[[#This Row],[Activity]]),"",IF(_xlfn.XLOOKUP(Term3_Special_Day_1[[#This Row],[Activity]],Types_of_Activity[Type of Activity],Types_of_Activity[Classification])=2,Term3_Special_Day_1[[#This Row],[Elapsed]],0))</f>
        <v/>
      </c>
      <c r="H117"/>
      <c r="I117" s="136"/>
      <c r="J117" s="136"/>
      <c r="K117" s="103"/>
      <c r="L117" s="106" t="str">
        <f>IF(OR(ISBLANK(Term3_Special_Day_2[[#This Row],[Start]]),ISBLANK(Term3_Special_Day_2[[#This Row],[End]])),"",(Term3_Special_Day_2[[#This Row],[End]]-Term3_Special_Day_2[[#This Row],[Start]])*1440)</f>
        <v/>
      </c>
      <c r="M117" s="106" t="str">
        <f>IF(ISBLANK(Term3_Special_Day_2[[#This Row],[Activity]]),"",IF(_xlfn.XLOOKUP(Term3_Special_Day_2[[#This Row],[Activity]],Types_of_Activity[Type of Activity],Types_of_Activity[Classification])=1,Term3_Special_Day_2[[#This Row],[Elapsed]],0))</f>
        <v/>
      </c>
      <c r="N117" s="106" t="str">
        <f>IF(ISBLANK(Term3_Special_Day_2[[#This Row],[Activity]]),"",IF(_xlfn.XLOOKUP(Term3_Special_Day_2[[#This Row],[Activity]],Types_of_Activity[Type of Activity],Types_of_Activity[Classification])=2,Term3_Special_Day_2[[#This Row],[Elapsed]],0))</f>
        <v/>
      </c>
      <c r="O117"/>
      <c r="P117" s="136"/>
      <c r="Q117" s="136"/>
      <c r="R117" s="103"/>
      <c r="S117" s="106" t="str">
        <f>IF(OR(ISBLANK(Term3_Special_Day_3[[#This Row],[Start]]),ISBLANK(Term3_Special_Day_3[[#This Row],[End]])),"",(Term3_Special_Day_3[[#This Row],[End]]-Term3_Special_Day_3[[#This Row],[Start]])*1440)</f>
        <v/>
      </c>
      <c r="T117" s="106" t="str">
        <f>IF(ISBLANK(Term3_Special_Day_3[[#This Row],[Activity]]),"",IF(_xlfn.XLOOKUP(Term3_Special_Day_3[[#This Row],[Activity]],Types_of_Activity[Type of Activity],Types_of_Activity[Classification])=1,Term3_Special_Day_3[[#This Row],[Elapsed]],0))</f>
        <v/>
      </c>
      <c r="U117" s="106" t="str">
        <f>IF(ISBLANK(Term3_Special_Day_3[[#This Row],[Activity]]),"",IF(_xlfn.XLOOKUP(Term3_Special_Day_3[[#This Row],[Activity]],Types_of_Activity[Type of Activity],Types_of_Activity[Classification])=2,Term3_Special_Day_3[[#This Row],[Elapsed]],0))</f>
        <v/>
      </c>
    </row>
    <row r="118" spans="2:21" x14ac:dyDescent="0.3">
      <c r="B118" s="136"/>
      <c r="C118" s="136"/>
      <c r="D118" s="103"/>
      <c r="E118" s="106" t="str">
        <f>IF(OR(ISBLANK(Term3_Special_Day_1[[#This Row],[Start]]),ISBLANK(Term3_Special_Day_1[[#This Row],[End]])),"",(Term3_Special_Day_1[[#This Row],[End]]-Term3_Special_Day_1[[#This Row],[Start]])*1440)</f>
        <v/>
      </c>
      <c r="F118" s="106" t="str">
        <f>IF(ISBLANK(Term3_Special_Day_1[[#This Row],[Activity]]),"",IF(_xlfn.XLOOKUP(Term3_Special_Day_1[[#This Row],[Activity]],Types_of_Activity[Type of Activity],Types_of_Activity[Classification])=1,Term3_Special_Day_1[[#This Row],[Elapsed]],0))</f>
        <v/>
      </c>
      <c r="G118" s="106" t="str">
        <f>IF(ISBLANK(Term3_Special_Day_1[[#This Row],[Activity]]),"",IF(_xlfn.XLOOKUP(Term3_Special_Day_1[[#This Row],[Activity]],Types_of_Activity[Type of Activity],Types_of_Activity[Classification])=2,Term3_Special_Day_1[[#This Row],[Elapsed]],0))</f>
        <v/>
      </c>
      <c r="H118"/>
      <c r="I118" s="136"/>
      <c r="J118" s="136"/>
      <c r="K118" s="103"/>
      <c r="L118" s="106" t="str">
        <f>IF(OR(ISBLANK(Term3_Special_Day_2[[#This Row],[Start]]),ISBLANK(Term3_Special_Day_2[[#This Row],[End]])),"",(Term3_Special_Day_2[[#This Row],[End]]-Term3_Special_Day_2[[#This Row],[Start]])*1440)</f>
        <v/>
      </c>
      <c r="M118" s="106" t="str">
        <f>IF(ISBLANK(Term3_Special_Day_2[[#This Row],[Activity]]),"",IF(_xlfn.XLOOKUP(Term3_Special_Day_2[[#This Row],[Activity]],Types_of_Activity[Type of Activity],Types_of_Activity[Classification])=1,Term3_Special_Day_2[[#This Row],[Elapsed]],0))</f>
        <v/>
      </c>
      <c r="N118" s="106" t="str">
        <f>IF(ISBLANK(Term3_Special_Day_2[[#This Row],[Activity]]),"",IF(_xlfn.XLOOKUP(Term3_Special_Day_2[[#This Row],[Activity]],Types_of_Activity[Type of Activity],Types_of_Activity[Classification])=2,Term3_Special_Day_2[[#This Row],[Elapsed]],0))</f>
        <v/>
      </c>
      <c r="O118"/>
      <c r="P118" s="136"/>
      <c r="Q118" s="136"/>
      <c r="R118" s="103"/>
      <c r="S118" s="106" t="str">
        <f>IF(OR(ISBLANK(Term3_Special_Day_3[[#This Row],[Start]]),ISBLANK(Term3_Special_Day_3[[#This Row],[End]])),"",(Term3_Special_Day_3[[#This Row],[End]]-Term3_Special_Day_3[[#This Row],[Start]])*1440)</f>
        <v/>
      </c>
      <c r="T118" s="106" t="str">
        <f>IF(ISBLANK(Term3_Special_Day_3[[#This Row],[Activity]]),"",IF(_xlfn.XLOOKUP(Term3_Special_Day_3[[#This Row],[Activity]],Types_of_Activity[Type of Activity],Types_of_Activity[Classification])=1,Term3_Special_Day_3[[#This Row],[Elapsed]],0))</f>
        <v/>
      </c>
      <c r="U118" s="106" t="str">
        <f>IF(ISBLANK(Term3_Special_Day_3[[#This Row],[Activity]]),"",IF(_xlfn.XLOOKUP(Term3_Special_Day_3[[#This Row],[Activity]],Types_of_Activity[Type of Activity],Types_of_Activity[Classification])=2,Term3_Special_Day_3[[#This Row],[Elapsed]],0))</f>
        <v/>
      </c>
    </row>
    <row r="119" spans="2:21" x14ac:dyDescent="0.3">
      <c r="B119" s="136"/>
      <c r="C119" s="136"/>
      <c r="D119" s="103"/>
      <c r="E119" s="106" t="str">
        <f>IF(OR(ISBLANK(Term3_Special_Day_1[[#This Row],[Start]]),ISBLANK(Term3_Special_Day_1[[#This Row],[End]])),"",(Term3_Special_Day_1[[#This Row],[End]]-Term3_Special_Day_1[[#This Row],[Start]])*1440)</f>
        <v/>
      </c>
      <c r="F119" s="106" t="str">
        <f>IF(ISBLANK(Term3_Special_Day_1[[#This Row],[Activity]]),"",IF(_xlfn.XLOOKUP(Term3_Special_Day_1[[#This Row],[Activity]],Types_of_Activity[Type of Activity],Types_of_Activity[Classification])=1,Term3_Special_Day_1[[#This Row],[Elapsed]],0))</f>
        <v/>
      </c>
      <c r="G119" s="106" t="str">
        <f>IF(ISBLANK(Term3_Special_Day_1[[#This Row],[Activity]]),"",IF(_xlfn.XLOOKUP(Term3_Special_Day_1[[#This Row],[Activity]],Types_of_Activity[Type of Activity],Types_of_Activity[Classification])=2,Term3_Special_Day_1[[#This Row],[Elapsed]],0))</f>
        <v/>
      </c>
      <c r="H119"/>
      <c r="I119" s="136"/>
      <c r="J119" s="136"/>
      <c r="K119" s="103"/>
      <c r="L119" s="106" t="str">
        <f>IF(OR(ISBLANK(Term3_Special_Day_2[[#This Row],[Start]]),ISBLANK(Term3_Special_Day_2[[#This Row],[End]])),"",(Term3_Special_Day_2[[#This Row],[End]]-Term3_Special_Day_2[[#This Row],[Start]])*1440)</f>
        <v/>
      </c>
      <c r="M119" s="106" t="str">
        <f>IF(ISBLANK(Term3_Special_Day_2[[#This Row],[Activity]]),"",IF(_xlfn.XLOOKUP(Term3_Special_Day_2[[#This Row],[Activity]],Types_of_Activity[Type of Activity],Types_of_Activity[Classification])=1,Term3_Special_Day_2[[#This Row],[Elapsed]],0))</f>
        <v/>
      </c>
      <c r="N119" s="106" t="str">
        <f>IF(ISBLANK(Term3_Special_Day_2[[#This Row],[Activity]]),"",IF(_xlfn.XLOOKUP(Term3_Special_Day_2[[#This Row],[Activity]],Types_of_Activity[Type of Activity],Types_of_Activity[Classification])=2,Term3_Special_Day_2[[#This Row],[Elapsed]],0))</f>
        <v/>
      </c>
      <c r="O119"/>
      <c r="P119" s="136"/>
      <c r="Q119" s="136"/>
      <c r="R119" s="103"/>
      <c r="S119" s="106" t="str">
        <f>IF(OR(ISBLANK(Term3_Special_Day_3[[#This Row],[Start]]),ISBLANK(Term3_Special_Day_3[[#This Row],[End]])),"",(Term3_Special_Day_3[[#This Row],[End]]-Term3_Special_Day_3[[#This Row],[Start]])*1440)</f>
        <v/>
      </c>
      <c r="T119" s="106" t="str">
        <f>IF(ISBLANK(Term3_Special_Day_3[[#This Row],[Activity]]),"",IF(_xlfn.XLOOKUP(Term3_Special_Day_3[[#This Row],[Activity]],Types_of_Activity[Type of Activity],Types_of_Activity[Classification])=1,Term3_Special_Day_3[[#This Row],[Elapsed]],0))</f>
        <v/>
      </c>
      <c r="U119" s="106" t="str">
        <f>IF(ISBLANK(Term3_Special_Day_3[[#This Row],[Activity]]),"",IF(_xlfn.XLOOKUP(Term3_Special_Day_3[[#This Row],[Activity]],Types_of_Activity[Type of Activity],Types_of_Activity[Classification])=2,Term3_Special_Day_3[[#This Row],[Elapsed]],0))</f>
        <v/>
      </c>
    </row>
    <row r="120" spans="2:21" x14ac:dyDescent="0.3">
      <c r="B120" s="136"/>
      <c r="C120" s="136"/>
      <c r="D120" s="103"/>
      <c r="E120" s="106" t="str">
        <f>IF(OR(ISBLANK(Term3_Special_Day_1[[#This Row],[Start]]),ISBLANK(Term3_Special_Day_1[[#This Row],[End]])),"",(Term3_Special_Day_1[[#This Row],[End]]-Term3_Special_Day_1[[#This Row],[Start]])*1440)</f>
        <v/>
      </c>
      <c r="F120" s="106" t="str">
        <f>IF(ISBLANK(Term3_Special_Day_1[[#This Row],[Activity]]),"",IF(_xlfn.XLOOKUP(Term3_Special_Day_1[[#This Row],[Activity]],Types_of_Activity[Type of Activity],Types_of_Activity[Classification])=1,Term3_Special_Day_1[[#This Row],[Elapsed]],0))</f>
        <v/>
      </c>
      <c r="G120" s="106" t="str">
        <f>IF(ISBLANK(Term3_Special_Day_1[[#This Row],[Activity]]),"",IF(_xlfn.XLOOKUP(Term3_Special_Day_1[[#This Row],[Activity]],Types_of_Activity[Type of Activity],Types_of_Activity[Classification])=2,Term3_Special_Day_1[[#This Row],[Elapsed]],0))</f>
        <v/>
      </c>
      <c r="H120"/>
      <c r="I120" s="136"/>
      <c r="J120" s="136"/>
      <c r="K120" s="103"/>
      <c r="L120" s="106" t="str">
        <f>IF(OR(ISBLANK(Term3_Special_Day_2[[#This Row],[Start]]),ISBLANK(Term3_Special_Day_2[[#This Row],[End]])),"",(Term3_Special_Day_2[[#This Row],[End]]-Term3_Special_Day_2[[#This Row],[Start]])*1440)</f>
        <v/>
      </c>
      <c r="M120" s="106" t="str">
        <f>IF(ISBLANK(Term3_Special_Day_2[[#This Row],[Activity]]),"",IF(_xlfn.XLOOKUP(Term3_Special_Day_2[[#This Row],[Activity]],Types_of_Activity[Type of Activity],Types_of_Activity[Classification])=1,Term3_Special_Day_2[[#This Row],[Elapsed]],0))</f>
        <v/>
      </c>
      <c r="N120" s="106" t="str">
        <f>IF(ISBLANK(Term3_Special_Day_2[[#This Row],[Activity]]),"",IF(_xlfn.XLOOKUP(Term3_Special_Day_2[[#This Row],[Activity]],Types_of_Activity[Type of Activity],Types_of_Activity[Classification])=2,Term3_Special_Day_2[[#This Row],[Elapsed]],0))</f>
        <v/>
      </c>
      <c r="O120"/>
      <c r="P120" s="136"/>
      <c r="Q120" s="136"/>
      <c r="R120" s="103"/>
      <c r="S120" s="106" t="str">
        <f>IF(OR(ISBLANK(Term3_Special_Day_3[[#This Row],[Start]]),ISBLANK(Term3_Special_Day_3[[#This Row],[End]])),"",(Term3_Special_Day_3[[#This Row],[End]]-Term3_Special_Day_3[[#This Row],[Start]])*1440)</f>
        <v/>
      </c>
      <c r="T120" s="106" t="str">
        <f>IF(ISBLANK(Term3_Special_Day_3[[#This Row],[Activity]]),"",IF(_xlfn.XLOOKUP(Term3_Special_Day_3[[#This Row],[Activity]],Types_of_Activity[Type of Activity],Types_of_Activity[Classification])=1,Term3_Special_Day_3[[#This Row],[Elapsed]],0))</f>
        <v/>
      </c>
      <c r="U120" s="106" t="str">
        <f>IF(ISBLANK(Term3_Special_Day_3[[#This Row],[Activity]]),"",IF(_xlfn.XLOOKUP(Term3_Special_Day_3[[#This Row],[Activity]],Types_of_Activity[Type of Activity],Types_of_Activity[Classification])=2,Term3_Special_Day_3[[#This Row],[Elapsed]],0))</f>
        <v/>
      </c>
    </row>
    <row r="121" spans="2:21" x14ac:dyDescent="0.3">
      <c r="B121" s="136"/>
      <c r="C121" s="136"/>
      <c r="D121" s="103"/>
      <c r="E121" s="106" t="str">
        <f>IF(OR(ISBLANK(Term3_Special_Day_1[[#This Row],[Start]]),ISBLANK(Term3_Special_Day_1[[#This Row],[End]])),"",(Term3_Special_Day_1[[#This Row],[End]]-Term3_Special_Day_1[[#This Row],[Start]])*1440)</f>
        <v/>
      </c>
      <c r="F121" s="106" t="str">
        <f>IF(ISBLANK(Term3_Special_Day_1[[#This Row],[Activity]]),"",IF(_xlfn.XLOOKUP(Term3_Special_Day_1[[#This Row],[Activity]],Types_of_Activity[Type of Activity],Types_of_Activity[Classification])=1,Term3_Special_Day_1[[#This Row],[Elapsed]],0))</f>
        <v/>
      </c>
      <c r="G121" s="106" t="str">
        <f>IF(ISBLANK(Term3_Special_Day_1[[#This Row],[Activity]]),"",IF(_xlfn.XLOOKUP(Term3_Special_Day_1[[#This Row],[Activity]],Types_of_Activity[Type of Activity],Types_of_Activity[Classification])=2,Term3_Special_Day_1[[#This Row],[Elapsed]],0))</f>
        <v/>
      </c>
      <c r="H121"/>
      <c r="I121" s="136"/>
      <c r="J121" s="136"/>
      <c r="K121" s="103"/>
      <c r="L121" s="106" t="str">
        <f>IF(OR(ISBLANK(Term3_Special_Day_2[[#This Row],[Start]]),ISBLANK(Term3_Special_Day_2[[#This Row],[End]])),"",(Term3_Special_Day_2[[#This Row],[End]]-Term3_Special_Day_2[[#This Row],[Start]])*1440)</f>
        <v/>
      </c>
      <c r="M121" s="106" t="str">
        <f>IF(ISBLANK(Term3_Special_Day_2[[#This Row],[Activity]]),"",IF(_xlfn.XLOOKUP(Term3_Special_Day_2[[#This Row],[Activity]],Types_of_Activity[Type of Activity],Types_of_Activity[Classification])=1,Term3_Special_Day_2[[#This Row],[Elapsed]],0))</f>
        <v/>
      </c>
      <c r="N121" s="106" t="str">
        <f>IF(ISBLANK(Term3_Special_Day_2[[#This Row],[Activity]]),"",IF(_xlfn.XLOOKUP(Term3_Special_Day_2[[#This Row],[Activity]],Types_of_Activity[Type of Activity],Types_of_Activity[Classification])=2,Term3_Special_Day_2[[#This Row],[Elapsed]],0))</f>
        <v/>
      </c>
      <c r="O121"/>
      <c r="P121" s="136"/>
      <c r="Q121" s="136"/>
      <c r="R121" s="103"/>
      <c r="S121" s="106" t="str">
        <f>IF(OR(ISBLANK(Term3_Special_Day_3[[#This Row],[Start]]),ISBLANK(Term3_Special_Day_3[[#This Row],[End]])),"",(Term3_Special_Day_3[[#This Row],[End]]-Term3_Special_Day_3[[#This Row],[Start]])*1440)</f>
        <v/>
      </c>
      <c r="T121" s="106" t="str">
        <f>IF(ISBLANK(Term3_Special_Day_3[[#This Row],[Activity]]),"",IF(_xlfn.XLOOKUP(Term3_Special_Day_3[[#This Row],[Activity]],Types_of_Activity[Type of Activity],Types_of_Activity[Classification])=1,Term3_Special_Day_3[[#This Row],[Elapsed]],0))</f>
        <v/>
      </c>
      <c r="U121" s="106" t="str">
        <f>IF(ISBLANK(Term3_Special_Day_3[[#This Row],[Activity]]),"",IF(_xlfn.XLOOKUP(Term3_Special_Day_3[[#This Row],[Activity]],Types_of_Activity[Type of Activity],Types_of_Activity[Classification])=2,Term3_Special_Day_3[[#This Row],[Elapsed]],0))</f>
        <v/>
      </c>
    </row>
    <row r="122" spans="2:21" x14ac:dyDescent="0.3">
      <c r="B122" s="136"/>
      <c r="C122" s="136"/>
      <c r="D122" s="103"/>
      <c r="E122" s="106" t="str">
        <f>IF(OR(ISBLANK(Term3_Special_Day_1[[#This Row],[Start]]),ISBLANK(Term3_Special_Day_1[[#This Row],[End]])),"",(Term3_Special_Day_1[[#This Row],[End]]-Term3_Special_Day_1[[#This Row],[Start]])*1440)</f>
        <v/>
      </c>
      <c r="F122" s="106" t="str">
        <f>IF(ISBLANK(Term3_Special_Day_1[[#This Row],[Activity]]),"",IF(_xlfn.XLOOKUP(Term3_Special_Day_1[[#This Row],[Activity]],Types_of_Activity[Type of Activity],Types_of_Activity[Classification])=1,Term3_Special_Day_1[[#This Row],[Elapsed]],0))</f>
        <v/>
      </c>
      <c r="G122" s="106" t="str">
        <f>IF(ISBLANK(Term3_Special_Day_1[[#This Row],[Activity]]),"",IF(_xlfn.XLOOKUP(Term3_Special_Day_1[[#This Row],[Activity]],Types_of_Activity[Type of Activity],Types_of_Activity[Classification])=2,Term3_Special_Day_1[[#This Row],[Elapsed]],0))</f>
        <v/>
      </c>
      <c r="H122"/>
      <c r="I122" s="136"/>
      <c r="J122" s="136"/>
      <c r="K122" s="103"/>
      <c r="L122" s="106" t="str">
        <f>IF(OR(ISBLANK(Term3_Special_Day_2[[#This Row],[Start]]),ISBLANK(Term3_Special_Day_2[[#This Row],[End]])),"",(Term3_Special_Day_2[[#This Row],[End]]-Term3_Special_Day_2[[#This Row],[Start]])*1440)</f>
        <v/>
      </c>
      <c r="M122" s="106" t="str">
        <f>IF(ISBLANK(Term3_Special_Day_2[[#This Row],[Activity]]),"",IF(_xlfn.XLOOKUP(Term3_Special_Day_2[[#This Row],[Activity]],Types_of_Activity[Type of Activity],Types_of_Activity[Classification])=1,Term3_Special_Day_2[[#This Row],[Elapsed]],0))</f>
        <v/>
      </c>
      <c r="N122" s="106" t="str">
        <f>IF(ISBLANK(Term3_Special_Day_2[[#This Row],[Activity]]),"",IF(_xlfn.XLOOKUP(Term3_Special_Day_2[[#This Row],[Activity]],Types_of_Activity[Type of Activity],Types_of_Activity[Classification])=2,Term3_Special_Day_2[[#This Row],[Elapsed]],0))</f>
        <v/>
      </c>
      <c r="O122"/>
      <c r="P122" s="136"/>
      <c r="Q122" s="136"/>
      <c r="R122" s="103"/>
      <c r="S122" s="106" t="str">
        <f>IF(OR(ISBLANK(Term3_Special_Day_3[[#This Row],[Start]]),ISBLANK(Term3_Special_Day_3[[#This Row],[End]])),"",(Term3_Special_Day_3[[#This Row],[End]]-Term3_Special_Day_3[[#This Row],[Start]])*1440)</f>
        <v/>
      </c>
      <c r="T122" s="106" t="str">
        <f>IF(ISBLANK(Term3_Special_Day_3[[#This Row],[Activity]]),"",IF(_xlfn.XLOOKUP(Term3_Special_Day_3[[#This Row],[Activity]],Types_of_Activity[Type of Activity],Types_of_Activity[Classification])=1,Term3_Special_Day_3[[#This Row],[Elapsed]],0))</f>
        <v/>
      </c>
      <c r="U122" s="106" t="str">
        <f>IF(ISBLANK(Term3_Special_Day_3[[#This Row],[Activity]]),"",IF(_xlfn.XLOOKUP(Term3_Special_Day_3[[#This Row],[Activity]],Types_of_Activity[Type of Activity],Types_of_Activity[Classification])=2,Term3_Special_Day_3[[#This Row],[Elapsed]],0))</f>
        <v/>
      </c>
    </row>
    <row r="123" spans="2:21" x14ac:dyDescent="0.3">
      <c r="B123" s="136"/>
      <c r="C123" s="136"/>
      <c r="D123" s="103"/>
      <c r="E123" s="106" t="str">
        <f>IF(OR(ISBLANK(Term3_Special_Day_1[[#This Row],[Start]]),ISBLANK(Term3_Special_Day_1[[#This Row],[End]])),"",(Term3_Special_Day_1[[#This Row],[End]]-Term3_Special_Day_1[[#This Row],[Start]])*1440)</f>
        <v/>
      </c>
      <c r="F123" s="106" t="str">
        <f>IF(ISBLANK(Term3_Special_Day_1[[#This Row],[Activity]]),"",IF(_xlfn.XLOOKUP(Term3_Special_Day_1[[#This Row],[Activity]],Types_of_Activity[Type of Activity],Types_of_Activity[Classification])=1,Term3_Special_Day_1[[#This Row],[Elapsed]],0))</f>
        <v/>
      </c>
      <c r="G123" s="106" t="str">
        <f>IF(ISBLANK(Term3_Special_Day_1[[#This Row],[Activity]]),"",IF(_xlfn.XLOOKUP(Term3_Special_Day_1[[#This Row],[Activity]],Types_of_Activity[Type of Activity],Types_of_Activity[Classification])=2,Term3_Special_Day_1[[#This Row],[Elapsed]],0))</f>
        <v/>
      </c>
      <c r="H123"/>
      <c r="I123" s="136"/>
      <c r="J123" s="136"/>
      <c r="K123" s="103"/>
      <c r="L123" s="106" t="str">
        <f>IF(OR(ISBLANK(Term3_Special_Day_2[[#This Row],[Start]]),ISBLANK(Term3_Special_Day_2[[#This Row],[End]])),"",(Term3_Special_Day_2[[#This Row],[End]]-Term3_Special_Day_2[[#This Row],[Start]])*1440)</f>
        <v/>
      </c>
      <c r="M123" s="106" t="str">
        <f>IF(ISBLANK(Term3_Special_Day_2[[#This Row],[Activity]]),"",IF(_xlfn.XLOOKUP(Term3_Special_Day_2[[#This Row],[Activity]],Types_of_Activity[Type of Activity],Types_of_Activity[Classification])=1,Term3_Special_Day_2[[#This Row],[Elapsed]],0))</f>
        <v/>
      </c>
      <c r="N123" s="106" t="str">
        <f>IF(ISBLANK(Term3_Special_Day_2[[#This Row],[Activity]]),"",IF(_xlfn.XLOOKUP(Term3_Special_Day_2[[#This Row],[Activity]],Types_of_Activity[Type of Activity],Types_of_Activity[Classification])=2,Term3_Special_Day_2[[#This Row],[Elapsed]],0))</f>
        <v/>
      </c>
      <c r="O123"/>
      <c r="P123" s="136"/>
      <c r="Q123" s="136"/>
      <c r="R123" s="103"/>
      <c r="S123" s="106" t="str">
        <f>IF(OR(ISBLANK(Term3_Special_Day_3[[#This Row],[Start]]),ISBLANK(Term3_Special_Day_3[[#This Row],[End]])),"",(Term3_Special_Day_3[[#This Row],[End]]-Term3_Special_Day_3[[#This Row],[Start]])*1440)</f>
        <v/>
      </c>
      <c r="T123" s="106" t="str">
        <f>IF(ISBLANK(Term3_Special_Day_3[[#This Row],[Activity]]),"",IF(_xlfn.XLOOKUP(Term3_Special_Day_3[[#This Row],[Activity]],Types_of_Activity[Type of Activity],Types_of_Activity[Classification])=1,Term3_Special_Day_3[[#This Row],[Elapsed]],0))</f>
        <v/>
      </c>
      <c r="U123" s="106" t="str">
        <f>IF(ISBLANK(Term3_Special_Day_3[[#This Row],[Activity]]),"",IF(_xlfn.XLOOKUP(Term3_Special_Day_3[[#This Row],[Activity]],Types_of_Activity[Type of Activity],Types_of_Activity[Classification])=2,Term3_Special_Day_3[[#This Row],[Elapsed]],0))</f>
        <v/>
      </c>
    </row>
    <row r="124" spans="2:21" x14ac:dyDescent="0.3">
      <c r="B124" s="136"/>
      <c r="C124" s="136"/>
      <c r="D124" s="103"/>
      <c r="E124" s="106" t="str">
        <f>IF(OR(ISBLANK(Term3_Special_Day_1[[#This Row],[Start]]),ISBLANK(Term3_Special_Day_1[[#This Row],[End]])),"",(Term3_Special_Day_1[[#This Row],[End]]-Term3_Special_Day_1[[#This Row],[Start]])*1440)</f>
        <v/>
      </c>
      <c r="F124" s="106" t="str">
        <f>IF(ISBLANK(Term3_Special_Day_1[[#This Row],[Activity]]),"",IF(_xlfn.XLOOKUP(Term3_Special_Day_1[[#This Row],[Activity]],Types_of_Activity[Type of Activity],Types_of_Activity[Classification])=1,Term3_Special_Day_1[[#This Row],[Elapsed]],0))</f>
        <v/>
      </c>
      <c r="G124" s="106" t="str">
        <f>IF(ISBLANK(Term3_Special_Day_1[[#This Row],[Activity]]),"",IF(_xlfn.XLOOKUP(Term3_Special_Day_1[[#This Row],[Activity]],Types_of_Activity[Type of Activity],Types_of_Activity[Classification])=2,Term3_Special_Day_1[[#This Row],[Elapsed]],0))</f>
        <v/>
      </c>
      <c r="H124"/>
      <c r="I124" s="136"/>
      <c r="J124" s="136"/>
      <c r="K124" s="103"/>
      <c r="L124" s="106" t="str">
        <f>IF(OR(ISBLANK(Term3_Special_Day_2[[#This Row],[Start]]),ISBLANK(Term3_Special_Day_2[[#This Row],[End]])),"",(Term3_Special_Day_2[[#This Row],[End]]-Term3_Special_Day_2[[#This Row],[Start]])*1440)</f>
        <v/>
      </c>
      <c r="M124" s="106" t="str">
        <f>IF(ISBLANK(Term3_Special_Day_2[[#This Row],[Activity]]),"",IF(_xlfn.XLOOKUP(Term3_Special_Day_2[[#This Row],[Activity]],Types_of_Activity[Type of Activity],Types_of_Activity[Classification])=1,Term3_Special_Day_2[[#This Row],[Elapsed]],0))</f>
        <v/>
      </c>
      <c r="N124" s="106" t="str">
        <f>IF(ISBLANK(Term3_Special_Day_2[[#This Row],[Activity]]),"",IF(_xlfn.XLOOKUP(Term3_Special_Day_2[[#This Row],[Activity]],Types_of_Activity[Type of Activity],Types_of_Activity[Classification])=2,Term3_Special_Day_2[[#This Row],[Elapsed]],0))</f>
        <v/>
      </c>
      <c r="O124"/>
      <c r="P124" s="136"/>
      <c r="Q124" s="136"/>
      <c r="R124" s="103"/>
      <c r="S124" s="106" t="str">
        <f>IF(OR(ISBLANK(Term3_Special_Day_3[[#This Row],[Start]]),ISBLANK(Term3_Special_Day_3[[#This Row],[End]])),"",(Term3_Special_Day_3[[#This Row],[End]]-Term3_Special_Day_3[[#This Row],[Start]])*1440)</f>
        <v/>
      </c>
      <c r="T124" s="106" t="str">
        <f>IF(ISBLANK(Term3_Special_Day_3[[#This Row],[Activity]]),"",IF(_xlfn.XLOOKUP(Term3_Special_Day_3[[#This Row],[Activity]],Types_of_Activity[Type of Activity],Types_of_Activity[Classification])=1,Term3_Special_Day_3[[#This Row],[Elapsed]],0))</f>
        <v/>
      </c>
      <c r="U124" s="106" t="str">
        <f>IF(ISBLANK(Term3_Special_Day_3[[#This Row],[Activity]]),"",IF(_xlfn.XLOOKUP(Term3_Special_Day_3[[#This Row],[Activity]],Types_of_Activity[Type of Activity],Types_of_Activity[Classification])=2,Term3_Special_Day_3[[#This Row],[Elapsed]],0))</f>
        <v/>
      </c>
    </row>
    <row r="125" spans="2:21" x14ac:dyDescent="0.3">
      <c r="B125" s="136"/>
      <c r="C125" s="136"/>
      <c r="D125" s="103"/>
      <c r="E125" s="106" t="str">
        <f>IF(OR(ISBLANK(Term3_Special_Day_1[[#This Row],[Start]]),ISBLANK(Term3_Special_Day_1[[#This Row],[End]])),"",(Term3_Special_Day_1[[#This Row],[End]]-Term3_Special_Day_1[[#This Row],[Start]])*1440)</f>
        <v/>
      </c>
      <c r="F125" s="106" t="str">
        <f>IF(ISBLANK(Term3_Special_Day_1[[#This Row],[Activity]]),"",IF(_xlfn.XLOOKUP(Term3_Special_Day_1[[#This Row],[Activity]],Types_of_Activity[Type of Activity],Types_of_Activity[Classification])=1,Term3_Special_Day_1[[#This Row],[Elapsed]],0))</f>
        <v/>
      </c>
      <c r="G125" s="106" t="str">
        <f>IF(ISBLANK(Term3_Special_Day_1[[#This Row],[Activity]]),"",IF(_xlfn.XLOOKUP(Term3_Special_Day_1[[#This Row],[Activity]],Types_of_Activity[Type of Activity],Types_of_Activity[Classification])=2,Term3_Special_Day_1[[#This Row],[Elapsed]],0))</f>
        <v/>
      </c>
      <c r="H125"/>
      <c r="I125" s="136"/>
      <c r="J125" s="136"/>
      <c r="K125" s="103"/>
      <c r="L125" s="106" t="str">
        <f>IF(OR(ISBLANK(Term3_Special_Day_2[[#This Row],[Start]]),ISBLANK(Term3_Special_Day_2[[#This Row],[End]])),"",(Term3_Special_Day_2[[#This Row],[End]]-Term3_Special_Day_2[[#This Row],[Start]])*1440)</f>
        <v/>
      </c>
      <c r="M125" s="106" t="str">
        <f>IF(ISBLANK(Term3_Special_Day_2[[#This Row],[Activity]]),"",IF(_xlfn.XLOOKUP(Term3_Special_Day_2[[#This Row],[Activity]],Types_of_Activity[Type of Activity],Types_of_Activity[Classification])=1,Term3_Special_Day_2[[#This Row],[Elapsed]],0))</f>
        <v/>
      </c>
      <c r="N125" s="106" t="str">
        <f>IF(ISBLANK(Term3_Special_Day_2[[#This Row],[Activity]]),"",IF(_xlfn.XLOOKUP(Term3_Special_Day_2[[#This Row],[Activity]],Types_of_Activity[Type of Activity],Types_of_Activity[Classification])=2,Term3_Special_Day_2[[#This Row],[Elapsed]],0))</f>
        <v/>
      </c>
      <c r="O125"/>
      <c r="P125" s="136"/>
      <c r="Q125" s="136"/>
      <c r="R125" s="103"/>
      <c r="S125" s="106" t="str">
        <f>IF(OR(ISBLANK(Term3_Special_Day_3[[#This Row],[Start]]),ISBLANK(Term3_Special_Day_3[[#This Row],[End]])),"",(Term3_Special_Day_3[[#This Row],[End]]-Term3_Special_Day_3[[#This Row],[Start]])*1440)</f>
        <v/>
      </c>
      <c r="T125" s="106" t="str">
        <f>IF(ISBLANK(Term3_Special_Day_3[[#This Row],[Activity]]),"",IF(_xlfn.XLOOKUP(Term3_Special_Day_3[[#This Row],[Activity]],Types_of_Activity[Type of Activity],Types_of_Activity[Classification])=1,Term3_Special_Day_3[[#This Row],[Elapsed]],0))</f>
        <v/>
      </c>
      <c r="U125" s="106" t="str">
        <f>IF(ISBLANK(Term3_Special_Day_3[[#This Row],[Activity]]),"",IF(_xlfn.XLOOKUP(Term3_Special_Day_3[[#This Row],[Activity]],Types_of_Activity[Type of Activity],Types_of_Activity[Classification])=2,Term3_Special_Day_3[[#This Row],[Elapsed]],0))</f>
        <v/>
      </c>
    </row>
    <row r="126" spans="2:21" x14ac:dyDescent="0.3">
      <c r="B126" s="136"/>
      <c r="C126" s="136"/>
      <c r="D126" s="103"/>
      <c r="E126" s="106" t="str">
        <f>IF(OR(ISBLANK(Term3_Special_Day_1[[#This Row],[Start]]),ISBLANK(Term3_Special_Day_1[[#This Row],[End]])),"",(Term3_Special_Day_1[[#This Row],[End]]-Term3_Special_Day_1[[#This Row],[Start]])*1440)</f>
        <v/>
      </c>
      <c r="F126" s="106" t="str">
        <f>IF(ISBLANK(Term3_Special_Day_1[[#This Row],[Activity]]),"",IF(_xlfn.XLOOKUP(Term3_Special_Day_1[[#This Row],[Activity]],Types_of_Activity[Type of Activity],Types_of_Activity[Classification])=1,Term3_Special_Day_1[[#This Row],[Elapsed]],0))</f>
        <v/>
      </c>
      <c r="G126" s="106" t="str">
        <f>IF(ISBLANK(Term3_Special_Day_1[[#This Row],[Activity]]),"",IF(_xlfn.XLOOKUP(Term3_Special_Day_1[[#This Row],[Activity]],Types_of_Activity[Type of Activity],Types_of_Activity[Classification])=2,Term3_Special_Day_1[[#This Row],[Elapsed]],0))</f>
        <v/>
      </c>
      <c r="H126"/>
      <c r="I126" s="136"/>
      <c r="J126" s="136"/>
      <c r="K126" s="103"/>
      <c r="L126" s="106" t="str">
        <f>IF(OR(ISBLANK(Term3_Special_Day_2[[#This Row],[Start]]),ISBLANK(Term3_Special_Day_2[[#This Row],[End]])),"",(Term3_Special_Day_2[[#This Row],[End]]-Term3_Special_Day_2[[#This Row],[Start]])*1440)</f>
        <v/>
      </c>
      <c r="M126" s="106" t="str">
        <f>IF(ISBLANK(Term3_Special_Day_2[[#This Row],[Activity]]),"",IF(_xlfn.XLOOKUP(Term3_Special_Day_2[[#This Row],[Activity]],Types_of_Activity[Type of Activity],Types_of_Activity[Classification])=1,Term3_Special_Day_2[[#This Row],[Elapsed]],0))</f>
        <v/>
      </c>
      <c r="N126" s="106" t="str">
        <f>IF(ISBLANK(Term3_Special_Day_2[[#This Row],[Activity]]),"",IF(_xlfn.XLOOKUP(Term3_Special_Day_2[[#This Row],[Activity]],Types_of_Activity[Type of Activity],Types_of_Activity[Classification])=2,Term3_Special_Day_2[[#This Row],[Elapsed]],0))</f>
        <v/>
      </c>
      <c r="O126"/>
      <c r="P126" s="136"/>
      <c r="Q126" s="136"/>
      <c r="R126" s="103"/>
      <c r="S126" s="106" t="str">
        <f>IF(OR(ISBLANK(Term3_Special_Day_3[[#This Row],[Start]]),ISBLANK(Term3_Special_Day_3[[#This Row],[End]])),"",(Term3_Special_Day_3[[#This Row],[End]]-Term3_Special_Day_3[[#This Row],[Start]])*1440)</f>
        <v/>
      </c>
      <c r="T126" s="106" t="str">
        <f>IF(ISBLANK(Term3_Special_Day_3[[#This Row],[Activity]]),"",IF(_xlfn.XLOOKUP(Term3_Special_Day_3[[#This Row],[Activity]],Types_of_Activity[Type of Activity],Types_of_Activity[Classification])=1,Term3_Special_Day_3[[#This Row],[Elapsed]],0))</f>
        <v/>
      </c>
      <c r="U126" s="106" t="str">
        <f>IF(ISBLANK(Term3_Special_Day_3[[#This Row],[Activity]]),"",IF(_xlfn.XLOOKUP(Term3_Special_Day_3[[#This Row],[Activity]],Types_of_Activity[Type of Activity],Types_of_Activity[Classification])=2,Term3_Special_Day_3[[#This Row],[Elapsed]],0))</f>
        <v/>
      </c>
    </row>
    <row r="127" spans="2:21" x14ac:dyDescent="0.3">
      <c r="B127" s="136"/>
      <c r="C127" s="136"/>
      <c r="D127" s="103"/>
      <c r="E127" s="106" t="str">
        <f>IF(OR(ISBLANK(Term3_Special_Day_1[[#This Row],[Start]]),ISBLANK(Term3_Special_Day_1[[#This Row],[End]])),"",(Term3_Special_Day_1[[#This Row],[End]]-Term3_Special_Day_1[[#This Row],[Start]])*1440)</f>
        <v/>
      </c>
      <c r="F127" s="106" t="str">
        <f>IF(ISBLANK(Term3_Special_Day_1[[#This Row],[Activity]]),"",IF(_xlfn.XLOOKUP(Term3_Special_Day_1[[#This Row],[Activity]],Types_of_Activity[Type of Activity],Types_of_Activity[Classification])=1,Term3_Special_Day_1[[#This Row],[Elapsed]],0))</f>
        <v/>
      </c>
      <c r="G127" s="106" t="str">
        <f>IF(ISBLANK(Term3_Special_Day_1[[#This Row],[Activity]]),"",IF(_xlfn.XLOOKUP(Term3_Special_Day_1[[#This Row],[Activity]],Types_of_Activity[Type of Activity],Types_of_Activity[Classification])=2,Term3_Special_Day_1[[#This Row],[Elapsed]],0))</f>
        <v/>
      </c>
      <c r="H127"/>
      <c r="I127" s="136"/>
      <c r="J127" s="136"/>
      <c r="K127" s="103"/>
      <c r="L127" s="106" t="str">
        <f>IF(OR(ISBLANK(Term3_Special_Day_2[[#This Row],[Start]]),ISBLANK(Term3_Special_Day_2[[#This Row],[End]])),"",(Term3_Special_Day_2[[#This Row],[End]]-Term3_Special_Day_2[[#This Row],[Start]])*1440)</f>
        <v/>
      </c>
      <c r="M127" s="106" t="str">
        <f>IF(ISBLANK(Term3_Special_Day_2[[#This Row],[Activity]]),"",IF(_xlfn.XLOOKUP(Term3_Special_Day_2[[#This Row],[Activity]],Types_of_Activity[Type of Activity],Types_of_Activity[Classification])=1,Term3_Special_Day_2[[#This Row],[Elapsed]],0))</f>
        <v/>
      </c>
      <c r="N127" s="106" t="str">
        <f>IF(ISBLANK(Term3_Special_Day_2[[#This Row],[Activity]]),"",IF(_xlfn.XLOOKUP(Term3_Special_Day_2[[#This Row],[Activity]],Types_of_Activity[Type of Activity],Types_of_Activity[Classification])=2,Term3_Special_Day_2[[#This Row],[Elapsed]],0))</f>
        <v/>
      </c>
      <c r="O127"/>
      <c r="P127" s="136"/>
      <c r="Q127" s="136"/>
      <c r="R127" s="103"/>
      <c r="S127" s="106" t="str">
        <f>IF(OR(ISBLANK(Term3_Special_Day_3[[#This Row],[Start]]),ISBLANK(Term3_Special_Day_3[[#This Row],[End]])),"",(Term3_Special_Day_3[[#This Row],[End]]-Term3_Special_Day_3[[#This Row],[Start]])*1440)</f>
        <v/>
      </c>
      <c r="T127" s="106" t="str">
        <f>IF(ISBLANK(Term3_Special_Day_3[[#This Row],[Activity]]),"",IF(_xlfn.XLOOKUP(Term3_Special_Day_3[[#This Row],[Activity]],Types_of_Activity[Type of Activity],Types_of_Activity[Classification])=1,Term3_Special_Day_3[[#This Row],[Elapsed]],0))</f>
        <v/>
      </c>
      <c r="U127" s="106" t="str">
        <f>IF(ISBLANK(Term3_Special_Day_3[[#This Row],[Activity]]),"",IF(_xlfn.XLOOKUP(Term3_Special_Day_3[[#This Row],[Activity]],Types_of_Activity[Type of Activity],Types_of_Activity[Classification])=2,Term3_Special_Day_3[[#This Row],[Elapsed]],0))</f>
        <v/>
      </c>
    </row>
    <row r="128" spans="2:21" x14ac:dyDescent="0.3">
      <c r="B128" s="136"/>
      <c r="C128" s="136"/>
      <c r="D128" s="103"/>
      <c r="E128" s="106" t="str">
        <f>IF(OR(ISBLANK(Term3_Special_Day_1[[#This Row],[Start]]),ISBLANK(Term3_Special_Day_1[[#This Row],[End]])),"",(Term3_Special_Day_1[[#This Row],[End]]-Term3_Special_Day_1[[#This Row],[Start]])*1440)</f>
        <v/>
      </c>
      <c r="F128" s="106" t="str">
        <f>IF(ISBLANK(Term3_Special_Day_1[[#This Row],[Activity]]),"",IF(_xlfn.XLOOKUP(Term3_Special_Day_1[[#This Row],[Activity]],Types_of_Activity[Type of Activity],Types_of_Activity[Classification])=1,Term3_Special_Day_1[[#This Row],[Elapsed]],0))</f>
        <v/>
      </c>
      <c r="G128" s="106" t="str">
        <f>IF(ISBLANK(Term3_Special_Day_1[[#This Row],[Activity]]),"",IF(_xlfn.XLOOKUP(Term3_Special_Day_1[[#This Row],[Activity]],Types_of_Activity[Type of Activity],Types_of_Activity[Classification])=2,Term3_Special_Day_1[[#This Row],[Elapsed]],0))</f>
        <v/>
      </c>
      <c r="H128"/>
      <c r="I128" s="136"/>
      <c r="J128" s="136"/>
      <c r="K128" s="103"/>
      <c r="L128" s="106" t="str">
        <f>IF(OR(ISBLANK(Term3_Special_Day_2[[#This Row],[Start]]),ISBLANK(Term3_Special_Day_2[[#This Row],[End]])),"",(Term3_Special_Day_2[[#This Row],[End]]-Term3_Special_Day_2[[#This Row],[Start]])*1440)</f>
        <v/>
      </c>
      <c r="M128" s="106" t="str">
        <f>IF(ISBLANK(Term3_Special_Day_2[[#This Row],[Activity]]),"",IF(_xlfn.XLOOKUP(Term3_Special_Day_2[[#This Row],[Activity]],Types_of_Activity[Type of Activity],Types_of_Activity[Classification])=1,Term3_Special_Day_2[[#This Row],[Elapsed]],0))</f>
        <v/>
      </c>
      <c r="N128" s="106" t="str">
        <f>IF(ISBLANK(Term3_Special_Day_2[[#This Row],[Activity]]),"",IF(_xlfn.XLOOKUP(Term3_Special_Day_2[[#This Row],[Activity]],Types_of_Activity[Type of Activity],Types_of_Activity[Classification])=2,Term3_Special_Day_2[[#This Row],[Elapsed]],0))</f>
        <v/>
      </c>
      <c r="O128"/>
      <c r="P128" s="136"/>
      <c r="Q128" s="136"/>
      <c r="R128" s="103"/>
      <c r="S128" s="106" t="str">
        <f>IF(OR(ISBLANK(Term3_Special_Day_3[[#This Row],[Start]]),ISBLANK(Term3_Special_Day_3[[#This Row],[End]])),"",(Term3_Special_Day_3[[#This Row],[End]]-Term3_Special_Day_3[[#This Row],[Start]])*1440)</f>
        <v/>
      </c>
      <c r="T128" s="106" t="str">
        <f>IF(ISBLANK(Term3_Special_Day_3[[#This Row],[Activity]]),"",IF(_xlfn.XLOOKUP(Term3_Special_Day_3[[#This Row],[Activity]],Types_of_Activity[Type of Activity],Types_of_Activity[Classification])=1,Term3_Special_Day_3[[#This Row],[Elapsed]],0))</f>
        <v/>
      </c>
      <c r="U128" s="106" t="str">
        <f>IF(ISBLANK(Term3_Special_Day_3[[#This Row],[Activity]]),"",IF(_xlfn.XLOOKUP(Term3_Special_Day_3[[#This Row],[Activity]],Types_of_Activity[Type of Activity],Types_of_Activity[Classification])=2,Term3_Special_Day_3[[#This Row],[Elapsed]],0))</f>
        <v/>
      </c>
    </row>
    <row r="129" spans="2:21" x14ac:dyDescent="0.3">
      <c r="B129" s="136"/>
      <c r="C129" s="136"/>
      <c r="D129" s="103"/>
      <c r="E129" s="106" t="str">
        <f>IF(OR(ISBLANK(Term3_Special_Day_1[[#This Row],[Start]]),ISBLANK(Term3_Special_Day_1[[#This Row],[End]])),"",(Term3_Special_Day_1[[#This Row],[End]]-Term3_Special_Day_1[[#This Row],[Start]])*1440)</f>
        <v/>
      </c>
      <c r="F129" s="106" t="str">
        <f>IF(ISBLANK(Term3_Special_Day_1[[#This Row],[Activity]]),"",IF(_xlfn.XLOOKUP(Term3_Special_Day_1[[#This Row],[Activity]],Types_of_Activity[Type of Activity],Types_of_Activity[Classification])=1,Term3_Special_Day_1[[#This Row],[Elapsed]],0))</f>
        <v/>
      </c>
      <c r="G129" s="106" t="str">
        <f>IF(ISBLANK(Term3_Special_Day_1[[#This Row],[Activity]]),"",IF(_xlfn.XLOOKUP(Term3_Special_Day_1[[#This Row],[Activity]],Types_of_Activity[Type of Activity],Types_of_Activity[Classification])=2,Term3_Special_Day_1[[#This Row],[Elapsed]],0))</f>
        <v/>
      </c>
      <c r="H129"/>
      <c r="I129" s="136"/>
      <c r="J129" s="136"/>
      <c r="K129" s="103"/>
      <c r="L129" s="106" t="str">
        <f>IF(OR(ISBLANK(Term3_Special_Day_2[[#This Row],[Start]]),ISBLANK(Term3_Special_Day_2[[#This Row],[End]])),"",(Term3_Special_Day_2[[#This Row],[End]]-Term3_Special_Day_2[[#This Row],[Start]])*1440)</f>
        <v/>
      </c>
      <c r="M129" s="106" t="str">
        <f>IF(ISBLANK(Term3_Special_Day_2[[#This Row],[Activity]]),"",IF(_xlfn.XLOOKUP(Term3_Special_Day_2[[#This Row],[Activity]],Types_of_Activity[Type of Activity],Types_of_Activity[Classification])=1,Term3_Special_Day_2[[#This Row],[Elapsed]],0))</f>
        <v/>
      </c>
      <c r="N129" s="106" t="str">
        <f>IF(ISBLANK(Term3_Special_Day_2[[#This Row],[Activity]]),"",IF(_xlfn.XLOOKUP(Term3_Special_Day_2[[#This Row],[Activity]],Types_of_Activity[Type of Activity],Types_of_Activity[Classification])=2,Term3_Special_Day_2[[#This Row],[Elapsed]],0))</f>
        <v/>
      </c>
      <c r="O129"/>
      <c r="P129" s="136"/>
      <c r="Q129" s="136"/>
      <c r="R129" s="103"/>
      <c r="S129" s="106" t="str">
        <f>IF(OR(ISBLANK(Term3_Special_Day_3[[#This Row],[Start]]),ISBLANK(Term3_Special_Day_3[[#This Row],[End]])),"",(Term3_Special_Day_3[[#This Row],[End]]-Term3_Special_Day_3[[#This Row],[Start]])*1440)</f>
        <v/>
      </c>
      <c r="T129" s="106" t="str">
        <f>IF(ISBLANK(Term3_Special_Day_3[[#This Row],[Activity]]),"",IF(_xlfn.XLOOKUP(Term3_Special_Day_3[[#This Row],[Activity]],Types_of_Activity[Type of Activity],Types_of_Activity[Classification])=1,Term3_Special_Day_3[[#This Row],[Elapsed]],0))</f>
        <v/>
      </c>
      <c r="U129" s="106" t="str">
        <f>IF(ISBLANK(Term3_Special_Day_3[[#This Row],[Activity]]),"",IF(_xlfn.XLOOKUP(Term3_Special_Day_3[[#This Row],[Activity]],Types_of_Activity[Type of Activity],Types_of_Activity[Classification])=2,Term3_Special_Day_3[[#This Row],[Elapsed]],0))</f>
        <v/>
      </c>
    </row>
    <row r="130" spans="2:21" x14ac:dyDescent="0.3">
      <c r="B130" s="136"/>
      <c r="C130" s="136"/>
      <c r="D130" s="103"/>
      <c r="E130" s="106" t="str">
        <f>IF(OR(ISBLANK(Term3_Special_Day_1[[#This Row],[Start]]),ISBLANK(Term3_Special_Day_1[[#This Row],[End]])),"",(Term3_Special_Day_1[[#This Row],[End]]-Term3_Special_Day_1[[#This Row],[Start]])*1440)</f>
        <v/>
      </c>
      <c r="F130" s="106" t="str">
        <f>IF(ISBLANK(Term3_Special_Day_1[[#This Row],[Activity]]),"",IF(_xlfn.XLOOKUP(Term3_Special_Day_1[[#This Row],[Activity]],Types_of_Activity[Type of Activity],Types_of_Activity[Classification])=1,Term3_Special_Day_1[[#This Row],[Elapsed]],0))</f>
        <v/>
      </c>
      <c r="G130" s="106" t="str">
        <f>IF(ISBLANK(Term3_Special_Day_1[[#This Row],[Activity]]),"",IF(_xlfn.XLOOKUP(Term3_Special_Day_1[[#This Row],[Activity]],Types_of_Activity[Type of Activity],Types_of_Activity[Classification])=2,Term3_Special_Day_1[[#This Row],[Elapsed]],0))</f>
        <v/>
      </c>
      <c r="H130"/>
      <c r="I130" s="136"/>
      <c r="J130" s="136"/>
      <c r="K130" s="103"/>
      <c r="L130" s="106" t="str">
        <f>IF(OR(ISBLANK(Term3_Special_Day_2[[#This Row],[Start]]),ISBLANK(Term3_Special_Day_2[[#This Row],[End]])),"",(Term3_Special_Day_2[[#This Row],[End]]-Term3_Special_Day_2[[#This Row],[Start]])*1440)</f>
        <v/>
      </c>
      <c r="M130" s="106" t="str">
        <f>IF(ISBLANK(Term3_Special_Day_2[[#This Row],[Activity]]),"",IF(_xlfn.XLOOKUP(Term3_Special_Day_2[[#This Row],[Activity]],Types_of_Activity[Type of Activity],Types_of_Activity[Classification])=1,Term3_Special_Day_2[[#This Row],[Elapsed]],0))</f>
        <v/>
      </c>
      <c r="N130" s="106" t="str">
        <f>IF(ISBLANK(Term3_Special_Day_2[[#This Row],[Activity]]),"",IF(_xlfn.XLOOKUP(Term3_Special_Day_2[[#This Row],[Activity]],Types_of_Activity[Type of Activity],Types_of_Activity[Classification])=2,Term3_Special_Day_2[[#This Row],[Elapsed]],0))</f>
        <v/>
      </c>
      <c r="O130"/>
      <c r="P130" s="136"/>
      <c r="Q130" s="136"/>
      <c r="R130" s="103"/>
      <c r="S130" s="106" t="str">
        <f>IF(OR(ISBLANK(Term3_Special_Day_3[[#This Row],[Start]]),ISBLANK(Term3_Special_Day_3[[#This Row],[End]])),"",(Term3_Special_Day_3[[#This Row],[End]]-Term3_Special_Day_3[[#This Row],[Start]])*1440)</f>
        <v/>
      </c>
      <c r="T130" s="106" t="str">
        <f>IF(ISBLANK(Term3_Special_Day_3[[#This Row],[Activity]]),"",IF(_xlfn.XLOOKUP(Term3_Special_Day_3[[#This Row],[Activity]],Types_of_Activity[Type of Activity],Types_of_Activity[Classification])=1,Term3_Special_Day_3[[#This Row],[Elapsed]],0))</f>
        <v/>
      </c>
      <c r="U130" s="106" t="str">
        <f>IF(ISBLANK(Term3_Special_Day_3[[#This Row],[Activity]]),"",IF(_xlfn.XLOOKUP(Term3_Special_Day_3[[#This Row],[Activity]],Types_of_Activity[Type of Activity],Types_of_Activity[Classification])=2,Term3_Special_Day_3[[#This Row],[Elapsed]],0))</f>
        <v/>
      </c>
    </row>
    <row r="131" spans="2:21" x14ac:dyDescent="0.3">
      <c r="B131" s="136"/>
      <c r="C131" s="136"/>
      <c r="D131" s="103"/>
      <c r="E131" s="106" t="str">
        <f>IF(OR(ISBLANK(Term3_Special_Day_1[[#This Row],[Start]]),ISBLANK(Term3_Special_Day_1[[#This Row],[End]])),"",(Term3_Special_Day_1[[#This Row],[End]]-Term3_Special_Day_1[[#This Row],[Start]])*1440)</f>
        <v/>
      </c>
      <c r="F131" s="106" t="str">
        <f>IF(ISBLANK(Term3_Special_Day_1[[#This Row],[Activity]]),"",IF(_xlfn.XLOOKUP(Term3_Special_Day_1[[#This Row],[Activity]],Types_of_Activity[Type of Activity],Types_of_Activity[Classification])=1,Term3_Special_Day_1[[#This Row],[Elapsed]],0))</f>
        <v/>
      </c>
      <c r="G131" s="106" t="str">
        <f>IF(ISBLANK(Term3_Special_Day_1[[#This Row],[Activity]]),"",IF(_xlfn.XLOOKUP(Term3_Special_Day_1[[#This Row],[Activity]],Types_of_Activity[Type of Activity],Types_of_Activity[Classification])=2,Term3_Special_Day_1[[#This Row],[Elapsed]],0))</f>
        <v/>
      </c>
      <c r="H131"/>
      <c r="I131" s="136"/>
      <c r="J131" s="136"/>
      <c r="K131" s="103"/>
      <c r="L131" s="106" t="str">
        <f>IF(OR(ISBLANK(Term3_Special_Day_2[[#This Row],[Start]]),ISBLANK(Term3_Special_Day_2[[#This Row],[End]])),"",(Term3_Special_Day_2[[#This Row],[End]]-Term3_Special_Day_2[[#This Row],[Start]])*1440)</f>
        <v/>
      </c>
      <c r="M131" s="106" t="str">
        <f>IF(ISBLANK(Term3_Special_Day_2[[#This Row],[Activity]]),"",IF(_xlfn.XLOOKUP(Term3_Special_Day_2[[#This Row],[Activity]],Types_of_Activity[Type of Activity],Types_of_Activity[Classification])=1,Term3_Special_Day_2[[#This Row],[Elapsed]],0))</f>
        <v/>
      </c>
      <c r="N131" s="106" t="str">
        <f>IF(ISBLANK(Term3_Special_Day_2[[#This Row],[Activity]]),"",IF(_xlfn.XLOOKUP(Term3_Special_Day_2[[#This Row],[Activity]],Types_of_Activity[Type of Activity],Types_of_Activity[Classification])=2,Term3_Special_Day_2[[#This Row],[Elapsed]],0))</f>
        <v/>
      </c>
      <c r="O131"/>
      <c r="P131" s="136"/>
      <c r="Q131" s="136"/>
      <c r="R131" s="103"/>
      <c r="S131" s="106" t="str">
        <f>IF(OR(ISBLANK(Term3_Special_Day_3[[#This Row],[Start]]),ISBLANK(Term3_Special_Day_3[[#This Row],[End]])),"",(Term3_Special_Day_3[[#This Row],[End]]-Term3_Special_Day_3[[#This Row],[Start]])*1440)</f>
        <v/>
      </c>
      <c r="T131" s="106" t="str">
        <f>IF(ISBLANK(Term3_Special_Day_3[[#This Row],[Activity]]),"",IF(_xlfn.XLOOKUP(Term3_Special_Day_3[[#This Row],[Activity]],Types_of_Activity[Type of Activity],Types_of_Activity[Classification])=1,Term3_Special_Day_3[[#This Row],[Elapsed]],0))</f>
        <v/>
      </c>
      <c r="U131" s="106" t="str">
        <f>IF(ISBLANK(Term3_Special_Day_3[[#This Row],[Activity]]),"",IF(_xlfn.XLOOKUP(Term3_Special_Day_3[[#This Row],[Activity]],Types_of_Activity[Type of Activity],Types_of_Activity[Classification])=2,Term3_Special_Day_3[[#This Row],[Elapsed]],0))</f>
        <v/>
      </c>
    </row>
  </sheetData>
  <sheetProtection algorithmName="SHA-512" hashValue="Q1+j3pvkCn4qPOaO/M1R1WUNO1EseB/RJJVkGURBq2FfCQvJo6JJ3eS1Q8bhOv1Q68P5RbiaPYinmKAWMs88aQ==" saltValue="0Nig5CDaEfRZjA+99B0Xrw==" spinCount="100000" sheet="1" selectLockedCells="1"/>
  <mergeCells count="1">
    <mergeCell ref="B14:N14"/>
  </mergeCells>
  <conditionalFormatting sqref="B14:N14">
    <cfRule type="expression" dxfId="4" priority="1">
      <formula>Num_Terms=1</formula>
    </cfRule>
    <cfRule type="expression" dxfId="3" priority="2">
      <formula>Num_Terms=2</formula>
    </cfRule>
  </conditionalFormatting>
  <dataValidations count="1">
    <dataValidation type="time" allowBlank="1" showInputMessage="1" showErrorMessage="1" sqref="B57:C69 AY18:AZ31 B18:C50 I18:J31 P18:Q31 W18:X31 AD18:AE31 BF18:BG31 AK18:AL31 AR18:AS31 BM18:BN31 W57:X69 AD57:AE69 AK57:AL69" xr:uid="{7CB2C346-87B1-42E2-BE8B-1D8C5C7460AA}">
      <formula1>0.208333333333333</formula1>
      <formula2>0.999305555555556</formula2>
    </dataValidation>
  </dataValidations>
  <pageMargins left="0.7" right="0.7" top="0.75" bottom="0.75" header="0.3" footer="0.3"/>
  <pageSetup orientation="portrait" r:id="rId1"/>
  <drawing r:id="rId2"/>
  <tableParts count="19">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s>
  <extLst>
    <ext xmlns:x14="http://schemas.microsoft.com/office/spreadsheetml/2009/9/main" uri="{CCE6A557-97BC-4b89-ADB6-D9C93CAAB3DF}">
      <x14:dataValidations xmlns:xm="http://schemas.microsoft.com/office/excel/2006/main" count="1">
        <x14:dataValidation type="list" allowBlank="1" showInputMessage="1" showErrorMessage="1" xr:uid="{10CA5603-88A1-4333-BF10-AC09A5DF7E22}">
          <x14:formula1>
            <xm:f>_xlfn.ANCHORARRAY(Parameters!$F$25)</xm:f>
          </x14:formula1>
          <xm:sqref>BH18:BH50 Y18:Y50 BA18:BA50 D18:D50 K18:K50 R18:R50 D99:D131 K99:K131 R99:R131 AF18:AF50 D57:D89 K57:K89 R57:R89 AM18:AM50 AT18:AT50 BO18:BO50 Y57:Y89 AF57:AF89 AM57:AM89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D4A11-82ED-46E8-9742-E09274BF0D48}">
  <dimension ref="B14:BS131"/>
  <sheetViews>
    <sheetView showGridLines="0" showRowColHeaders="0" workbookViewId="0">
      <selection activeCell="C9" sqref="C9"/>
    </sheetView>
  </sheetViews>
  <sheetFormatPr defaultColWidth="9" defaultRowHeight="16.5" x14ac:dyDescent="0.3"/>
  <cols>
    <col min="1" max="1" width="9" style="104"/>
    <col min="2" max="3" width="12.75" style="104" customWidth="1"/>
    <col min="4" max="4" width="19.625" style="104" customWidth="1"/>
    <col min="5" max="5" width="12.625" style="104" customWidth="1"/>
    <col min="6" max="7" width="19.75" style="104" customWidth="1"/>
    <col min="8" max="8" width="9" style="104"/>
    <col min="9" max="10" width="12.75" style="104" customWidth="1"/>
    <col min="11" max="11" width="19.625" style="104" customWidth="1"/>
    <col min="12" max="12" width="12.625" style="104" customWidth="1"/>
    <col min="13" max="14" width="19.75" style="104" customWidth="1"/>
    <col min="15" max="15" width="9.125" style="104" customWidth="1"/>
    <col min="16" max="17" width="12.75" style="104" customWidth="1"/>
    <col min="18" max="18" width="19.625" style="104" customWidth="1"/>
    <col min="19" max="19" width="12.625" style="104" customWidth="1"/>
    <col min="20" max="21" width="19.75" style="104" customWidth="1"/>
    <col min="22" max="22" width="9.125" style="104" customWidth="1"/>
    <col min="23" max="24" width="12.75" style="104" customWidth="1"/>
    <col min="25" max="25" width="19.625" style="104" customWidth="1"/>
    <col min="26" max="26" width="12.625" style="104" customWidth="1"/>
    <col min="27" max="28" width="19.75" style="104" customWidth="1"/>
    <col min="29" max="29" width="9.125" style="104" customWidth="1"/>
    <col min="30" max="31" width="12.75" style="104" customWidth="1"/>
    <col min="32" max="32" width="19.625" style="104" customWidth="1"/>
    <col min="33" max="33" width="12.625" style="104" customWidth="1"/>
    <col min="34" max="35" width="19.75" style="104" customWidth="1"/>
    <col min="36" max="36" width="9.125" style="104" customWidth="1"/>
    <col min="37" max="38" width="12.75" style="104" customWidth="1"/>
    <col min="39" max="39" width="19.625" style="104" customWidth="1"/>
    <col min="40" max="40" width="12.625" style="104" customWidth="1"/>
    <col min="41" max="42" width="19.75" style="104" customWidth="1"/>
    <col min="43" max="43" width="9.125" style="104" customWidth="1"/>
    <col min="44" max="45" width="12.75" style="104" customWidth="1"/>
    <col min="46" max="46" width="19.75" style="104" customWidth="1"/>
    <col min="47" max="47" width="12.75" style="104" customWidth="1"/>
    <col min="48" max="49" width="19.75" style="104" customWidth="1"/>
    <col min="50" max="50" width="9.125" style="104" customWidth="1"/>
    <col min="51" max="52" width="12.75" style="104" customWidth="1"/>
    <col min="53" max="53" width="19.75" style="104" customWidth="1"/>
    <col min="54" max="54" width="12.75" style="104" customWidth="1"/>
    <col min="55" max="56" width="19.75" style="104" customWidth="1"/>
    <col min="57" max="57" width="9.125" style="104" customWidth="1"/>
    <col min="58" max="59" width="12.75" style="104" customWidth="1"/>
    <col min="60" max="60" width="19.75" style="104" customWidth="1"/>
    <col min="61" max="61" width="12.75" style="104" customWidth="1"/>
    <col min="62" max="63" width="19.75" style="104" customWidth="1"/>
    <col min="64" max="64" width="9.125" style="104" customWidth="1"/>
    <col min="65" max="66" width="12.75" style="104" customWidth="1"/>
    <col min="67" max="67" width="19.625" style="104" customWidth="1"/>
    <col min="68" max="68" width="12.625" style="104" customWidth="1"/>
    <col min="69" max="70" width="19.75" style="104" customWidth="1"/>
    <col min="71" max="73" width="12.625" style="104" customWidth="1"/>
    <col min="74" max="74" width="18.625" style="104" customWidth="1"/>
    <col min="75" max="75" width="20.625" style="104" customWidth="1"/>
    <col min="76" max="76" width="18.5" style="104" customWidth="1"/>
    <col min="77" max="80" width="9" style="104"/>
    <col min="81" max="81" width="12.125" style="104" customWidth="1"/>
    <col min="82" max="82" width="16.25" style="104" customWidth="1"/>
    <col min="83" max="16384" width="9" style="104"/>
  </cols>
  <sheetData>
    <row r="14" spans="2:70" ht="27.75" customHeight="1" x14ac:dyDescent="0.45">
      <c r="B14" s="168" t="str">
        <f>IF(OR(Num_Terms=1,Num_Terms=2,Num_Terms=3),_xlfn.CONCAT("STOP. You indicated that your calendar uses ",Num_Terms," term(s). If your calendar uses 4 terms, update the setting on the first page."),"")</f>
        <v/>
      </c>
      <c r="C14" s="168"/>
      <c r="D14" s="168"/>
      <c r="E14" s="168"/>
      <c r="F14" s="168"/>
      <c r="G14" s="168"/>
      <c r="H14" s="168"/>
      <c r="I14" s="168"/>
      <c r="J14" s="168"/>
      <c r="K14" s="168"/>
      <c r="L14" s="168"/>
      <c r="M14" s="168"/>
      <c r="N14" s="168"/>
    </row>
    <row r="16" spans="2:70" ht="30.75" x14ac:dyDescent="0.45">
      <c r="B16" s="105" t="s">
        <v>9</v>
      </c>
      <c r="F16" s="106"/>
      <c r="G16" s="106"/>
      <c r="I16" s="105" t="s">
        <v>10</v>
      </c>
      <c r="M16" s="106"/>
      <c r="N16" s="106"/>
      <c r="P16" s="105" t="s">
        <v>11</v>
      </c>
      <c r="S16" s="106"/>
      <c r="T16" s="106"/>
      <c r="W16" s="105" t="s">
        <v>12</v>
      </c>
      <c r="AA16" s="106"/>
      <c r="AB16" s="106"/>
      <c r="AD16" s="105" t="s">
        <v>13</v>
      </c>
      <c r="AH16" s="106"/>
      <c r="AI16" s="106"/>
      <c r="AK16" s="105" t="s">
        <v>14</v>
      </c>
      <c r="AO16" s="106"/>
      <c r="AP16" s="106"/>
      <c r="AR16" s="105" t="s">
        <v>4124</v>
      </c>
      <c r="AV16" s="106"/>
      <c r="AW16" s="106"/>
      <c r="AY16" s="105" t="s">
        <v>4125</v>
      </c>
      <c r="BC16" s="106"/>
      <c r="BD16" s="106"/>
      <c r="BF16" s="105" t="s">
        <v>4126</v>
      </c>
      <c r="BJ16" s="106"/>
      <c r="BK16" s="106"/>
      <c r="BM16" s="105" t="s">
        <v>15</v>
      </c>
      <c r="BQ16" s="106"/>
      <c r="BR16" s="106"/>
    </row>
    <row r="17" spans="2:71" ht="33" x14ac:dyDescent="0.3">
      <c r="B17" s="120" t="s">
        <v>16</v>
      </c>
      <c r="C17" s="120" t="s">
        <v>17</v>
      </c>
      <c r="D17" s="120" t="s">
        <v>19</v>
      </c>
      <c r="E17" s="120" t="s">
        <v>18</v>
      </c>
      <c r="F17" s="120" t="s">
        <v>20</v>
      </c>
      <c r="G17" s="121" t="s">
        <v>4100</v>
      </c>
      <c r="I17" s="120" t="s">
        <v>16</v>
      </c>
      <c r="J17" s="120" t="s">
        <v>17</v>
      </c>
      <c r="K17" s="120" t="s">
        <v>19</v>
      </c>
      <c r="L17" s="120" t="s">
        <v>18</v>
      </c>
      <c r="M17" s="120" t="s">
        <v>20</v>
      </c>
      <c r="N17" s="121" t="s">
        <v>4100</v>
      </c>
      <c r="P17" s="120" t="s">
        <v>16</v>
      </c>
      <c r="Q17" s="120" t="s">
        <v>17</v>
      </c>
      <c r="R17" s="120" t="s">
        <v>19</v>
      </c>
      <c r="S17" s="120" t="s">
        <v>18</v>
      </c>
      <c r="T17" s="120" t="s">
        <v>20</v>
      </c>
      <c r="U17" s="121" t="s">
        <v>4100</v>
      </c>
      <c r="W17" s="120" t="s">
        <v>16</v>
      </c>
      <c r="X17" s="120" t="s">
        <v>17</v>
      </c>
      <c r="Y17" s="120" t="s">
        <v>19</v>
      </c>
      <c r="Z17" s="120" t="s">
        <v>18</v>
      </c>
      <c r="AA17" s="120" t="s">
        <v>20</v>
      </c>
      <c r="AB17" s="121" t="s">
        <v>4100</v>
      </c>
      <c r="AD17" s="120" t="s">
        <v>16</v>
      </c>
      <c r="AE17" s="120" t="s">
        <v>17</v>
      </c>
      <c r="AF17" s="120" t="s">
        <v>19</v>
      </c>
      <c r="AG17" s="120" t="s">
        <v>18</v>
      </c>
      <c r="AH17" s="120" t="s">
        <v>20</v>
      </c>
      <c r="AI17" s="121" t="s">
        <v>4100</v>
      </c>
      <c r="AK17" s="120" t="s">
        <v>16</v>
      </c>
      <c r="AL17" s="120" t="s">
        <v>17</v>
      </c>
      <c r="AM17" s="120" t="s">
        <v>19</v>
      </c>
      <c r="AN17" s="120" t="s">
        <v>18</v>
      </c>
      <c r="AO17" s="120" t="s">
        <v>20</v>
      </c>
      <c r="AP17" s="121" t="s">
        <v>4100</v>
      </c>
      <c r="AR17" s="120" t="s">
        <v>16</v>
      </c>
      <c r="AS17" s="120" t="s">
        <v>17</v>
      </c>
      <c r="AT17" s="120" t="s">
        <v>19</v>
      </c>
      <c r="AU17" s="120" t="s">
        <v>18</v>
      </c>
      <c r="AV17" s="120" t="s">
        <v>20</v>
      </c>
      <c r="AW17" s="121" t="s">
        <v>4100</v>
      </c>
      <c r="AY17" s="120" t="s">
        <v>16</v>
      </c>
      <c r="AZ17" s="120" t="s">
        <v>17</v>
      </c>
      <c r="BA17" s="120" t="s">
        <v>19</v>
      </c>
      <c r="BB17" s="120" t="s">
        <v>18</v>
      </c>
      <c r="BC17" s="120" t="s">
        <v>20</v>
      </c>
      <c r="BD17" s="121" t="s">
        <v>4100</v>
      </c>
      <c r="BF17" s="120" t="s">
        <v>16</v>
      </c>
      <c r="BG17" s="120" t="s">
        <v>17</v>
      </c>
      <c r="BH17" s="120" t="s">
        <v>19</v>
      </c>
      <c r="BI17" s="120" t="s">
        <v>18</v>
      </c>
      <c r="BJ17" s="120" t="s">
        <v>20</v>
      </c>
      <c r="BK17" s="121" t="s">
        <v>4100</v>
      </c>
      <c r="BM17" s="120" t="s">
        <v>16</v>
      </c>
      <c r="BN17" s="120" t="s">
        <v>17</v>
      </c>
      <c r="BO17" s="120" t="s">
        <v>19</v>
      </c>
      <c r="BP17" s="120" t="s">
        <v>18</v>
      </c>
      <c r="BQ17" s="120" t="s">
        <v>20</v>
      </c>
      <c r="BR17" s="121" t="s">
        <v>4100</v>
      </c>
    </row>
    <row r="18" spans="2:71" x14ac:dyDescent="0.3">
      <c r="B18" s="136"/>
      <c r="C18" s="136"/>
      <c r="D18" s="103"/>
      <c r="E18" s="106" t="str">
        <f>IF(OR(ISBLANK(Term4_Day_1[[#This Row],[Start]]),ISBLANK(Term4_Day_1[[#This Row],[End]])),"",(Term4_Day_1[[#This Row],[End]]-Term4_Day_1[[#This Row],[Start]])*1440)</f>
        <v/>
      </c>
      <c r="F18" s="106" t="str">
        <f>IF(ISBLANK(Term4_Day_1[[#This Row],[Activity]]),"",IF(_xlfn.XLOOKUP(Term4_Day_1[[#This Row],[Activity]],Types_of_Activity[Type of Activity],Types_of_Activity[Classification])=1,Term4_Day_1[[#This Row],[Elapsed]],0))</f>
        <v/>
      </c>
      <c r="G18" s="106" t="str">
        <f>IF(ISBLANK(Term4_Day_1[[#This Row],[Activity]]),"",IF(_xlfn.XLOOKUP(Term4_Day_1[[#This Row],[Activity]],Types_of_Activity[Type of Activity],Types_of_Activity[Classification])=2,Term4_Day_1[[#This Row],[Elapsed]],0))</f>
        <v/>
      </c>
      <c r="I18" s="136"/>
      <c r="J18" s="136"/>
      <c r="K18" s="103"/>
      <c r="L18" s="106" t="str">
        <f>IF(OR(ISBLANK(Term4_Day_2[[#This Row],[Start]]),ISBLANK(Term4_Day_2[[#This Row],[End]])),"",(Term4_Day_2[[#This Row],[End]]-Term4_Day_2[[#This Row],[Start]])*1440)</f>
        <v/>
      </c>
      <c r="M18" s="106" t="str">
        <f>IF(ISBLANK(Term4_Day_2[[#This Row],[Activity]]),"",IF(_xlfn.XLOOKUP(Term4_Day_2[[#This Row],[Activity]],Types_of_Activity[Type of Activity],Types_of_Activity[Classification])=1,Term4_Day_2[[#This Row],[Elapsed]],0))</f>
        <v/>
      </c>
      <c r="N18" s="106" t="str">
        <f>IF(ISBLANK(Term4_Day_2[[#This Row],[Activity]]),"",IF(_xlfn.XLOOKUP(Term4_Day_2[[#This Row],[Activity]],Types_of_Activity[Type of Activity],Types_of_Activity[Classification])=2,Term4_Day_2[[#This Row],[Elapsed]],0))</f>
        <v/>
      </c>
      <c r="P18" s="136"/>
      <c r="Q18" s="136"/>
      <c r="R18" s="103"/>
      <c r="S18" s="106" t="str">
        <f>IF(OR(ISBLANK(Term4_Day_3[[#This Row],[Start]]),ISBLANK(Term4_Day_3[[#This Row],[End]])),"",(Term4_Day_3[[#This Row],[End]]-Term4_Day_3[[#This Row],[Start]])*1440)</f>
        <v/>
      </c>
      <c r="T18" s="106" t="str">
        <f>IF(ISBLANK(Term4_Day_3[[#This Row],[Activity]]),"",IF(_xlfn.XLOOKUP(Term4_Day_3[[#This Row],[Activity]],Types_of_Activity[Type of Activity],Types_of_Activity[Classification])=1,Term4_Day_3[[#This Row],[Elapsed]],0))</f>
        <v/>
      </c>
      <c r="U18" s="106" t="str">
        <f>IF(ISBLANK(Term4_Day_3[[#This Row],[Activity]]),"",IF(_xlfn.XLOOKUP(Term4_Day_3[[#This Row],[Activity]],Types_of_Activity[Type of Activity],Types_of_Activity[Classification])=2,Term4_Day_3[[#This Row],[Elapsed]],0))</f>
        <v/>
      </c>
      <c r="W18" s="136"/>
      <c r="X18" s="136"/>
      <c r="Y18" s="103"/>
      <c r="Z18" s="106" t="str">
        <f>IF(OR(ISBLANK(Term4_Day_4[[#This Row],[Start]]),ISBLANK(Term4_Day_4[[#This Row],[End]])),"",(Term4_Day_4[[#This Row],[End]]-Term4_Day_4[[#This Row],[Start]])*1440)</f>
        <v/>
      </c>
      <c r="AA18" s="106" t="str">
        <f>IF(ISBLANK(Term4_Day_4[[#This Row],[Activity]]),"",IF(_xlfn.XLOOKUP(Term4_Day_4[[#This Row],[Activity]],Types_of_Activity[Type of Activity],Types_of_Activity[Classification])=1,Term4_Day_4[[#This Row],[Elapsed]],0))</f>
        <v/>
      </c>
      <c r="AB18" s="106" t="str">
        <f>IF(ISBLANK(Term4_Day_4[[#This Row],[Activity]]),"",IF(_xlfn.XLOOKUP(Term4_Day_4[[#This Row],[Activity]],Types_of_Activity[Type of Activity],Types_of_Activity[Classification])=2,Term4_Day_4[[#This Row],[Elapsed]],0))</f>
        <v/>
      </c>
      <c r="AD18" s="136"/>
      <c r="AE18" s="136"/>
      <c r="AF18" s="103"/>
      <c r="AG18" s="106" t="str">
        <f>IF(OR(ISBLANK(Term4_Day_5[[#This Row],[Start]]),ISBLANK(Term4_Day_5[[#This Row],[End]])),"",(Term4_Day_5[[#This Row],[End]]-Term4_Day_5[[#This Row],[Start]])*1440)</f>
        <v/>
      </c>
      <c r="AH18" s="106" t="str">
        <f>IF(ISBLANK(Term4_Day_5[[#This Row],[Activity]]),"",IF(_xlfn.XLOOKUP(Term4_Day_5[[#This Row],[Activity]],Types_of_Activity[Type of Activity],Types_of_Activity[Classification])=1,Term4_Day_5[[#This Row],[Elapsed]],0))</f>
        <v/>
      </c>
      <c r="AI18" s="106" t="str">
        <f>IF(ISBLANK(Term4_Day_5[[#This Row],[Activity]]),"",IF(_xlfn.XLOOKUP(Term4_Day_5[[#This Row],[Activity]],Types_of_Activity[Type of Activity],Types_of_Activity[Classification])=2,Term4_Day_5[[#This Row],[Elapsed]],0))</f>
        <v/>
      </c>
      <c r="AK18" s="136"/>
      <c r="AL18" s="136"/>
      <c r="AM18" s="103"/>
      <c r="AN18" s="106" t="str">
        <f>IF(OR(ISBLANK(Term4_Day_6[[#This Row],[Start]]),ISBLANK(Term4_Day_6[[#This Row],[End]])),"",(Term4_Day_6[[#This Row],[End]]-Term4_Day_6[[#This Row],[Start]])*1440)</f>
        <v/>
      </c>
      <c r="AO18" s="106" t="str">
        <f>IF(ISBLANK(Term4_Day_6[[#This Row],[Activity]]),"",IF(_xlfn.XLOOKUP(Term4_Day_6[[#This Row],[Activity]],Types_of_Activity[Type of Activity],Types_of_Activity[Classification])=1,Term4_Day_6[[#This Row],[Elapsed]],0))</f>
        <v/>
      </c>
      <c r="AP18" s="106" t="str">
        <f>IF(ISBLANK(Term4_Day_6[[#This Row],[Activity]]),"",IF(_xlfn.XLOOKUP(Term4_Day_6[[#This Row],[Activity]],Types_of_Activity[Type of Activity],Types_of_Activity[Classification])=2,Term4_Day_6[[#This Row],[Elapsed]],0))</f>
        <v/>
      </c>
      <c r="AR18" s="136"/>
      <c r="AS18" s="136"/>
      <c r="AT18" s="103"/>
      <c r="AU18" s="106" t="str">
        <f>IF(OR(ISBLANK(Term4_Day_7[[#This Row],[Start]]),ISBLANK(Term4_Day_7[[#This Row],[End]])),"",(Term4_Day_7[[#This Row],[End]]-Term4_Day_7[[#This Row],[Start]])*1440)</f>
        <v/>
      </c>
      <c r="AV18" s="106" t="str">
        <f>IF(ISBLANK(Term4_Day_7[[#This Row],[Activity]]),"",IF(_xlfn.XLOOKUP(Term4_Day_7[[#This Row],[Activity]],Types_of_Activity[Type of Activity],Types_of_Activity[Classification])=1,Term4_Day_7[[#This Row],[Elapsed]],0))</f>
        <v/>
      </c>
      <c r="AW18" s="106" t="str">
        <f>IF(ISBLANK(Term4_Day_7[[#This Row],[Activity]]),"",IF(_xlfn.XLOOKUP(Term4_Day_7[[#This Row],[Activity]],Types_of_Activity[Type of Activity],Types_of_Activity[Classification])=2,Term4_Day_7[[#This Row],[Elapsed]],0))</f>
        <v/>
      </c>
      <c r="AY18" s="136"/>
      <c r="AZ18" s="136"/>
      <c r="BA18" s="103"/>
      <c r="BB18" s="106" t="str">
        <f>IF(OR(ISBLANK(Term4_Day_8[[#This Row],[Start]]),ISBLANK(Term4_Day_8[[#This Row],[End]])),"",(Term4_Day_8[[#This Row],[End]]-Term4_Day_8[[#This Row],[Start]])*1440)</f>
        <v/>
      </c>
      <c r="BC18" s="106" t="str">
        <f>IF(ISBLANK(Term4_Day_8[[#This Row],[Activity]]),"",IF(_xlfn.XLOOKUP(Term4_Day_8[[#This Row],[Activity]],Types_of_Activity[Type of Activity],Types_of_Activity[Classification])=1,Term4_Day_8[[#This Row],[Elapsed]],0))</f>
        <v/>
      </c>
      <c r="BD18" s="106" t="str">
        <f>IF(ISBLANK(Term4_Day_8[[#This Row],[Activity]]),"",IF(_xlfn.XLOOKUP(Term4_Day_8[[#This Row],[Activity]],Types_of_Activity[Type of Activity],Types_of_Activity[Classification])=2,Term4_Day_8[[#This Row],[Elapsed]],0))</f>
        <v/>
      </c>
      <c r="BF18" s="136"/>
      <c r="BG18" s="136"/>
      <c r="BH18" s="103"/>
      <c r="BI18" s="106" t="str">
        <f>IF(OR(ISBLANK(Term4_Day_9[[#This Row],[Start]]),ISBLANK(Term4_Day_9[[#This Row],[End]])),"",(Term4_Day_9[[#This Row],[End]]-Term4_Day_9[[#This Row],[Start]])*1440)</f>
        <v/>
      </c>
      <c r="BJ18" s="106" t="str">
        <f>IF(ISBLANK(Term4_Day_9[[#This Row],[Activity]]),"",IF(_xlfn.XLOOKUP(Term4_Day_9[[#This Row],[Activity]],Types_of_Activity[Type of Activity],Types_of_Activity[Classification])=1,Term4_Day_9[[#This Row],[Elapsed]],0))</f>
        <v/>
      </c>
      <c r="BK18" s="106" t="str">
        <f>IF(ISBLANK(Term4_Day_9[[#This Row],[Activity]]),"",IF(_xlfn.XLOOKUP(Term4_Day_9[[#This Row],[Activity]],Types_of_Activity[Type of Activity],Types_of_Activity[Classification])=2,Term4_Day_9[[#This Row],[Elapsed]],0))</f>
        <v/>
      </c>
      <c r="BM18" s="136"/>
      <c r="BN18" s="136"/>
      <c r="BO18" s="103"/>
      <c r="BP18" s="106" t="str">
        <f>IF(OR(ISBLANK(Term4_Day_10[[#This Row],[Start]]),ISBLANK(Term4_Day_10[[#This Row],[End]])),"",(Term4_Day_10[[#This Row],[End]]-Term4_Day_10[[#This Row],[Start]])*1440)</f>
        <v/>
      </c>
      <c r="BQ18" s="106" t="str">
        <f>IF(ISBLANK(Term4_Day_10[[#This Row],[Activity]]),"",IF(_xlfn.XLOOKUP(Term4_Day_10[[#This Row],[Activity]],Types_of_Activity[Type of Activity],Types_of_Activity[Classification])=1,Term4_Day_10[[#This Row],[Elapsed]],0))</f>
        <v/>
      </c>
      <c r="BR18" s="106" t="str">
        <f>IF(ISBLANK(Term4_Day_10[[#This Row],[Activity]]),"",IF(_xlfn.XLOOKUP(Term4_Day_10[[#This Row],[Activity]],Types_of_Activity[Type of Activity],Types_of_Activity[Classification])=2,Term4_Day_10[[#This Row],[Elapsed]],0))</f>
        <v/>
      </c>
    </row>
    <row r="19" spans="2:71" x14ac:dyDescent="0.3">
      <c r="B19" s="136"/>
      <c r="C19" s="136"/>
      <c r="D19" s="103"/>
      <c r="E19" s="106" t="str">
        <f>IF(OR(ISBLANK(Term4_Day_1[[#This Row],[Start]]),ISBLANK(Term4_Day_1[[#This Row],[End]])),"",(Term4_Day_1[[#This Row],[End]]-Term4_Day_1[[#This Row],[Start]])*1440)</f>
        <v/>
      </c>
      <c r="F19" s="106" t="str">
        <f>IF(ISBLANK(Term4_Day_1[[#This Row],[Activity]]),"",IF(_xlfn.XLOOKUP(Term4_Day_1[[#This Row],[Activity]],Types_of_Activity[Type of Activity],Types_of_Activity[Classification])=1,Term4_Day_1[[#This Row],[Elapsed]],0))</f>
        <v/>
      </c>
      <c r="G19" s="106" t="str">
        <f>IF(ISBLANK(Term4_Day_1[[#This Row],[Activity]]),"",IF(_xlfn.XLOOKUP(Term4_Day_1[[#This Row],[Activity]],Types_of_Activity[Type of Activity],Types_of_Activity[Classification])=2,Term4_Day_1[[#This Row],[Elapsed]],0))</f>
        <v/>
      </c>
      <c r="I19" s="136"/>
      <c r="J19" s="136"/>
      <c r="K19" s="103"/>
      <c r="L19" s="106" t="str">
        <f>IF(OR(ISBLANK(Term4_Day_2[[#This Row],[Start]]),ISBLANK(Term4_Day_2[[#This Row],[End]])),"",(Term4_Day_2[[#This Row],[End]]-Term4_Day_2[[#This Row],[Start]])*1440)</f>
        <v/>
      </c>
      <c r="M19" s="106" t="str">
        <f>IF(ISBLANK(Term4_Day_2[[#This Row],[Activity]]),"",IF(_xlfn.XLOOKUP(Term4_Day_2[[#This Row],[Activity]],Types_of_Activity[Type of Activity],Types_of_Activity[Classification])=1,Term4_Day_2[[#This Row],[Elapsed]],0))</f>
        <v/>
      </c>
      <c r="N19" s="106" t="str">
        <f>IF(ISBLANK(Term4_Day_2[[#This Row],[Activity]]),"",IF(_xlfn.XLOOKUP(Term4_Day_2[[#This Row],[Activity]],Types_of_Activity[Type of Activity],Types_of_Activity[Classification])=2,Term4_Day_2[[#This Row],[Elapsed]],0))</f>
        <v/>
      </c>
      <c r="P19" s="136"/>
      <c r="Q19" s="136"/>
      <c r="R19" s="103"/>
      <c r="S19" s="106" t="str">
        <f>IF(OR(ISBLANK(Term4_Day_3[[#This Row],[Start]]),ISBLANK(Term4_Day_3[[#This Row],[End]])),"",(Term4_Day_3[[#This Row],[End]]-Term4_Day_3[[#This Row],[Start]])*1440)</f>
        <v/>
      </c>
      <c r="T19" s="106" t="str">
        <f>IF(ISBLANK(Term4_Day_3[[#This Row],[Activity]]),"",IF(_xlfn.XLOOKUP(Term4_Day_3[[#This Row],[Activity]],Types_of_Activity[Type of Activity],Types_of_Activity[Classification])=1,Term4_Day_3[[#This Row],[Elapsed]],0))</f>
        <v/>
      </c>
      <c r="U19" s="106" t="str">
        <f>IF(ISBLANK(Term4_Day_3[[#This Row],[Activity]]),"",IF(_xlfn.XLOOKUP(Term4_Day_3[[#This Row],[Activity]],Types_of_Activity[Type of Activity],Types_of_Activity[Classification])=2,Term4_Day_3[[#This Row],[Elapsed]],0))</f>
        <v/>
      </c>
      <c r="W19" s="136"/>
      <c r="X19" s="136"/>
      <c r="Y19" s="103"/>
      <c r="Z19" s="106" t="str">
        <f>IF(OR(ISBLANK(Term4_Day_4[[#This Row],[Start]]),ISBLANK(Term4_Day_4[[#This Row],[End]])),"",(Term4_Day_4[[#This Row],[End]]-Term4_Day_4[[#This Row],[Start]])*1440)</f>
        <v/>
      </c>
      <c r="AA19" s="106" t="str">
        <f>IF(ISBLANK(Term4_Day_4[[#This Row],[Activity]]),"",IF(_xlfn.XLOOKUP(Term4_Day_4[[#This Row],[Activity]],Types_of_Activity[Type of Activity],Types_of_Activity[Classification])=1,Term4_Day_4[[#This Row],[Elapsed]],0))</f>
        <v/>
      </c>
      <c r="AB19" s="106" t="str">
        <f>IF(ISBLANK(Term4_Day_4[[#This Row],[Activity]]),"",IF(_xlfn.XLOOKUP(Term4_Day_4[[#This Row],[Activity]],Types_of_Activity[Type of Activity],Types_of_Activity[Classification])=2,Term4_Day_4[[#This Row],[Elapsed]],0))</f>
        <v/>
      </c>
      <c r="AD19" s="136"/>
      <c r="AE19" s="136"/>
      <c r="AF19" s="103"/>
      <c r="AG19" s="106" t="str">
        <f>IF(OR(ISBLANK(Term4_Day_5[[#This Row],[Start]]),ISBLANK(Term4_Day_5[[#This Row],[End]])),"",(Term4_Day_5[[#This Row],[End]]-Term4_Day_5[[#This Row],[Start]])*1440)</f>
        <v/>
      </c>
      <c r="AH19" s="106" t="str">
        <f>IF(ISBLANK(Term4_Day_5[[#This Row],[Activity]]),"",IF(_xlfn.XLOOKUP(Term4_Day_5[[#This Row],[Activity]],Types_of_Activity[Type of Activity],Types_of_Activity[Classification])=1,Term4_Day_5[[#This Row],[Elapsed]],0))</f>
        <v/>
      </c>
      <c r="AI19" s="106" t="str">
        <f>IF(ISBLANK(Term4_Day_5[[#This Row],[Activity]]),"",IF(_xlfn.XLOOKUP(Term4_Day_5[[#This Row],[Activity]],Types_of_Activity[Type of Activity],Types_of_Activity[Classification])=2,Term4_Day_5[[#This Row],[Elapsed]],0))</f>
        <v/>
      </c>
      <c r="AK19" s="136"/>
      <c r="AL19" s="136"/>
      <c r="AM19" s="103"/>
      <c r="AN19" s="106" t="str">
        <f>IF(OR(ISBLANK(Term4_Day_6[[#This Row],[Start]]),ISBLANK(Term4_Day_6[[#This Row],[End]])),"",(Term4_Day_6[[#This Row],[End]]-Term4_Day_6[[#This Row],[Start]])*1440)</f>
        <v/>
      </c>
      <c r="AO19" s="106" t="str">
        <f>IF(ISBLANK(Term4_Day_6[[#This Row],[Activity]]),"",IF(_xlfn.XLOOKUP(Term4_Day_6[[#This Row],[Activity]],Types_of_Activity[Type of Activity],Types_of_Activity[Classification])=1,Term4_Day_6[[#This Row],[Elapsed]],0))</f>
        <v/>
      </c>
      <c r="AP19" s="106" t="str">
        <f>IF(ISBLANK(Term4_Day_6[[#This Row],[Activity]]),"",IF(_xlfn.XLOOKUP(Term4_Day_6[[#This Row],[Activity]],Types_of_Activity[Type of Activity],Types_of_Activity[Classification])=2,Term4_Day_6[[#This Row],[Elapsed]],0))</f>
        <v/>
      </c>
      <c r="AR19" s="136"/>
      <c r="AS19" s="136"/>
      <c r="AT19" s="103"/>
      <c r="AU19" s="106" t="str">
        <f>IF(OR(ISBLANK(Term4_Day_7[[#This Row],[Start]]),ISBLANK(Term4_Day_7[[#This Row],[End]])),"",(Term4_Day_7[[#This Row],[End]]-Term4_Day_7[[#This Row],[Start]])*1440)</f>
        <v/>
      </c>
      <c r="AV19" s="106" t="str">
        <f>IF(ISBLANK(Term4_Day_7[[#This Row],[Activity]]),"",IF(_xlfn.XLOOKUP(Term4_Day_7[[#This Row],[Activity]],Types_of_Activity[Type of Activity],Types_of_Activity[Classification])=1,Term4_Day_7[[#This Row],[Elapsed]],0))</f>
        <v/>
      </c>
      <c r="AW19" s="106" t="str">
        <f>IF(ISBLANK(Term4_Day_7[[#This Row],[Activity]]),"",IF(_xlfn.XLOOKUP(Term4_Day_7[[#This Row],[Activity]],Types_of_Activity[Type of Activity],Types_of_Activity[Classification])=2,Term4_Day_7[[#This Row],[Elapsed]],0))</f>
        <v/>
      </c>
      <c r="AY19" s="136"/>
      <c r="AZ19" s="136"/>
      <c r="BA19" s="103"/>
      <c r="BB19" s="106" t="str">
        <f>IF(OR(ISBLANK(Term4_Day_8[[#This Row],[Start]]),ISBLANK(Term4_Day_8[[#This Row],[End]])),"",(Term4_Day_8[[#This Row],[End]]-Term4_Day_8[[#This Row],[Start]])*1440)</f>
        <v/>
      </c>
      <c r="BC19" s="106" t="str">
        <f>IF(ISBLANK(Term4_Day_8[[#This Row],[Activity]]),"",IF(_xlfn.XLOOKUP(Term4_Day_8[[#This Row],[Activity]],Types_of_Activity[Type of Activity],Types_of_Activity[Classification])=1,Term4_Day_8[[#This Row],[Elapsed]],0))</f>
        <v/>
      </c>
      <c r="BD19" s="106" t="str">
        <f>IF(ISBLANK(Term4_Day_8[[#This Row],[Activity]]),"",IF(_xlfn.XLOOKUP(Term4_Day_8[[#This Row],[Activity]],Types_of_Activity[Type of Activity],Types_of_Activity[Classification])=2,Term4_Day_8[[#This Row],[Elapsed]],0))</f>
        <v/>
      </c>
      <c r="BF19" s="136"/>
      <c r="BG19" s="136"/>
      <c r="BH19" s="103"/>
      <c r="BI19" s="106" t="str">
        <f>IF(OR(ISBLANK(Term4_Day_9[[#This Row],[Start]]),ISBLANK(Term4_Day_9[[#This Row],[End]])),"",(Term4_Day_9[[#This Row],[End]]-Term4_Day_9[[#This Row],[Start]])*1440)</f>
        <v/>
      </c>
      <c r="BJ19" s="106" t="str">
        <f>IF(ISBLANK(Term4_Day_9[[#This Row],[Activity]]),"",IF(_xlfn.XLOOKUP(Term4_Day_9[[#This Row],[Activity]],Types_of_Activity[Type of Activity],Types_of_Activity[Classification])=1,Term4_Day_9[[#This Row],[Elapsed]],0))</f>
        <v/>
      </c>
      <c r="BK19" s="106" t="str">
        <f>IF(ISBLANK(Term4_Day_9[[#This Row],[Activity]]),"",IF(_xlfn.XLOOKUP(Term4_Day_9[[#This Row],[Activity]],Types_of_Activity[Type of Activity],Types_of_Activity[Classification])=2,Term4_Day_9[[#This Row],[Elapsed]],0))</f>
        <v/>
      </c>
      <c r="BM19" s="136"/>
      <c r="BN19" s="136"/>
      <c r="BO19" s="103"/>
      <c r="BP19" s="106" t="str">
        <f>IF(OR(ISBLANK(Term4_Day_10[[#This Row],[Start]]),ISBLANK(Term4_Day_10[[#This Row],[End]])),"",(Term4_Day_10[[#This Row],[End]]-Term4_Day_10[[#This Row],[Start]])*1440)</f>
        <v/>
      </c>
      <c r="BQ19" s="106" t="str">
        <f>IF(ISBLANK(Term4_Day_10[[#This Row],[Activity]]),"",IF(_xlfn.XLOOKUP(Term4_Day_10[[#This Row],[Activity]],Types_of_Activity[Type of Activity],Types_of_Activity[Classification])=1,Term4_Day_10[[#This Row],[Elapsed]],0))</f>
        <v/>
      </c>
      <c r="BR19" s="106" t="str">
        <f>IF(ISBLANK(Term4_Day_10[[#This Row],[Activity]]),"",IF(_xlfn.XLOOKUP(Term4_Day_10[[#This Row],[Activity]],Types_of_Activity[Type of Activity],Types_of_Activity[Classification])=2,Term4_Day_10[[#This Row],[Elapsed]],0))</f>
        <v/>
      </c>
    </row>
    <row r="20" spans="2:71" x14ac:dyDescent="0.3">
      <c r="B20" s="136"/>
      <c r="C20" s="136"/>
      <c r="D20" s="103"/>
      <c r="E20" s="106" t="str">
        <f>IF(OR(ISBLANK(Term4_Day_1[[#This Row],[Start]]),ISBLANK(Term4_Day_1[[#This Row],[End]])),"",(Term4_Day_1[[#This Row],[End]]-Term4_Day_1[[#This Row],[Start]])*1440)</f>
        <v/>
      </c>
      <c r="F20" s="106" t="str">
        <f>IF(ISBLANK(Term4_Day_1[[#This Row],[Activity]]),"",IF(_xlfn.XLOOKUP(Term4_Day_1[[#This Row],[Activity]],Types_of_Activity[Type of Activity],Types_of_Activity[Classification])=1,Term4_Day_1[[#This Row],[Elapsed]],0))</f>
        <v/>
      </c>
      <c r="G20" s="106" t="str">
        <f>IF(ISBLANK(Term4_Day_1[[#This Row],[Activity]]),"",IF(_xlfn.XLOOKUP(Term4_Day_1[[#This Row],[Activity]],Types_of_Activity[Type of Activity],Types_of_Activity[Classification])=2,Term4_Day_1[[#This Row],[Elapsed]],0))</f>
        <v/>
      </c>
      <c r="I20" s="136"/>
      <c r="J20" s="136"/>
      <c r="K20" s="103"/>
      <c r="L20" s="106" t="str">
        <f>IF(OR(ISBLANK(Term4_Day_2[[#This Row],[Start]]),ISBLANK(Term4_Day_2[[#This Row],[End]])),"",(Term4_Day_2[[#This Row],[End]]-Term4_Day_2[[#This Row],[Start]])*1440)</f>
        <v/>
      </c>
      <c r="M20" s="106" t="str">
        <f>IF(ISBLANK(Term4_Day_2[[#This Row],[Activity]]),"",IF(_xlfn.XLOOKUP(Term4_Day_2[[#This Row],[Activity]],Types_of_Activity[Type of Activity],Types_of_Activity[Classification])=1,Term4_Day_2[[#This Row],[Elapsed]],0))</f>
        <v/>
      </c>
      <c r="N20" s="106" t="str">
        <f>IF(ISBLANK(Term4_Day_2[[#This Row],[Activity]]),"",IF(_xlfn.XLOOKUP(Term4_Day_2[[#This Row],[Activity]],Types_of_Activity[Type of Activity],Types_of_Activity[Classification])=2,Term4_Day_2[[#This Row],[Elapsed]],0))</f>
        <v/>
      </c>
      <c r="P20" s="136"/>
      <c r="Q20" s="136"/>
      <c r="R20" s="103"/>
      <c r="S20" s="106" t="str">
        <f>IF(OR(ISBLANK(Term4_Day_3[[#This Row],[Start]]),ISBLANK(Term4_Day_3[[#This Row],[End]])),"",(Term4_Day_3[[#This Row],[End]]-Term4_Day_3[[#This Row],[Start]])*1440)</f>
        <v/>
      </c>
      <c r="T20" s="106" t="str">
        <f>IF(ISBLANK(Term4_Day_3[[#This Row],[Activity]]),"",IF(_xlfn.XLOOKUP(Term4_Day_3[[#This Row],[Activity]],Types_of_Activity[Type of Activity],Types_of_Activity[Classification])=1,Term4_Day_3[[#This Row],[Elapsed]],0))</f>
        <v/>
      </c>
      <c r="U20" s="106" t="str">
        <f>IF(ISBLANK(Term4_Day_3[[#This Row],[Activity]]),"",IF(_xlfn.XLOOKUP(Term4_Day_3[[#This Row],[Activity]],Types_of_Activity[Type of Activity],Types_of_Activity[Classification])=2,Term4_Day_3[[#This Row],[Elapsed]],0))</f>
        <v/>
      </c>
      <c r="W20" s="136"/>
      <c r="X20" s="136"/>
      <c r="Y20" s="103"/>
      <c r="Z20" s="106" t="str">
        <f>IF(OR(ISBLANK(Term4_Day_4[[#This Row],[Start]]),ISBLANK(Term4_Day_4[[#This Row],[End]])),"",(Term4_Day_4[[#This Row],[End]]-Term4_Day_4[[#This Row],[Start]])*1440)</f>
        <v/>
      </c>
      <c r="AA20" s="106" t="str">
        <f>IF(ISBLANK(Term4_Day_4[[#This Row],[Activity]]),"",IF(_xlfn.XLOOKUP(Term4_Day_4[[#This Row],[Activity]],Types_of_Activity[Type of Activity],Types_of_Activity[Classification])=1,Term4_Day_4[[#This Row],[Elapsed]],0))</f>
        <v/>
      </c>
      <c r="AB20" s="106" t="str">
        <f>IF(ISBLANK(Term4_Day_4[[#This Row],[Activity]]),"",IF(_xlfn.XLOOKUP(Term4_Day_4[[#This Row],[Activity]],Types_of_Activity[Type of Activity],Types_of_Activity[Classification])=2,Term4_Day_4[[#This Row],[Elapsed]],0))</f>
        <v/>
      </c>
      <c r="AD20" s="136"/>
      <c r="AE20" s="136"/>
      <c r="AF20" s="103"/>
      <c r="AG20" s="106" t="str">
        <f>IF(OR(ISBLANK(Term4_Day_5[[#This Row],[Start]]),ISBLANK(Term4_Day_5[[#This Row],[End]])),"",(Term4_Day_5[[#This Row],[End]]-Term4_Day_5[[#This Row],[Start]])*1440)</f>
        <v/>
      </c>
      <c r="AH20" s="106" t="str">
        <f>IF(ISBLANK(Term4_Day_5[[#This Row],[Activity]]),"",IF(_xlfn.XLOOKUP(Term4_Day_5[[#This Row],[Activity]],Types_of_Activity[Type of Activity],Types_of_Activity[Classification])=1,Term4_Day_5[[#This Row],[Elapsed]],0))</f>
        <v/>
      </c>
      <c r="AI20" s="106" t="str">
        <f>IF(ISBLANK(Term4_Day_5[[#This Row],[Activity]]),"",IF(_xlfn.XLOOKUP(Term4_Day_5[[#This Row],[Activity]],Types_of_Activity[Type of Activity],Types_of_Activity[Classification])=2,Term4_Day_5[[#This Row],[Elapsed]],0))</f>
        <v/>
      </c>
      <c r="AJ20" s="107"/>
      <c r="AK20" s="136"/>
      <c r="AL20" s="136"/>
      <c r="AM20" s="103"/>
      <c r="AN20" s="106" t="str">
        <f>IF(OR(ISBLANK(Term4_Day_6[[#This Row],[Start]]),ISBLANK(Term4_Day_6[[#This Row],[End]])),"",(Term4_Day_6[[#This Row],[End]]-Term4_Day_6[[#This Row],[Start]])*1440)</f>
        <v/>
      </c>
      <c r="AO20" s="106" t="str">
        <f>IF(ISBLANK(Term4_Day_6[[#This Row],[Activity]]),"",IF(_xlfn.XLOOKUP(Term4_Day_6[[#This Row],[Activity]],Types_of_Activity[Type of Activity],Types_of_Activity[Classification])=1,Term4_Day_6[[#This Row],[Elapsed]],0))</f>
        <v/>
      </c>
      <c r="AP20" s="106" t="str">
        <f>IF(ISBLANK(Term4_Day_6[[#This Row],[Activity]]),"",IF(_xlfn.XLOOKUP(Term4_Day_6[[#This Row],[Activity]],Types_of_Activity[Type of Activity],Types_of_Activity[Classification])=2,Term4_Day_6[[#This Row],[Elapsed]],0))</f>
        <v/>
      </c>
      <c r="AQ20" s="107"/>
      <c r="AR20" s="136"/>
      <c r="AS20" s="136"/>
      <c r="AT20" s="103"/>
      <c r="AU20" s="106" t="str">
        <f>IF(OR(ISBLANK(Term4_Day_7[[#This Row],[Start]]),ISBLANK(Term4_Day_7[[#This Row],[End]])),"",(Term4_Day_7[[#This Row],[End]]-Term4_Day_7[[#This Row],[Start]])*1440)</f>
        <v/>
      </c>
      <c r="AV20" s="106" t="str">
        <f>IF(ISBLANK(Term4_Day_7[[#This Row],[Activity]]),"",IF(_xlfn.XLOOKUP(Term4_Day_7[[#This Row],[Activity]],Types_of_Activity[Type of Activity],Types_of_Activity[Classification])=1,Term4_Day_7[[#This Row],[Elapsed]],0))</f>
        <v/>
      </c>
      <c r="AW20" s="106" t="str">
        <f>IF(ISBLANK(Term4_Day_7[[#This Row],[Activity]]),"",IF(_xlfn.XLOOKUP(Term4_Day_7[[#This Row],[Activity]],Types_of_Activity[Type of Activity],Types_of_Activity[Classification])=2,Term4_Day_7[[#This Row],[Elapsed]],0))</f>
        <v/>
      </c>
      <c r="AX20" s="107"/>
      <c r="AY20" s="136"/>
      <c r="AZ20" s="136"/>
      <c r="BA20" s="103"/>
      <c r="BB20" s="106" t="str">
        <f>IF(OR(ISBLANK(Term4_Day_8[[#This Row],[Start]]),ISBLANK(Term4_Day_8[[#This Row],[End]])),"",(Term4_Day_8[[#This Row],[End]]-Term4_Day_8[[#This Row],[Start]])*1440)</f>
        <v/>
      </c>
      <c r="BC20" s="106" t="str">
        <f>IF(ISBLANK(Term4_Day_8[[#This Row],[Activity]]),"",IF(_xlfn.XLOOKUP(Term4_Day_8[[#This Row],[Activity]],Types_of_Activity[Type of Activity],Types_of_Activity[Classification])=1,Term4_Day_8[[#This Row],[Elapsed]],0))</f>
        <v/>
      </c>
      <c r="BD20" s="106" t="str">
        <f>IF(ISBLANK(Term4_Day_8[[#This Row],[Activity]]),"",IF(_xlfn.XLOOKUP(Term4_Day_8[[#This Row],[Activity]],Types_of_Activity[Type of Activity],Types_of_Activity[Classification])=2,Term4_Day_8[[#This Row],[Elapsed]],0))</f>
        <v/>
      </c>
      <c r="BE20" s="107"/>
      <c r="BF20" s="136"/>
      <c r="BG20" s="136"/>
      <c r="BH20" s="103"/>
      <c r="BI20" s="106" t="str">
        <f>IF(OR(ISBLANK(Term4_Day_9[[#This Row],[Start]]),ISBLANK(Term4_Day_9[[#This Row],[End]])),"",(Term4_Day_9[[#This Row],[End]]-Term4_Day_9[[#This Row],[Start]])*1440)</f>
        <v/>
      </c>
      <c r="BJ20" s="106" t="str">
        <f>IF(ISBLANK(Term4_Day_9[[#This Row],[Activity]]),"",IF(_xlfn.XLOOKUP(Term4_Day_9[[#This Row],[Activity]],Types_of_Activity[Type of Activity],Types_of_Activity[Classification])=1,Term4_Day_9[[#This Row],[Elapsed]],0))</f>
        <v/>
      </c>
      <c r="BK20" s="106" t="str">
        <f>IF(ISBLANK(Term4_Day_9[[#This Row],[Activity]]),"",IF(_xlfn.XLOOKUP(Term4_Day_9[[#This Row],[Activity]],Types_of_Activity[Type of Activity],Types_of_Activity[Classification])=2,Term4_Day_9[[#This Row],[Elapsed]],0))</f>
        <v/>
      </c>
      <c r="BL20" s="107"/>
      <c r="BM20" s="136"/>
      <c r="BN20" s="136"/>
      <c r="BO20" s="103"/>
      <c r="BP20" s="106" t="str">
        <f>IF(OR(ISBLANK(Term4_Day_10[[#This Row],[Start]]),ISBLANK(Term4_Day_10[[#This Row],[End]])),"",(Term4_Day_10[[#This Row],[End]]-Term4_Day_10[[#This Row],[Start]])*1440)</f>
        <v/>
      </c>
      <c r="BQ20" s="106" t="str">
        <f>IF(ISBLANK(Term4_Day_10[[#This Row],[Activity]]),"",IF(_xlfn.XLOOKUP(Term4_Day_10[[#This Row],[Activity]],Types_of_Activity[Type of Activity],Types_of_Activity[Classification])=1,Term4_Day_10[[#This Row],[Elapsed]],0))</f>
        <v/>
      </c>
      <c r="BR20" s="106" t="str">
        <f>IF(ISBLANK(Term4_Day_10[[#This Row],[Activity]]),"",IF(_xlfn.XLOOKUP(Term4_Day_10[[#This Row],[Activity]],Types_of_Activity[Type of Activity],Types_of_Activity[Classification])=2,Term4_Day_10[[#This Row],[Elapsed]],0))</f>
        <v/>
      </c>
      <c r="BS20" s="107"/>
    </row>
    <row r="21" spans="2:71" x14ac:dyDescent="0.3">
      <c r="B21" s="136"/>
      <c r="C21" s="136"/>
      <c r="D21" s="103"/>
      <c r="E21" s="106" t="str">
        <f>IF(OR(ISBLANK(Term4_Day_1[[#This Row],[Start]]),ISBLANK(Term4_Day_1[[#This Row],[End]])),"",(Term4_Day_1[[#This Row],[End]]-Term4_Day_1[[#This Row],[Start]])*1440)</f>
        <v/>
      </c>
      <c r="F21" s="106" t="str">
        <f>IF(ISBLANK(Term4_Day_1[[#This Row],[Activity]]),"",IF(_xlfn.XLOOKUP(Term4_Day_1[[#This Row],[Activity]],Types_of_Activity[Type of Activity],Types_of_Activity[Classification])=1,Term4_Day_1[[#This Row],[Elapsed]],0))</f>
        <v/>
      </c>
      <c r="G21" s="106" t="str">
        <f>IF(ISBLANK(Term4_Day_1[[#This Row],[Activity]]),"",IF(_xlfn.XLOOKUP(Term4_Day_1[[#This Row],[Activity]],Types_of_Activity[Type of Activity],Types_of_Activity[Classification])=2,Term4_Day_1[[#This Row],[Elapsed]],0))</f>
        <v/>
      </c>
      <c r="I21" s="136"/>
      <c r="J21" s="136"/>
      <c r="K21" s="103"/>
      <c r="L21" s="106" t="str">
        <f>IF(OR(ISBLANK(Term4_Day_2[[#This Row],[Start]]),ISBLANK(Term4_Day_2[[#This Row],[End]])),"",(Term4_Day_2[[#This Row],[End]]-Term4_Day_2[[#This Row],[Start]])*1440)</f>
        <v/>
      </c>
      <c r="M21" s="106" t="str">
        <f>IF(ISBLANK(Term4_Day_2[[#This Row],[Activity]]),"",IF(_xlfn.XLOOKUP(Term4_Day_2[[#This Row],[Activity]],Types_of_Activity[Type of Activity],Types_of_Activity[Classification])=1,Term4_Day_2[[#This Row],[Elapsed]],0))</f>
        <v/>
      </c>
      <c r="N21" s="106" t="str">
        <f>IF(ISBLANK(Term4_Day_2[[#This Row],[Activity]]),"",IF(_xlfn.XLOOKUP(Term4_Day_2[[#This Row],[Activity]],Types_of_Activity[Type of Activity],Types_of_Activity[Classification])=2,Term4_Day_2[[#This Row],[Elapsed]],0))</f>
        <v/>
      </c>
      <c r="P21" s="136"/>
      <c r="Q21" s="136"/>
      <c r="R21" s="103"/>
      <c r="S21" s="106" t="str">
        <f>IF(OR(ISBLANK(Term4_Day_3[[#This Row],[Start]]),ISBLANK(Term4_Day_3[[#This Row],[End]])),"",(Term4_Day_3[[#This Row],[End]]-Term4_Day_3[[#This Row],[Start]])*1440)</f>
        <v/>
      </c>
      <c r="T21" s="106" t="str">
        <f>IF(ISBLANK(Term4_Day_3[[#This Row],[Activity]]),"",IF(_xlfn.XLOOKUP(Term4_Day_3[[#This Row],[Activity]],Types_of_Activity[Type of Activity],Types_of_Activity[Classification])=1,Term4_Day_3[[#This Row],[Elapsed]],0))</f>
        <v/>
      </c>
      <c r="U21" s="106" t="str">
        <f>IF(ISBLANK(Term4_Day_3[[#This Row],[Activity]]),"",IF(_xlfn.XLOOKUP(Term4_Day_3[[#This Row],[Activity]],Types_of_Activity[Type of Activity],Types_of_Activity[Classification])=2,Term4_Day_3[[#This Row],[Elapsed]],0))</f>
        <v/>
      </c>
      <c r="W21" s="136"/>
      <c r="X21" s="136"/>
      <c r="Y21" s="103"/>
      <c r="Z21" s="106" t="str">
        <f>IF(OR(ISBLANK(Term4_Day_4[[#This Row],[Start]]),ISBLANK(Term4_Day_4[[#This Row],[End]])),"",(Term4_Day_4[[#This Row],[End]]-Term4_Day_4[[#This Row],[Start]])*1440)</f>
        <v/>
      </c>
      <c r="AA21" s="106" t="str">
        <f>IF(ISBLANK(Term4_Day_4[[#This Row],[Activity]]),"",IF(_xlfn.XLOOKUP(Term4_Day_4[[#This Row],[Activity]],Types_of_Activity[Type of Activity],Types_of_Activity[Classification])=1,Term4_Day_4[[#This Row],[Elapsed]],0))</f>
        <v/>
      </c>
      <c r="AB21" s="106" t="str">
        <f>IF(ISBLANK(Term4_Day_4[[#This Row],[Activity]]),"",IF(_xlfn.XLOOKUP(Term4_Day_4[[#This Row],[Activity]],Types_of_Activity[Type of Activity],Types_of_Activity[Classification])=2,Term4_Day_4[[#This Row],[Elapsed]],0))</f>
        <v/>
      </c>
      <c r="AD21" s="136"/>
      <c r="AE21" s="136"/>
      <c r="AF21" s="103"/>
      <c r="AG21" s="106" t="str">
        <f>IF(OR(ISBLANK(Term4_Day_5[[#This Row],[Start]]),ISBLANK(Term4_Day_5[[#This Row],[End]])),"",(Term4_Day_5[[#This Row],[End]]-Term4_Day_5[[#This Row],[Start]])*1440)</f>
        <v/>
      </c>
      <c r="AH21" s="106" t="str">
        <f>IF(ISBLANK(Term4_Day_5[[#This Row],[Activity]]),"",IF(_xlfn.XLOOKUP(Term4_Day_5[[#This Row],[Activity]],Types_of_Activity[Type of Activity],Types_of_Activity[Classification])=1,Term4_Day_5[[#This Row],[Elapsed]],0))</f>
        <v/>
      </c>
      <c r="AI21" s="106" t="str">
        <f>IF(ISBLANK(Term4_Day_5[[#This Row],[Activity]]),"",IF(_xlfn.XLOOKUP(Term4_Day_5[[#This Row],[Activity]],Types_of_Activity[Type of Activity],Types_of_Activity[Classification])=2,Term4_Day_5[[#This Row],[Elapsed]],0))</f>
        <v/>
      </c>
      <c r="AJ21" s="107"/>
      <c r="AK21" s="136"/>
      <c r="AL21" s="136"/>
      <c r="AM21" s="103"/>
      <c r="AN21" s="106" t="str">
        <f>IF(OR(ISBLANK(Term4_Day_6[[#This Row],[Start]]),ISBLANK(Term4_Day_6[[#This Row],[End]])),"",(Term4_Day_6[[#This Row],[End]]-Term4_Day_6[[#This Row],[Start]])*1440)</f>
        <v/>
      </c>
      <c r="AO21" s="106" t="str">
        <f>IF(ISBLANK(Term4_Day_6[[#This Row],[Activity]]),"",IF(_xlfn.XLOOKUP(Term4_Day_6[[#This Row],[Activity]],Types_of_Activity[Type of Activity],Types_of_Activity[Classification])=1,Term4_Day_6[[#This Row],[Elapsed]],0))</f>
        <v/>
      </c>
      <c r="AP21" s="106" t="str">
        <f>IF(ISBLANK(Term4_Day_6[[#This Row],[Activity]]),"",IF(_xlfn.XLOOKUP(Term4_Day_6[[#This Row],[Activity]],Types_of_Activity[Type of Activity],Types_of_Activity[Classification])=2,Term4_Day_6[[#This Row],[Elapsed]],0))</f>
        <v/>
      </c>
      <c r="AQ21" s="107"/>
      <c r="AR21" s="136"/>
      <c r="AS21" s="136"/>
      <c r="AT21" s="103"/>
      <c r="AU21" s="106" t="str">
        <f>IF(OR(ISBLANK(Term4_Day_7[[#This Row],[Start]]),ISBLANK(Term4_Day_7[[#This Row],[End]])),"",(Term4_Day_7[[#This Row],[End]]-Term4_Day_7[[#This Row],[Start]])*1440)</f>
        <v/>
      </c>
      <c r="AV21" s="106" t="str">
        <f>IF(ISBLANK(Term4_Day_7[[#This Row],[Activity]]),"",IF(_xlfn.XLOOKUP(Term4_Day_7[[#This Row],[Activity]],Types_of_Activity[Type of Activity],Types_of_Activity[Classification])=1,Term4_Day_7[[#This Row],[Elapsed]],0))</f>
        <v/>
      </c>
      <c r="AW21" s="106" t="str">
        <f>IF(ISBLANK(Term4_Day_7[[#This Row],[Activity]]),"",IF(_xlfn.XLOOKUP(Term4_Day_7[[#This Row],[Activity]],Types_of_Activity[Type of Activity],Types_of_Activity[Classification])=2,Term4_Day_7[[#This Row],[Elapsed]],0))</f>
        <v/>
      </c>
      <c r="AX21" s="107"/>
      <c r="AY21" s="136"/>
      <c r="AZ21" s="136"/>
      <c r="BA21" s="103"/>
      <c r="BB21" s="106" t="str">
        <f>IF(OR(ISBLANK(Term4_Day_8[[#This Row],[Start]]),ISBLANK(Term4_Day_8[[#This Row],[End]])),"",(Term4_Day_8[[#This Row],[End]]-Term4_Day_8[[#This Row],[Start]])*1440)</f>
        <v/>
      </c>
      <c r="BC21" s="106" t="str">
        <f>IF(ISBLANK(Term4_Day_8[[#This Row],[Activity]]),"",IF(_xlfn.XLOOKUP(Term4_Day_8[[#This Row],[Activity]],Types_of_Activity[Type of Activity],Types_of_Activity[Classification])=1,Term4_Day_8[[#This Row],[Elapsed]],0))</f>
        <v/>
      </c>
      <c r="BD21" s="106" t="str">
        <f>IF(ISBLANK(Term4_Day_8[[#This Row],[Activity]]),"",IF(_xlfn.XLOOKUP(Term4_Day_8[[#This Row],[Activity]],Types_of_Activity[Type of Activity],Types_of_Activity[Classification])=2,Term4_Day_8[[#This Row],[Elapsed]],0))</f>
        <v/>
      </c>
      <c r="BE21" s="107"/>
      <c r="BF21" s="136"/>
      <c r="BG21" s="136"/>
      <c r="BH21" s="103"/>
      <c r="BI21" s="106" t="str">
        <f>IF(OR(ISBLANK(Term4_Day_9[[#This Row],[Start]]),ISBLANK(Term4_Day_9[[#This Row],[End]])),"",(Term4_Day_9[[#This Row],[End]]-Term4_Day_9[[#This Row],[Start]])*1440)</f>
        <v/>
      </c>
      <c r="BJ21" s="106" t="str">
        <f>IF(ISBLANK(Term4_Day_9[[#This Row],[Activity]]),"",IF(_xlfn.XLOOKUP(Term4_Day_9[[#This Row],[Activity]],Types_of_Activity[Type of Activity],Types_of_Activity[Classification])=1,Term4_Day_9[[#This Row],[Elapsed]],0))</f>
        <v/>
      </c>
      <c r="BK21" s="106" t="str">
        <f>IF(ISBLANK(Term4_Day_9[[#This Row],[Activity]]),"",IF(_xlfn.XLOOKUP(Term4_Day_9[[#This Row],[Activity]],Types_of_Activity[Type of Activity],Types_of_Activity[Classification])=2,Term4_Day_9[[#This Row],[Elapsed]],0))</f>
        <v/>
      </c>
      <c r="BL21" s="107"/>
      <c r="BM21" s="136"/>
      <c r="BN21" s="136"/>
      <c r="BO21" s="103"/>
      <c r="BP21" s="106" t="str">
        <f>IF(OR(ISBLANK(Term4_Day_10[[#This Row],[Start]]),ISBLANK(Term4_Day_10[[#This Row],[End]])),"",(Term4_Day_10[[#This Row],[End]]-Term4_Day_10[[#This Row],[Start]])*1440)</f>
        <v/>
      </c>
      <c r="BQ21" s="106" t="str">
        <f>IF(ISBLANK(Term4_Day_10[[#This Row],[Activity]]),"",IF(_xlfn.XLOOKUP(Term4_Day_10[[#This Row],[Activity]],Types_of_Activity[Type of Activity],Types_of_Activity[Classification])=1,Term4_Day_10[[#This Row],[Elapsed]],0))</f>
        <v/>
      </c>
      <c r="BR21" s="106" t="str">
        <f>IF(ISBLANK(Term4_Day_10[[#This Row],[Activity]]),"",IF(_xlfn.XLOOKUP(Term4_Day_10[[#This Row],[Activity]],Types_of_Activity[Type of Activity],Types_of_Activity[Classification])=2,Term4_Day_10[[#This Row],[Elapsed]],0))</f>
        <v/>
      </c>
      <c r="BS21" s="107"/>
    </row>
    <row r="22" spans="2:71" x14ac:dyDescent="0.3">
      <c r="B22" s="136"/>
      <c r="C22" s="136"/>
      <c r="D22" s="103"/>
      <c r="E22" s="106" t="str">
        <f>IF(OR(ISBLANK(Term4_Day_1[[#This Row],[Start]]),ISBLANK(Term4_Day_1[[#This Row],[End]])),"",(Term4_Day_1[[#This Row],[End]]-Term4_Day_1[[#This Row],[Start]])*1440)</f>
        <v/>
      </c>
      <c r="F22" s="106" t="str">
        <f>IF(ISBLANK(Term4_Day_1[[#This Row],[Activity]]),"",IF(_xlfn.XLOOKUP(Term4_Day_1[[#This Row],[Activity]],Types_of_Activity[Type of Activity],Types_of_Activity[Classification])=1,Term4_Day_1[[#This Row],[Elapsed]],0))</f>
        <v/>
      </c>
      <c r="G22" s="106" t="str">
        <f>IF(ISBLANK(Term4_Day_1[[#This Row],[Activity]]),"",IF(_xlfn.XLOOKUP(Term4_Day_1[[#This Row],[Activity]],Types_of_Activity[Type of Activity],Types_of_Activity[Classification])=2,Term4_Day_1[[#This Row],[Elapsed]],0))</f>
        <v/>
      </c>
      <c r="I22" s="136"/>
      <c r="J22" s="136"/>
      <c r="K22" s="103"/>
      <c r="L22" s="106" t="str">
        <f>IF(OR(ISBLANK(Term4_Day_2[[#This Row],[Start]]),ISBLANK(Term4_Day_2[[#This Row],[End]])),"",(Term4_Day_2[[#This Row],[End]]-Term4_Day_2[[#This Row],[Start]])*1440)</f>
        <v/>
      </c>
      <c r="M22" s="106" t="str">
        <f>IF(ISBLANK(Term4_Day_2[[#This Row],[Activity]]),"",IF(_xlfn.XLOOKUP(Term4_Day_2[[#This Row],[Activity]],Types_of_Activity[Type of Activity],Types_of_Activity[Classification])=1,Term4_Day_2[[#This Row],[Elapsed]],0))</f>
        <v/>
      </c>
      <c r="N22" s="106" t="str">
        <f>IF(ISBLANK(Term4_Day_2[[#This Row],[Activity]]),"",IF(_xlfn.XLOOKUP(Term4_Day_2[[#This Row],[Activity]],Types_of_Activity[Type of Activity],Types_of_Activity[Classification])=2,Term4_Day_2[[#This Row],[Elapsed]],0))</f>
        <v/>
      </c>
      <c r="P22" s="136"/>
      <c r="Q22" s="136"/>
      <c r="R22" s="103"/>
      <c r="S22" s="106" t="str">
        <f>IF(OR(ISBLANK(Term4_Day_3[[#This Row],[Start]]),ISBLANK(Term4_Day_3[[#This Row],[End]])),"",(Term4_Day_3[[#This Row],[End]]-Term4_Day_3[[#This Row],[Start]])*1440)</f>
        <v/>
      </c>
      <c r="T22" s="106" t="str">
        <f>IF(ISBLANK(Term4_Day_3[[#This Row],[Activity]]),"",IF(_xlfn.XLOOKUP(Term4_Day_3[[#This Row],[Activity]],Types_of_Activity[Type of Activity],Types_of_Activity[Classification])=1,Term4_Day_3[[#This Row],[Elapsed]],0))</f>
        <v/>
      </c>
      <c r="U22" s="106" t="str">
        <f>IF(ISBLANK(Term4_Day_3[[#This Row],[Activity]]),"",IF(_xlfn.XLOOKUP(Term4_Day_3[[#This Row],[Activity]],Types_of_Activity[Type of Activity],Types_of_Activity[Classification])=2,Term4_Day_3[[#This Row],[Elapsed]],0))</f>
        <v/>
      </c>
      <c r="W22" s="136"/>
      <c r="X22" s="136"/>
      <c r="Y22" s="103"/>
      <c r="Z22" s="106" t="str">
        <f>IF(OR(ISBLANK(Term4_Day_4[[#This Row],[Start]]),ISBLANK(Term4_Day_4[[#This Row],[End]])),"",(Term4_Day_4[[#This Row],[End]]-Term4_Day_4[[#This Row],[Start]])*1440)</f>
        <v/>
      </c>
      <c r="AA22" s="106" t="str">
        <f>IF(ISBLANK(Term4_Day_4[[#This Row],[Activity]]),"",IF(_xlfn.XLOOKUP(Term4_Day_4[[#This Row],[Activity]],Types_of_Activity[Type of Activity],Types_of_Activity[Classification])=1,Term4_Day_4[[#This Row],[Elapsed]],0))</f>
        <v/>
      </c>
      <c r="AB22" s="106" t="str">
        <f>IF(ISBLANK(Term4_Day_4[[#This Row],[Activity]]),"",IF(_xlfn.XLOOKUP(Term4_Day_4[[#This Row],[Activity]],Types_of_Activity[Type of Activity],Types_of_Activity[Classification])=2,Term4_Day_4[[#This Row],[Elapsed]],0))</f>
        <v/>
      </c>
      <c r="AD22" s="136"/>
      <c r="AE22" s="136"/>
      <c r="AF22" s="103"/>
      <c r="AG22" s="106" t="str">
        <f>IF(OR(ISBLANK(Term4_Day_5[[#This Row],[Start]]),ISBLANK(Term4_Day_5[[#This Row],[End]])),"",(Term4_Day_5[[#This Row],[End]]-Term4_Day_5[[#This Row],[Start]])*1440)</f>
        <v/>
      </c>
      <c r="AH22" s="106" t="str">
        <f>IF(ISBLANK(Term4_Day_5[[#This Row],[Activity]]),"",IF(_xlfn.XLOOKUP(Term4_Day_5[[#This Row],[Activity]],Types_of_Activity[Type of Activity],Types_of_Activity[Classification])=1,Term4_Day_5[[#This Row],[Elapsed]],0))</f>
        <v/>
      </c>
      <c r="AI22" s="106" t="str">
        <f>IF(ISBLANK(Term4_Day_5[[#This Row],[Activity]]),"",IF(_xlfn.XLOOKUP(Term4_Day_5[[#This Row],[Activity]],Types_of_Activity[Type of Activity],Types_of_Activity[Classification])=2,Term4_Day_5[[#This Row],[Elapsed]],0))</f>
        <v/>
      </c>
      <c r="AJ22" s="107"/>
      <c r="AK22" s="136"/>
      <c r="AL22" s="136"/>
      <c r="AM22" s="103"/>
      <c r="AN22" s="106" t="str">
        <f>IF(OR(ISBLANK(Term4_Day_6[[#This Row],[Start]]),ISBLANK(Term4_Day_6[[#This Row],[End]])),"",(Term4_Day_6[[#This Row],[End]]-Term4_Day_6[[#This Row],[Start]])*1440)</f>
        <v/>
      </c>
      <c r="AO22" s="106" t="str">
        <f>IF(ISBLANK(Term4_Day_6[[#This Row],[Activity]]),"",IF(_xlfn.XLOOKUP(Term4_Day_6[[#This Row],[Activity]],Types_of_Activity[Type of Activity],Types_of_Activity[Classification])=1,Term4_Day_6[[#This Row],[Elapsed]],0))</f>
        <v/>
      </c>
      <c r="AP22" s="106" t="str">
        <f>IF(ISBLANK(Term4_Day_6[[#This Row],[Activity]]),"",IF(_xlfn.XLOOKUP(Term4_Day_6[[#This Row],[Activity]],Types_of_Activity[Type of Activity],Types_of_Activity[Classification])=2,Term4_Day_6[[#This Row],[Elapsed]],0))</f>
        <v/>
      </c>
      <c r="AQ22" s="107"/>
      <c r="AR22" s="136"/>
      <c r="AS22" s="136"/>
      <c r="AT22" s="103"/>
      <c r="AU22" s="106" t="str">
        <f>IF(OR(ISBLANK(Term4_Day_7[[#This Row],[Start]]),ISBLANK(Term4_Day_7[[#This Row],[End]])),"",(Term4_Day_7[[#This Row],[End]]-Term4_Day_7[[#This Row],[Start]])*1440)</f>
        <v/>
      </c>
      <c r="AV22" s="106" t="str">
        <f>IF(ISBLANK(Term4_Day_7[[#This Row],[Activity]]),"",IF(_xlfn.XLOOKUP(Term4_Day_7[[#This Row],[Activity]],Types_of_Activity[Type of Activity],Types_of_Activity[Classification])=1,Term4_Day_7[[#This Row],[Elapsed]],0))</f>
        <v/>
      </c>
      <c r="AW22" s="106" t="str">
        <f>IF(ISBLANK(Term4_Day_7[[#This Row],[Activity]]),"",IF(_xlfn.XLOOKUP(Term4_Day_7[[#This Row],[Activity]],Types_of_Activity[Type of Activity],Types_of_Activity[Classification])=2,Term4_Day_7[[#This Row],[Elapsed]],0))</f>
        <v/>
      </c>
      <c r="AX22" s="107"/>
      <c r="AY22" s="136"/>
      <c r="AZ22" s="136"/>
      <c r="BA22" s="103"/>
      <c r="BB22" s="106" t="str">
        <f>IF(OR(ISBLANK(Term4_Day_8[[#This Row],[Start]]),ISBLANK(Term4_Day_8[[#This Row],[End]])),"",(Term4_Day_8[[#This Row],[End]]-Term4_Day_8[[#This Row],[Start]])*1440)</f>
        <v/>
      </c>
      <c r="BC22" s="106" t="str">
        <f>IF(ISBLANK(Term4_Day_8[[#This Row],[Activity]]),"",IF(_xlfn.XLOOKUP(Term4_Day_8[[#This Row],[Activity]],Types_of_Activity[Type of Activity],Types_of_Activity[Classification])=1,Term4_Day_8[[#This Row],[Elapsed]],0))</f>
        <v/>
      </c>
      <c r="BD22" s="106" t="str">
        <f>IF(ISBLANK(Term4_Day_8[[#This Row],[Activity]]),"",IF(_xlfn.XLOOKUP(Term4_Day_8[[#This Row],[Activity]],Types_of_Activity[Type of Activity],Types_of_Activity[Classification])=2,Term4_Day_8[[#This Row],[Elapsed]],0))</f>
        <v/>
      </c>
      <c r="BE22" s="107"/>
      <c r="BF22" s="136"/>
      <c r="BG22" s="136"/>
      <c r="BH22" s="103"/>
      <c r="BI22" s="106" t="str">
        <f>IF(OR(ISBLANK(Term4_Day_9[[#This Row],[Start]]),ISBLANK(Term4_Day_9[[#This Row],[End]])),"",(Term4_Day_9[[#This Row],[End]]-Term4_Day_9[[#This Row],[Start]])*1440)</f>
        <v/>
      </c>
      <c r="BJ22" s="106" t="str">
        <f>IF(ISBLANK(Term4_Day_9[[#This Row],[Activity]]),"",IF(_xlfn.XLOOKUP(Term4_Day_9[[#This Row],[Activity]],Types_of_Activity[Type of Activity],Types_of_Activity[Classification])=1,Term4_Day_9[[#This Row],[Elapsed]],0))</f>
        <v/>
      </c>
      <c r="BK22" s="106" t="str">
        <f>IF(ISBLANK(Term4_Day_9[[#This Row],[Activity]]),"",IF(_xlfn.XLOOKUP(Term4_Day_9[[#This Row],[Activity]],Types_of_Activity[Type of Activity],Types_of_Activity[Classification])=2,Term4_Day_9[[#This Row],[Elapsed]],0))</f>
        <v/>
      </c>
      <c r="BL22" s="107"/>
      <c r="BM22" s="136"/>
      <c r="BN22" s="136"/>
      <c r="BO22" s="103"/>
      <c r="BP22" s="106" t="str">
        <f>IF(OR(ISBLANK(Term4_Day_10[[#This Row],[Start]]),ISBLANK(Term4_Day_10[[#This Row],[End]])),"",(Term4_Day_10[[#This Row],[End]]-Term4_Day_10[[#This Row],[Start]])*1440)</f>
        <v/>
      </c>
      <c r="BQ22" s="106" t="str">
        <f>IF(ISBLANK(Term4_Day_10[[#This Row],[Activity]]),"",IF(_xlfn.XLOOKUP(Term4_Day_10[[#This Row],[Activity]],Types_of_Activity[Type of Activity],Types_of_Activity[Classification])=1,Term4_Day_10[[#This Row],[Elapsed]],0))</f>
        <v/>
      </c>
      <c r="BR22" s="106" t="str">
        <f>IF(ISBLANK(Term4_Day_10[[#This Row],[Activity]]),"",IF(_xlfn.XLOOKUP(Term4_Day_10[[#This Row],[Activity]],Types_of_Activity[Type of Activity],Types_of_Activity[Classification])=2,Term4_Day_10[[#This Row],[Elapsed]],0))</f>
        <v/>
      </c>
      <c r="BS22" s="107"/>
    </row>
    <row r="23" spans="2:71" x14ac:dyDescent="0.3">
      <c r="B23" s="136"/>
      <c r="C23" s="136"/>
      <c r="D23" s="103"/>
      <c r="E23" s="106" t="str">
        <f>IF(OR(ISBLANK(Term4_Day_1[[#This Row],[Start]]),ISBLANK(Term4_Day_1[[#This Row],[End]])),"",(Term4_Day_1[[#This Row],[End]]-Term4_Day_1[[#This Row],[Start]])*1440)</f>
        <v/>
      </c>
      <c r="F23" s="106" t="str">
        <f>IF(ISBLANK(Term4_Day_1[[#This Row],[Activity]]),"",IF(_xlfn.XLOOKUP(Term4_Day_1[[#This Row],[Activity]],Types_of_Activity[Type of Activity],Types_of_Activity[Classification])=1,Term4_Day_1[[#This Row],[Elapsed]],0))</f>
        <v/>
      </c>
      <c r="G23" s="106" t="str">
        <f>IF(ISBLANK(Term4_Day_1[[#This Row],[Activity]]),"",IF(_xlfn.XLOOKUP(Term4_Day_1[[#This Row],[Activity]],Types_of_Activity[Type of Activity],Types_of_Activity[Classification])=2,Term4_Day_1[[#This Row],[Elapsed]],0))</f>
        <v/>
      </c>
      <c r="I23" s="136"/>
      <c r="J23" s="136"/>
      <c r="K23" s="103"/>
      <c r="L23" s="106" t="str">
        <f>IF(OR(ISBLANK(Term4_Day_2[[#This Row],[Start]]),ISBLANK(Term4_Day_2[[#This Row],[End]])),"",(Term4_Day_2[[#This Row],[End]]-Term4_Day_2[[#This Row],[Start]])*1440)</f>
        <v/>
      </c>
      <c r="M23" s="106" t="str">
        <f>IF(ISBLANK(Term4_Day_2[[#This Row],[Activity]]),"",IF(_xlfn.XLOOKUP(Term4_Day_2[[#This Row],[Activity]],Types_of_Activity[Type of Activity],Types_of_Activity[Classification])=1,Term4_Day_2[[#This Row],[Elapsed]],0))</f>
        <v/>
      </c>
      <c r="N23" s="106" t="str">
        <f>IF(ISBLANK(Term4_Day_2[[#This Row],[Activity]]),"",IF(_xlfn.XLOOKUP(Term4_Day_2[[#This Row],[Activity]],Types_of_Activity[Type of Activity],Types_of_Activity[Classification])=2,Term4_Day_2[[#This Row],[Elapsed]],0))</f>
        <v/>
      </c>
      <c r="P23" s="136"/>
      <c r="Q23" s="136"/>
      <c r="R23" s="103"/>
      <c r="S23" s="106" t="str">
        <f>IF(OR(ISBLANK(Term4_Day_3[[#This Row],[Start]]),ISBLANK(Term4_Day_3[[#This Row],[End]])),"",(Term4_Day_3[[#This Row],[End]]-Term4_Day_3[[#This Row],[Start]])*1440)</f>
        <v/>
      </c>
      <c r="T23" s="106" t="str">
        <f>IF(ISBLANK(Term4_Day_3[[#This Row],[Activity]]),"",IF(_xlfn.XLOOKUP(Term4_Day_3[[#This Row],[Activity]],Types_of_Activity[Type of Activity],Types_of_Activity[Classification])=1,Term4_Day_3[[#This Row],[Elapsed]],0))</f>
        <v/>
      </c>
      <c r="U23" s="106" t="str">
        <f>IF(ISBLANK(Term4_Day_3[[#This Row],[Activity]]),"",IF(_xlfn.XLOOKUP(Term4_Day_3[[#This Row],[Activity]],Types_of_Activity[Type of Activity],Types_of_Activity[Classification])=2,Term4_Day_3[[#This Row],[Elapsed]],0))</f>
        <v/>
      </c>
      <c r="W23" s="136"/>
      <c r="X23" s="136"/>
      <c r="Y23" s="103"/>
      <c r="Z23" s="106" t="str">
        <f>IF(OR(ISBLANK(Term4_Day_4[[#This Row],[Start]]),ISBLANK(Term4_Day_4[[#This Row],[End]])),"",(Term4_Day_4[[#This Row],[End]]-Term4_Day_4[[#This Row],[Start]])*1440)</f>
        <v/>
      </c>
      <c r="AA23" s="106" t="str">
        <f>IF(ISBLANK(Term4_Day_4[[#This Row],[Activity]]),"",IF(_xlfn.XLOOKUP(Term4_Day_4[[#This Row],[Activity]],Types_of_Activity[Type of Activity],Types_of_Activity[Classification])=1,Term4_Day_4[[#This Row],[Elapsed]],0))</f>
        <v/>
      </c>
      <c r="AB23" s="106" t="str">
        <f>IF(ISBLANK(Term4_Day_4[[#This Row],[Activity]]),"",IF(_xlfn.XLOOKUP(Term4_Day_4[[#This Row],[Activity]],Types_of_Activity[Type of Activity],Types_of_Activity[Classification])=2,Term4_Day_4[[#This Row],[Elapsed]],0))</f>
        <v/>
      </c>
      <c r="AD23" s="136"/>
      <c r="AE23" s="136"/>
      <c r="AF23" s="103"/>
      <c r="AG23" s="106" t="str">
        <f>IF(OR(ISBLANK(Term4_Day_5[[#This Row],[Start]]),ISBLANK(Term4_Day_5[[#This Row],[End]])),"",(Term4_Day_5[[#This Row],[End]]-Term4_Day_5[[#This Row],[Start]])*1440)</f>
        <v/>
      </c>
      <c r="AH23" s="106" t="str">
        <f>IF(ISBLANK(Term4_Day_5[[#This Row],[Activity]]),"",IF(_xlfn.XLOOKUP(Term4_Day_5[[#This Row],[Activity]],Types_of_Activity[Type of Activity],Types_of_Activity[Classification])=1,Term4_Day_5[[#This Row],[Elapsed]],0))</f>
        <v/>
      </c>
      <c r="AI23" s="106" t="str">
        <f>IF(ISBLANK(Term4_Day_5[[#This Row],[Activity]]),"",IF(_xlfn.XLOOKUP(Term4_Day_5[[#This Row],[Activity]],Types_of_Activity[Type of Activity],Types_of_Activity[Classification])=2,Term4_Day_5[[#This Row],[Elapsed]],0))</f>
        <v/>
      </c>
      <c r="AJ23" s="107"/>
      <c r="AK23" s="136"/>
      <c r="AL23" s="136"/>
      <c r="AM23" s="103"/>
      <c r="AN23" s="106" t="str">
        <f>IF(OR(ISBLANK(Term4_Day_6[[#This Row],[Start]]),ISBLANK(Term4_Day_6[[#This Row],[End]])),"",(Term4_Day_6[[#This Row],[End]]-Term4_Day_6[[#This Row],[Start]])*1440)</f>
        <v/>
      </c>
      <c r="AO23" s="106" t="str">
        <f>IF(ISBLANK(Term4_Day_6[[#This Row],[Activity]]),"",IF(_xlfn.XLOOKUP(Term4_Day_6[[#This Row],[Activity]],Types_of_Activity[Type of Activity],Types_of_Activity[Classification])=1,Term4_Day_6[[#This Row],[Elapsed]],0))</f>
        <v/>
      </c>
      <c r="AP23" s="106" t="str">
        <f>IF(ISBLANK(Term4_Day_6[[#This Row],[Activity]]),"",IF(_xlfn.XLOOKUP(Term4_Day_6[[#This Row],[Activity]],Types_of_Activity[Type of Activity],Types_of_Activity[Classification])=2,Term4_Day_6[[#This Row],[Elapsed]],0))</f>
        <v/>
      </c>
      <c r="AQ23" s="107"/>
      <c r="AR23" s="136"/>
      <c r="AS23" s="136"/>
      <c r="AT23" s="103"/>
      <c r="AU23" s="106" t="str">
        <f>IF(OR(ISBLANK(Term4_Day_7[[#This Row],[Start]]),ISBLANK(Term4_Day_7[[#This Row],[End]])),"",(Term4_Day_7[[#This Row],[End]]-Term4_Day_7[[#This Row],[Start]])*1440)</f>
        <v/>
      </c>
      <c r="AV23" s="106" t="str">
        <f>IF(ISBLANK(Term4_Day_7[[#This Row],[Activity]]),"",IF(_xlfn.XLOOKUP(Term4_Day_7[[#This Row],[Activity]],Types_of_Activity[Type of Activity],Types_of_Activity[Classification])=1,Term4_Day_7[[#This Row],[Elapsed]],0))</f>
        <v/>
      </c>
      <c r="AW23" s="106" t="str">
        <f>IF(ISBLANK(Term4_Day_7[[#This Row],[Activity]]),"",IF(_xlfn.XLOOKUP(Term4_Day_7[[#This Row],[Activity]],Types_of_Activity[Type of Activity],Types_of_Activity[Classification])=2,Term4_Day_7[[#This Row],[Elapsed]],0))</f>
        <v/>
      </c>
      <c r="AX23" s="107"/>
      <c r="AY23" s="136"/>
      <c r="AZ23" s="136"/>
      <c r="BA23" s="103"/>
      <c r="BB23" s="106" t="str">
        <f>IF(OR(ISBLANK(Term4_Day_8[[#This Row],[Start]]),ISBLANK(Term4_Day_8[[#This Row],[End]])),"",(Term4_Day_8[[#This Row],[End]]-Term4_Day_8[[#This Row],[Start]])*1440)</f>
        <v/>
      </c>
      <c r="BC23" s="106" t="str">
        <f>IF(ISBLANK(Term4_Day_8[[#This Row],[Activity]]),"",IF(_xlfn.XLOOKUP(Term4_Day_8[[#This Row],[Activity]],Types_of_Activity[Type of Activity],Types_of_Activity[Classification])=1,Term4_Day_8[[#This Row],[Elapsed]],0))</f>
        <v/>
      </c>
      <c r="BD23" s="106" t="str">
        <f>IF(ISBLANK(Term4_Day_8[[#This Row],[Activity]]),"",IF(_xlfn.XLOOKUP(Term4_Day_8[[#This Row],[Activity]],Types_of_Activity[Type of Activity],Types_of_Activity[Classification])=2,Term4_Day_8[[#This Row],[Elapsed]],0))</f>
        <v/>
      </c>
      <c r="BE23" s="107"/>
      <c r="BF23" s="136"/>
      <c r="BG23" s="136"/>
      <c r="BH23" s="103"/>
      <c r="BI23" s="106" t="str">
        <f>IF(OR(ISBLANK(Term4_Day_9[[#This Row],[Start]]),ISBLANK(Term4_Day_9[[#This Row],[End]])),"",(Term4_Day_9[[#This Row],[End]]-Term4_Day_9[[#This Row],[Start]])*1440)</f>
        <v/>
      </c>
      <c r="BJ23" s="106" t="str">
        <f>IF(ISBLANK(Term4_Day_9[[#This Row],[Activity]]),"",IF(_xlfn.XLOOKUP(Term4_Day_9[[#This Row],[Activity]],Types_of_Activity[Type of Activity],Types_of_Activity[Classification])=1,Term4_Day_9[[#This Row],[Elapsed]],0))</f>
        <v/>
      </c>
      <c r="BK23" s="106" t="str">
        <f>IF(ISBLANK(Term4_Day_9[[#This Row],[Activity]]),"",IF(_xlfn.XLOOKUP(Term4_Day_9[[#This Row],[Activity]],Types_of_Activity[Type of Activity],Types_of_Activity[Classification])=2,Term4_Day_9[[#This Row],[Elapsed]],0))</f>
        <v/>
      </c>
      <c r="BL23" s="107"/>
      <c r="BM23" s="136"/>
      <c r="BN23" s="136"/>
      <c r="BO23" s="103"/>
      <c r="BP23" s="106" t="str">
        <f>IF(OR(ISBLANK(Term4_Day_10[[#This Row],[Start]]),ISBLANK(Term4_Day_10[[#This Row],[End]])),"",(Term4_Day_10[[#This Row],[End]]-Term4_Day_10[[#This Row],[Start]])*1440)</f>
        <v/>
      </c>
      <c r="BQ23" s="106" t="str">
        <f>IF(ISBLANK(Term4_Day_10[[#This Row],[Activity]]),"",IF(_xlfn.XLOOKUP(Term4_Day_10[[#This Row],[Activity]],Types_of_Activity[Type of Activity],Types_of_Activity[Classification])=1,Term4_Day_10[[#This Row],[Elapsed]],0))</f>
        <v/>
      </c>
      <c r="BR23" s="106" t="str">
        <f>IF(ISBLANK(Term4_Day_10[[#This Row],[Activity]]),"",IF(_xlfn.XLOOKUP(Term4_Day_10[[#This Row],[Activity]],Types_of_Activity[Type of Activity],Types_of_Activity[Classification])=2,Term4_Day_10[[#This Row],[Elapsed]],0))</f>
        <v/>
      </c>
      <c r="BS23" s="107"/>
    </row>
    <row r="24" spans="2:71" x14ac:dyDescent="0.3">
      <c r="B24" s="136"/>
      <c r="C24" s="136"/>
      <c r="D24" s="103"/>
      <c r="E24" s="106" t="str">
        <f>IF(OR(ISBLANK(Term4_Day_1[[#This Row],[Start]]),ISBLANK(Term4_Day_1[[#This Row],[End]])),"",(Term4_Day_1[[#This Row],[End]]-Term4_Day_1[[#This Row],[Start]])*1440)</f>
        <v/>
      </c>
      <c r="F24" s="106" t="str">
        <f>IF(ISBLANK(Term4_Day_1[[#This Row],[Activity]]),"",IF(_xlfn.XLOOKUP(Term4_Day_1[[#This Row],[Activity]],Types_of_Activity[Type of Activity],Types_of_Activity[Classification])=1,Term4_Day_1[[#This Row],[Elapsed]],0))</f>
        <v/>
      </c>
      <c r="G24" s="106" t="str">
        <f>IF(ISBLANK(Term4_Day_1[[#This Row],[Activity]]),"",IF(_xlfn.XLOOKUP(Term4_Day_1[[#This Row],[Activity]],Types_of_Activity[Type of Activity],Types_of_Activity[Classification])=2,Term4_Day_1[[#This Row],[Elapsed]],0))</f>
        <v/>
      </c>
      <c r="I24" s="136"/>
      <c r="J24" s="136"/>
      <c r="K24" s="103"/>
      <c r="L24" s="106" t="str">
        <f>IF(OR(ISBLANK(Term4_Day_2[[#This Row],[Start]]),ISBLANK(Term4_Day_2[[#This Row],[End]])),"",(Term4_Day_2[[#This Row],[End]]-Term4_Day_2[[#This Row],[Start]])*1440)</f>
        <v/>
      </c>
      <c r="M24" s="106" t="str">
        <f>IF(ISBLANK(Term4_Day_2[[#This Row],[Activity]]),"",IF(_xlfn.XLOOKUP(Term4_Day_2[[#This Row],[Activity]],Types_of_Activity[Type of Activity],Types_of_Activity[Classification])=1,Term4_Day_2[[#This Row],[Elapsed]],0))</f>
        <v/>
      </c>
      <c r="N24" s="106" t="str">
        <f>IF(ISBLANK(Term4_Day_2[[#This Row],[Activity]]),"",IF(_xlfn.XLOOKUP(Term4_Day_2[[#This Row],[Activity]],Types_of_Activity[Type of Activity],Types_of_Activity[Classification])=2,Term4_Day_2[[#This Row],[Elapsed]],0))</f>
        <v/>
      </c>
      <c r="P24" s="136"/>
      <c r="Q24" s="136"/>
      <c r="R24" s="103"/>
      <c r="S24" s="106" t="str">
        <f>IF(OR(ISBLANK(Term4_Day_3[[#This Row],[Start]]),ISBLANK(Term4_Day_3[[#This Row],[End]])),"",(Term4_Day_3[[#This Row],[End]]-Term4_Day_3[[#This Row],[Start]])*1440)</f>
        <v/>
      </c>
      <c r="T24" s="106" t="str">
        <f>IF(ISBLANK(Term4_Day_3[[#This Row],[Activity]]),"",IF(_xlfn.XLOOKUP(Term4_Day_3[[#This Row],[Activity]],Types_of_Activity[Type of Activity],Types_of_Activity[Classification])=1,Term4_Day_3[[#This Row],[Elapsed]],0))</f>
        <v/>
      </c>
      <c r="U24" s="106" t="str">
        <f>IF(ISBLANK(Term4_Day_3[[#This Row],[Activity]]),"",IF(_xlfn.XLOOKUP(Term4_Day_3[[#This Row],[Activity]],Types_of_Activity[Type of Activity],Types_of_Activity[Classification])=2,Term4_Day_3[[#This Row],[Elapsed]],0))</f>
        <v/>
      </c>
      <c r="W24" s="136"/>
      <c r="X24" s="136"/>
      <c r="Y24" s="103"/>
      <c r="Z24" s="106" t="str">
        <f>IF(OR(ISBLANK(Term4_Day_4[[#This Row],[Start]]),ISBLANK(Term4_Day_4[[#This Row],[End]])),"",(Term4_Day_4[[#This Row],[End]]-Term4_Day_4[[#This Row],[Start]])*1440)</f>
        <v/>
      </c>
      <c r="AA24" s="106" t="str">
        <f>IF(ISBLANK(Term4_Day_4[[#This Row],[Activity]]),"",IF(_xlfn.XLOOKUP(Term4_Day_4[[#This Row],[Activity]],Types_of_Activity[Type of Activity],Types_of_Activity[Classification])=1,Term4_Day_4[[#This Row],[Elapsed]],0))</f>
        <v/>
      </c>
      <c r="AB24" s="106" t="str">
        <f>IF(ISBLANK(Term4_Day_4[[#This Row],[Activity]]),"",IF(_xlfn.XLOOKUP(Term4_Day_4[[#This Row],[Activity]],Types_of_Activity[Type of Activity],Types_of_Activity[Classification])=2,Term4_Day_4[[#This Row],[Elapsed]],0))</f>
        <v/>
      </c>
      <c r="AD24" s="136"/>
      <c r="AE24" s="136"/>
      <c r="AF24" s="103"/>
      <c r="AG24" s="106" t="str">
        <f>IF(OR(ISBLANK(Term4_Day_5[[#This Row],[Start]]),ISBLANK(Term4_Day_5[[#This Row],[End]])),"",(Term4_Day_5[[#This Row],[End]]-Term4_Day_5[[#This Row],[Start]])*1440)</f>
        <v/>
      </c>
      <c r="AH24" s="106" t="str">
        <f>IF(ISBLANK(Term4_Day_5[[#This Row],[Activity]]),"",IF(_xlfn.XLOOKUP(Term4_Day_5[[#This Row],[Activity]],Types_of_Activity[Type of Activity],Types_of_Activity[Classification])=1,Term4_Day_5[[#This Row],[Elapsed]],0))</f>
        <v/>
      </c>
      <c r="AI24" s="106" t="str">
        <f>IF(ISBLANK(Term4_Day_5[[#This Row],[Activity]]),"",IF(_xlfn.XLOOKUP(Term4_Day_5[[#This Row],[Activity]],Types_of_Activity[Type of Activity],Types_of_Activity[Classification])=2,Term4_Day_5[[#This Row],[Elapsed]],0))</f>
        <v/>
      </c>
      <c r="AJ24" s="107"/>
      <c r="AK24" s="136"/>
      <c r="AL24" s="136"/>
      <c r="AM24" s="103"/>
      <c r="AN24" s="106" t="str">
        <f>IF(OR(ISBLANK(Term4_Day_6[[#This Row],[Start]]),ISBLANK(Term4_Day_6[[#This Row],[End]])),"",(Term4_Day_6[[#This Row],[End]]-Term4_Day_6[[#This Row],[Start]])*1440)</f>
        <v/>
      </c>
      <c r="AO24" s="106" t="str">
        <f>IF(ISBLANK(Term4_Day_6[[#This Row],[Activity]]),"",IF(_xlfn.XLOOKUP(Term4_Day_6[[#This Row],[Activity]],Types_of_Activity[Type of Activity],Types_of_Activity[Classification])=1,Term4_Day_6[[#This Row],[Elapsed]],0))</f>
        <v/>
      </c>
      <c r="AP24" s="106" t="str">
        <f>IF(ISBLANK(Term4_Day_6[[#This Row],[Activity]]),"",IF(_xlfn.XLOOKUP(Term4_Day_6[[#This Row],[Activity]],Types_of_Activity[Type of Activity],Types_of_Activity[Classification])=2,Term4_Day_6[[#This Row],[Elapsed]],0))</f>
        <v/>
      </c>
      <c r="AQ24" s="107"/>
      <c r="AR24" s="136"/>
      <c r="AS24" s="136"/>
      <c r="AT24" s="103"/>
      <c r="AU24" s="106" t="str">
        <f>IF(OR(ISBLANK(Term4_Day_7[[#This Row],[Start]]),ISBLANK(Term4_Day_7[[#This Row],[End]])),"",(Term4_Day_7[[#This Row],[End]]-Term4_Day_7[[#This Row],[Start]])*1440)</f>
        <v/>
      </c>
      <c r="AV24" s="106" t="str">
        <f>IF(ISBLANK(Term4_Day_7[[#This Row],[Activity]]),"",IF(_xlfn.XLOOKUP(Term4_Day_7[[#This Row],[Activity]],Types_of_Activity[Type of Activity],Types_of_Activity[Classification])=1,Term4_Day_7[[#This Row],[Elapsed]],0))</f>
        <v/>
      </c>
      <c r="AW24" s="106" t="str">
        <f>IF(ISBLANK(Term4_Day_7[[#This Row],[Activity]]),"",IF(_xlfn.XLOOKUP(Term4_Day_7[[#This Row],[Activity]],Types_of_Activity[Type of Activity],Types_of_Activity[Classification])=2,Term4_Day_7[[#This Row],[Elapsed]],0))</f>
        <v/>
      </c>
      <c r="AX24" s="107"/>
      <c r="AY24" s="136"/>
      <c r="AZ24" s="136"/>
      <c r="BA24" s="103"/>
      <c r="BB24" s="106" t="str">
        <f>IF(OR(ISBLANK(Term4_Day_8[[#This Row],[Start]]),ISBLANK(Term4_Day_8[[#This Row],[End]])),"",(Term4_Day_8[[#This Row],[End]]-Term4_Day_8[[#This Row],[Start]])*1440)</f>
        <v/>
      </c>
      <c r="BC24" s="106" t="str">
        <f>IF(ISBLANK(Term4_Day_8[[#This Row],[Activity]]),"",IF(_xlfn.XLOOKUP(Term4_Day_8[[#This Row],[Activity]],Types_of_Activity[Type of Activity],Types_of_Activity[Classification])=1,Term4_Day_8[[#This Row],[Elapsed]],0))</f>
        <v/>
      </c>
      <c r="BD24" s="106" t="str">
        <f>IF(ISBLANK(Term4_Day_8[[#This Row],[Activity]]),"",IF(_xlfn.XLOOKUP(Term4_Day_8[[#This Row],[Activity]],Types_of_Activity[Type of Activity],Types_of_Activity[Classification])=2,Term4_Day_8[[#This Row],[Elapsed]],0))</f>
        <v/>
      </c>
      <c r="BE24" s="107"/>
      <c r="BF24" s="136"/>
      <c r="BG24" s="136"/>
      <c r="BH24" s="103"/>
      <c r="BI24" s="106" t="str">
        <f>IF(OR(ISBLANK(Term4_Day_9[[#This Row],[Start]]),ISBLANK(Term4_Day_9[[#This Row],[End]])),"",(Term4_Day_9[[#This Row],[End]]-Term4_Day_9[[#This Row],[Start]])*1440)</f>
        <v/>
      </c>
      <c r="BJ24" s="106" t="str">
        <f>IF(ISBLANK(Term4_Day_9[[#This Row],[Activity]]),"",IF(_xlfn.XLOOKUP(Term4_Day_9[[#This Row],[Activity]],Types_of_Activity[Type of Activity],Types_of_Activity[Classification])=1,Term4_Day_9[[#This Row],[Elapsed]],0))</f>
        <v/>
      </c>
      <c r="BK24" s="106" t="str">
        <f>IF(ISBLANK(Term4_Day_9[[#This Row],[Activity]]),"",IF(_xlfn.XLOOKUP(Term4_Day_9[[#This Row],[Activity]],Types_of_Activity[Type of Activity],Types_of_Activity[Classification])=2,Term4_Day_9[[#This Row],[Elapsed]],0))</f>
        <v/>
      </c>
      <c r="BL24" s="107"/>
      <c r="BM24" s="136"/>
      <c r="BN24" s="136"/>
      <c r="BO24" s="103"/>
      <c r="BP24" s="106" t="str">
        <f>IF(OR(ISBLANK(Term4_Day_10[[#This Row],[Start]]),ISBLANK(Term4_Day_10[[#This Row],[End]])),"",(Term4_Day_10[[#This Row],[End]]-Term4_Day_10[[#This Row],[Start]])*1440)</f>
        <v/>
      </c>
      <c r="BQ24" s="106" t="str">
        <f>IF(ISBLANK(Term4_Day_10[[#This Row],[Activity]]),"",IF(_xlfn.XLOOKUP(Term4_Day_10[[#This Row],[Activity]],Types_of_Activity[Type of Activity],Types_of_Activity[Classification])=1,Term4_Day_10[[#This Row],[Elapsed]],0))</f>
        <v/>
      </c>
      <c r="BR24" s="106" t="str">
        <f>IF(ISBLANK(Term4_Day_10[[#This Row],[Activity]]),"",IF(_xlfn.XLOOKUP(Term4_Day_10[[#This Row],[Activity]],Types_of_Activity[Type of Activity],Types_of_Activity[Classification])=2,Term4_Day_10[[#This Row],[Elapsed]],0))</f>
        <v/>
      </c>
      <c r="BS24" s="107"/>
    </row>
    <row r="25" spans="2:71" x14ac:dyDescent="0.3">
      <c r="B25" s="136"/>
      <c r="C25" s="136"/>
      <c r="D25" s="103"/>
      <c r="E25" s="106" t="str">
        <f>IF(OR(ISBLANK(Term4_Day_1[[#This Row],[Start]]),ISBLANK(Term4_Day_1[[#This Row],[End]])),"",(Term4_Day_1[[#This Row],[End]]-Term4_Day_1[[#This Row],[Start]])*1440)</f>
        <v/>
      </c>
      <c r="F25" s="106" t="str">
        <f>IF(ISBLANK(Term4_Day_1[[#This Row],[Activity]]),"",IF(_xlfn.XLOOKUP(Term4_Day_1[[#This Row],[Activity]],Types_of_Activity[Type of Activity],Types_of_Activity[Classification])=1,Term4_Day_1[[#This Row],[Elapsed]],0))</f>
        <v/>
      </c>
      <c r="G25" s="106" t="str">
        <f>IF(ISBLANK(Term4_Day_1[[#This Row],[Activity]]),"",IF(_xlfn.XLOOKUP(Term4_Day_1[[#This Row],[Activity]],Types_of_Activity[Type of Activity],Types_of_Activity[Classification])=2,Term4_Day_1[[#This Row],[Elapsed]],0))</f>
        <v/>
      </c>
      <c r="I25" s="136"/>
      <c r="J25" s="136"/>
      <c r="K25" s="103"/>
      <c r="L25" s="106" t="str">
        <f>IF(OR(ISBLANK(Term4_Day_2[[#This Row],[Start]]),ISBLANK(Term4_Day_2[[#This Row],[End]])),"",(Term4_Day_2[[#This Row],[End]]-Term4_Day_2[[#This Row],[Start]])*1440)</f>
        <v/>
      </c>
      <c r="M25" s="106" t="str">
        <f>IF(ISBLANK(Term4_Day_2[[#This Row],[Activity]]),"",IF(_xlfn.XLOOKUP(Term4_Day_2[[#This Row],[Activity]],Types_of_Activity[Type of Activity],Types_of_Activity[Classification])=1,Term4_Day_2[[#This Row],[Elapsed]],0))</f>
        <v/>
      </c>
      <c r="N25" s="106" t="str">
        <f>IF(ISBLANK(Term4_Day_2[[#This Row],[Activity]]),"",IF(_xlfn.XLOOKUP(Term4_Day_2[[#This Row],[Activity]],Types_of_Activity[Type of Activity],Types_of_Activity[Classification])=2,Term4_Day_2[[#This Row],[Elapsed]],0))</f>
        <v/>
      </c>
      <c r="P25" s="136"/>
      <c r="Q25" s="136"/>
      <c r="R25" s="103"/>
      <c r="S25" s="106" t="str">
        <f>IF(OR(ISBLANK(Term4_Day_3[[#This Row],[Start]]),ISBLANK(Term4_Day_3[[#This Row],[End]])),"",(Term4_Day_3[[#This Row],[End]]-Term4_Day_3[[#This Row],[Start]])*1440)</f>
        <v/>
      </c>
      <c r="T25" s="106" t="str">
        <f>IF(ISBLANK(Term4_Day_3[[#This Row],[Activity]]),"",IF(_xlfn.XLOOKUP(Term4_Day_3[[#This Row],[Activity]],Types_of_Activity[Type of Activity],Types_of_Activity[Classification])=1,Term4_Day_3[[#This Row],[Elapsed]],0))</f>
        <v/>
      </c>
      <c r="U25" s="106" t="str">
        <f>IF(ISBLANK(Term4_Day_3[[#This Row],[Activity]]),"",IF(_xlfn.XLOOKUP(Term4_Day_3[[#This Row],[Activity]],Types_of_Activity[Type of Activity],Types_of_Activity[Classification])=2,Term4_Day_3[[#This Row],[Elapsed]],0))</f>
        <v/>
      </c>
      <c r="W25" s="136"/>
      <c r="X25" s="136"/>
      <c r="Y25" s="103"/>
      <c r="Z25" s="106" t="str">
        <f>IF(OR(ISBLANK(Term4_Day_4[[#This Row],[Start]]),ISBLANK(Term4_Day_4[[#This Row],[End]])),"",(Term4_Day_4[[#This Row],[End]]-Term4_Day_4[[#This Row],[Start]])*1440)</f>
        <v/>
      </c>
      <c r="AA25" s="106" t="str">
        <f>IF(ISBLANK(Term4_Day_4[[#This Row],[Activity]]),"",IF(_xlfn.XLOOKUP(Term4_Day_4[[#This Row],[Activity]],Types_of_Activity[Type of Activity],Types_of_Activity[Classification])=1,Term4_Day_4[[#This Row],[Elapsed]],0))</f>
        <v/>
      </c>
      <c r="AB25" s="106" t="str">
        <f>IF(ISBLANK(Term4_Day_4[[#This Row],[Activity]]),"",IF(_xlfn.XLOOKUP(Term4_Day_4[[#This Row],[Activity]],Types_of_Activity[Type of Activity],Types_of_Activity[Classification])=2,Term4_Day_4[[#This Row],[Elapsed]],0))</f>
        <v/>
      </c>
      <c r="AD25" s="136"/>
      <c r="AE25" s="136"/>
      <c r="AF25" s="103"/>
      <c r="AG25" s="106" t="str">
        <f>IF(OR(ISBLANK(Term4_Day_5[[#This Row],[Start]]),ISBLANK(Term4_Day_5[[#This Row],[End]])),"",(Term4_Day_5[[#This Row],[End]]-Term4_Day_5[[#This Row],[Start]])*1440)</f>
        <v/>
      </c>
      <c r="AH25" s="106" t="str">
        <f>IF(ISBLANK(Term4_Day_5[[#This Row],[Activity]]),"",IF(_xlfn.XLOOKUP(Term4_Day_5[[#This Row],[Activity]],Types_of_Activity[Type of Activity],Types_of_Activity[Classification])=1,Term4_Day_5[[#This Row],[Elapsed]],0))</f>
        <v/>
      </c>
      <c r="AI25" s="106" t="str">
        <f>IF(ISBLANK(Term4_Day_5[[#This Row],[Activity]]),"",IF(_xlfn.XLOOKUP(Term4_Day_5[[#This Row],[Activity]],Types_of_Activity[Type of Activity],Types_of_Activity[Classification])=2,Term4_Day_5[[#This Row],[Elapsed]],0))</f>
        <v/>
      </c>
      <c r="AJ25" s="107"/>
      <c r="AK25" s="136"/>
      <c r="AL25" s="136"/>
      <c r="AM25" s="103"/>
      <c r="AN25" s="106" t="str">
        <f>IF(OR(ISBLANK(Term4_Day_6[[#This Row],[Start]]),ISBLANK(Term4_Day_6[[#This Row],[End]])),"",(Term4_Day_6[[#This Row],[End]]-Term4_Day_6[[#This Row],[Start]])*1440)</f>
        <v/>
      </c>
      <c r="AO25" s="106" t="str">
        <f>IF(ISBLANK(Term4_Day_6[[#This Row],[Activity]]),"",IF(_xlfn.XLOOKUP(Term4_Day_6[[#This Row],[Activity]],Types_of_Activity[Type of Activity],Types_of_Activity[Classification])=1,Term4_Day_6[[#This Row],[Elapsed]],0))</f>
        <v/>
      </c>
      <c r="AP25" s="106" t="str">
        <f>IF(ISBLANK(Term4_Day_6[[#This Row],[Activity]]),"",IF(_xlfn.XLOOKUP(Term4_Day_6[[#This Row],[Activity]],Types_of_Activity[Type of Activity],Types_of_Activity[Classification])=2,Term4_Day_6[[#This Row],[Elapsed]],0))</f>
        <v/>
      </c>
      <c r="AQ25" s="107"/>
      <c r="AR25" s="136"/>
      <c r="AS25" s="136"/>
      <c r="AT25" s="103"/>
      <c r="AU25" s="106" t="str">
        <f>IF(OR(ISBLANK(Term4_Day_7[[#This Row],[Start]]),ISBLANK(Term4_Day_7[[#This Row],[End]])),"",(Term4_Day_7[[#This Row],[End]]-Term4_Day_7[[#This Row],[Start]])*1440)</f>
        <v/>
      </c>
      <c r="AV25" s="106" t="str">
        <f>IF(ISBLANK(Term4_Day_7[[#This Row],[Activity]]),"",IF(_xlfn.XLOOKUP(Term4_Day_7[[#This Row],[Activity]],Types_of_Activity[Type of Activity],Types_of_Activity[Classification])=1,Term4_Day_7[[#This Row],[Elapsed]],0))</f>
        <v/>
      </c>
      <c r="AW25" s="106" t="str">
        <f>IF(ISBLANK(Term4_Day_7[[#This Row],[Activity]]),"",IF(_xlfn.XLOOKUP(Term4_Day_7[[#This Row],[Activity]],Types_of_Activity[Type of Activity],Types_of_Activity[Classification])=2,Term4_Day_7[[#This Row],[Elapsed]],0))</f>
        <v/>
      </c>
      <c r="AX25" s="107"/>
      <c r="AY25" s="136"/>
      <c r="AZ25" s="136"/>
      <c r="BA25" s="103"/>
      <c r="BB25" s="106" t="str">
        <f>IF(OR(ISBLANK(Term4_Day_8[[#This Row],[Start]]),ISBLANK(Term4_Day_8[[#This Row],[End]])),"",(Term4_Day_8[[#This Row],[End]]-Term4_Day_8[[#This Row],[Start]])*1440)</f>
        <v/>
      </c>
      <c r="BC25" s="106" t="str">
        <f>IF(ISBLANK(Term4_Day_8[[#This Row],[Activity]]),"",IF(_xlfn.XLOOKUP(Term4_Day_8[[#This Row],[Activity]],Types_of_Activity[Type of Activity],Types_of_Activity[Classification])=1,Term4_Day_8[[#This Row],[Elapsed]],0))</f>
        <v/>
      </c>
      <c r="BD25" s="106" t="str">
        <f>IF(ISBLANK(Term4_Day_8[[#This Row],[Activity]]),"",IF(_xlfn.XLOOKUP(Term4_Day_8[[#This Row],[Activity]],Types_of_Activity[Type of Activity],Types_of_Activity[Classification])=2,Term4_Day_8[[#This Row],[Elapsed]],0))</f>
        <v/>
      </c>
      <c r="BE25" s="107"/>
      <c r="BF25" s="136"/>
      <c r="BG25" s="136"/>
      <c r="BH25" s="103"/>
      <c r="BI25" s="106" t="str">
        <f>IF(OR(ISBLANK(Term4_Day_9[[#This Row],[Start]]),ISBLANK(Term4_Day_9[[#This Row],[End]])),"",(Term4_Day_9[[#This Row],[End]]-Term4_Day_9[[#This Row],[Start]])*1440)</f>
        <v/>
      </c>
      <c r="BJ25" s="106" t="str">
        <f>IF(ISBLANK(Term4_Day_9[[#This Row],[Activity]]),"",IF(_xlfn.XLOOKUP(Term4_Day_9[[#This Row],[Activity]],Types_of_Activity[Type of Activity],Types_of_Activity[Classification])=1,Term4_Day_9[[#This Row],[Elapsed]],0))</f>
        <v/>
      </c>
      <c r="BK25" s="106" t="str">
        <f>IF(ISBLANK(Term4_Day_9[[#This Row],[Activity]]),"",IF(_xlfn.XLOOKUP(Term4_Day_9[[#This Row],[Activity]],Types_of_Activity[Type of Activity],Types_of_Activity[Classification])=2,Term4_Day_9[[#This Row],[Elapsed]],0))</f>
        <v/>
      </c>
      <c r="BL25" s="107"/>
      <c r="BM25" s="136"/>
      <c r="BN25" s="136"/>
      <c r="BO25" s="103"/>
      <c r="BP25" s="106" t="str">
        <f>IF(OR(ISBLANK(Term4_Day_10[[#This Row],[Start]]),ISBLANK(Term4_Day_10[[#This Row],[End]])),"",(Term4_Day_10[[#This Row],[End]]-Term4_Day_10[[#This Row],[Start]])*1440)</f>
        <v/>
      </c>
      <c r="BQ25" s="106" t="str">
        <f>IF(ISBLANK(Term4_Day_10[[#This Row],[Activity]]),"",IF(_xlfn.XLOOKUP(Term4_Day_10[[#This Row],[Activity]],Types_of_Activity[Type of Activity],Types_of_Activity[Classification])=1,Term4_Day_10[[#This Row],[Elapsed]],0))</f>
        <v/>
      </c>
      <c r="BR25" s="106" t="str">
        <f>IF(ISBLANK(Term4_Day_10[[#This Row],[Activity]]),"",IF(_xlfn.XLOOKUP(Term4_Day_10[[#This Row],[Activity]],Types_of_Activity[Type of Activity],Types_of_Activity[Classification])=2,Term4_Day_10[[#This Row],[Elapsed]],0))</f>
        <v/>
      </c>
      <c r="BS25" s="107"/>
    </row>
    <row r="26" spans="2:71" x14ac:dyDescent="0.3">
      <c r="B26" s="136"/>
      <c r="C26" s="136"/>
      <c r="D26" s="103"/>
      <c r="E26" s="106" t="str">
        <f>IF(OR(ISBLANK(Term4_Day_1[[#This Row],[Start]]),ISBLANK(Term4_Day_1[[#This Row],[End]])),"",(Term4_Day_1[[#This Row],[End]]-Term4_Day_1[[#This Row],[Start]])*1440)</f>
        <v/>
      </c>
      <c r="F26" s="106" t="str">
        <f>IF(ISBLANK(Term4_Day_1[[#This Row],[Activity]]),"",IF(_xlfn.XLOOKUP(Term4_Day_1[[#This Row],[Activity]],Types_of_Activity[Type of Activity],Types_of_Activity[Classification])=1,Term4_Day_1[[#This Row],[Elapsed]],0))</f>
        <v/>
      </c>
      <c r="G26" s="106" t="str">
        <f>IF(ISBLANK(Term4_Day_1[[#This Row],[Activity]]),"",IF(_xlfn.XLOOKUP(Term4_Day_1[[#This Row],[Activity]],Types_of_Activity[Type of Activity],Types_of_Activity[Classification])=2,Term4_Day_1[[#This Row],[Elapsed]],0))</f>
        <v/>
      </c>
      <c r="I26" s="136"/>
      <c r="J26" s="136"/>
      <c r="K26" s="103"/>
      <c r="L26" s="106" t="str">
        <f>IF(OR(ISBLANK(Term4_Day_2[[#This Row],[Start]]),ISBLANK(Term4_Day_2[[#This Row],[End]])),"",(Term4_Day_2[[#This Row],[End]]-Term4_Day_2[[#This Row],[Start]])*1440)</f>
        <v/>
      </c>
      <c r="M26" s="106" t="str">
        <f>IF(ISBLANK(Term4_Day_2[[#This Row],[Activity]]),"",IF(_xlfn.XLOOKUP(Term4_Day_2[[#This Row],[Activity]],Types_of_Activity[Type of Activity],Types_of_Activity[Classification])=1,Term4_Day_2[[#This Row],[Elapsed]],0))</f>
        <v/>
      </c>
      <c r="N26" s="106" t="str">
        <f>IF(ISBLANK(Term4_Day_2[[#This Row],[Activity]]),"",IF(_xlfn.XLOOKUP(Term4_Day_2[[#This Row],[Activity]],Types_of_Activity[Type of Activity],Types_of_Activity[Classification])=2,Term4_Day_2[[#This Row],[Elapsed]],0))</f>
        <v/>
      </c>
      <c r="P26" s="136"/>
      <c r="Q26" s="136"/>
      <c r="R26" s="103"/>
      <c r="S26" s="106" t="str">
        <f>IF(OR(ISBLANK(Term4_Day_3[[#This Row],[Start]]),ISBLANK(Term4_Day_3[[#This Row],[End]])),"",(Term4_Day_3[[#This Row],[End]]-Term4_Day_3[[#This Row],[Start]])*1440)</f>
        <v/>
      </c>
      <c r="T26" s="106" t="str">
        <f>IF(ISBLANK(Term4_Day_3[[#This Row],[Activity]]),"",IF(_xlfn.XLOOKUP(Term4_Day_3[[#This Row],[Activity]],Types_of_Activity[Type of Activity],Types_of_Activity[Classification])=1,Term4_Day_3[[#This Row],[Elapsed]],0))</f>
        <v/>
      </c>
      <c r="U26" s="106" t="str">
        <f>IF(ISBLANK(Term4_Day_3[[#This Row],[Activity]]),"",IF(_xlfn.XLOOKUP(Term4_Day_3[[#This Row],[Activity]],Types_of_Activity[Type of Activity],Types_of_Activity[Classification])=2,Term4_Day_3[[#This Row],[Elapsed]],0))</f>
        <v/>
      </c>
      <c r="W26" s="136"/>
      <c r="X26" s="136"/>
      <c r="Y26" s="103"/>
      <c r="Z26" s="106" t="str">
        <f>IF(OR(ISBLANK(Term4_Day_4[[#This Row],[Start]]),ISBLANK(Term4_Day_4[[#This Row],[End]])),"",(Term4_Day_4[[#This Row],[End]]-Term4_Day_4[[#This Row],[Start]])*1440)</f>
        <v/>
      </c>
      <c r="AA26" s="106" t="str">
        <f>IF(ISBLANK(Term4_Day_4[[#This Row],[Activity]]),"",IF(_xlfn.XLOOKUP(Term4_Day_4[[#This Row],[Activity]],Types_of_Activity[Type of Activity],Types_of_Activity[Classification])=1,Term4_Day_4[[#This Row],[Elapsed]],0))</f>
        <v/>
      </c>
      <c r="AB26" s="106" t="str">
        <f>IF(ISBLANK(Term4_Day_4[[#This Row],[Activity]]),"",IF(_xlfn.XLOOKUP(Term4_Day_4[[#This Row],[Activity]],Types_of_Activity[Type of Activity],Types_of_Activity[Classification])=2,Term4_Day_4[[#This Row],[Elapsed]],0))</f>
        <v/>
      </c>
      <c r="AD26" s="136"/>
      <c r="AE26" s="136"/>
      <c r="AF26" s="103"/>
      <c r="AG26" s="106" t="str">
        <f>IF(OR(ISBLANK(Term4_Day_5[[#This Row],[Start]]),ISBLANK(Term4_Day_5[[#This Row],[End]])),"",(Term4_Day_5[[#This Row],[End]]-Term4_Day_5[[#This Row],[Start]])*1440)</f>
        <v/>
      </c>
      <c r="AH26" s="106" t="str">
        <f>IF(ISBLANK(Term4_Day_5[[#This Row],[Activity]]),"",IF(_xlfn.XLOOKUP(Term4_Day_5[[#This Row],[Activity]],Types_of_Activity[Type of Activity],Types_of_Activity[Classification])=1,Term4_Day_5[[#This Row],[Elapsed]],0))</f>
        <v/>
      </c>
      <c r="AI26" s="106" t="str">
        <f>IF(ISBLANK(Term4_Day_5[[#This Row],[Activity]]),"",IF(_xlfn.XLOOKUP(Term4_Day_5[[#This Row],[Activity]],Types_of_Activity[Type of Activity],Types_of_Activity[Classification])=2,Term4_Day_5[[#This Row],[Elapsed]],0))</f>
        <v/>
      </c>
      <c r="AJ26" s="107"/>
      <c r="AK26" s="136"/>
      <c r="AL26" s="136"/>
      <c r="AM26" s="103"/>
      <c r="AN26" s="106" t="str">
        <f>IF(OR(ISBLANK(Term4_Day_6[[#This Row],[Start]]),ISBLANK(Term4_Day_6[[#This Row],[End]])),"",(Term4_Day_6[[#This Row],[End]]-Term4_Day_6[[#This Row],[Start]])*1440)</f>
        <v/>
      </c>
      <c r="AO26" s="106" t="str">
        <f>IF(ISBLANK(Term4_Day_6[[#This Row],[Activity]]),"",IF(_xlfn.XLOOKUP(Term4_Day_6[[#This Row],[Activity]],Types_of_Activity[Type of Activity],Types_of_Activity[Classification])=1,Term4_Day_6[[#This Row],[Elapsed]],0))</f>
        <v/>
      </c>
      <c r="AP26" s="106" t="str">
        <f>IF(ISBLANK(Term4_Day_6[[#This Row],[Activity]]),"",IF(_xlfn.XLOOKUP(Term4_Day_6[[#This Row],[Activity]],Types_of_Activity[Type of Activity],Types_of_Activity[Classification])=2,Term4_Day_6[[#This Row],[Elapsed]],0))</f>
        <v/>
      </c>
      <c r="AQ26" s="107"/>
      <c r="AR26" s="136"/>
      <c r="AS26" s="136"/>
      <c r="AT26" s="103"/>
      <c r="AU26" s="106" t="str">
        <f>IF(OR(ISBLANK(Term4_Day_7[[#This Row],[Start]]),ISBLANK(Term4_Day_7[[#This Row],[End]])),"",(Term4_Day_7[[#This Row],[End]]-Term4_Day_7[[#This Row],[Start]])*1440)</f>
        <v/>
      </c>
      <c r="AV26" s="106" t="str">
        <f>IF(ISBLANK(Term4_Day_7[[#This Row],[Activity]]),"",IF(_xlfn.XLOOKUP(Term4_Day_7[[#This Row],[Activity]],Types_of_Activity[Type of Activity],Types_of_Activity[Classification])=1,Term4_Day_7[[#This Row],[Elapsed]],0))</f>
        <v/>
      </c>
      <c r="AW26" s="106" t="str">
        <f>IF(ISBLANK(Term4_Day_7[[#This Row],[Activity]]),"",IF(_xlfn.XLOOKUP(Term4_Day_7[[#This Row],[Activity]],Types_of_Activity[Type of Activity],Types_of_Activity[Classification])=2,Term4_Day_7[[#This Row],[Elapsed]],0))</f>
        <v/>
      </c>
      <c r="AX26" s="107"/>
      <c r="AY26" s="136"/>
      <c r="AZ26" s="136"/>
      <c r="BA26" s="103"/>
      <c r="BB26" s="106" t="str">
        <f>IF(OR(ISBLANK(Term4_Day_8[[#This Row],[Start]]),ISBLANK(Term4_Day_8[[#This Row],[End]])),"",(Term4_Day_8[[#This Row],[End]]-Term4_Day_8[[#This Row],[Start]])*1440)</f>
        <v/>
      </c>
      <c r="BC26" s="106" t="str">
        <f>IF(ISBLANK(Term4_Day_8[[#This Row],[Activity]]),"",IF(_xlfn.XLOOKUP(Term4_Day_8[[#This Row],[Activity]],Types_of_Activity[Type of Activity],Types_of_Activity[Classification])=1,Term4_Day_8[[#This Row],[Elapsed]],0))</f>
        <v/>
      </c>
      <c r="BD26" s="106" t="str">
        <f>IF(ISBLANK(Term4_Day_8[[#This Row],[Activity]]),"",IF(_xlfn.XLOOKUP(Term4_Day_8[[#This Row],[Activity]],Types_of_Activity[Type of Activity],Types_of_Activity[Classification])=2,Term4_Day_8[[#This Row],[Elapsed]],0))</f>
        <v/>
      </c>
      <c r="BE26" s="107"/>
      <c r="BF26" s="136"/>
      <c r="BG26" s="136"/>
      <c r="BH26" s="103"/>
      <c r="BI26" s="106" t="str">
        <f>IF(OR(ISBLANK(Term4_Day_9[[#This Row],[Start]]),ISBLANK(Term4_Day_9[[#This Row],[End]])),"",(Term4_Day_9[[#This Row],[End]]-Term4_Day_9[[#This Row],[Start]])*1440)</f>
        <v/>
      </c>
      <c r="BJ26" s="106" t="str">
        <f>IF(ISBLANK(Term4_Day_9[[#This Row],[Activity]]),"",IF(_xlfn.XLOOKUP(Term4_Day_9[[#This Row],[Activity]],Types_of_Activity[Type of Activity],Types_of_Activity[Classification])=1,Term4_Day_9[[#This Row],[Elapsed]],0))</f>
        <v/>
      </c>
      <c r="BK26" s="106" t="str">
        <f>IF(ISBLANK(Term4_Day_9[[#This Row],[Activity]]),"",IF(_xlfn.XLOOKUP(Term4_Day_9[[#This Row],[Activity]],Types_of_Activity[Type of Activity],Types_of_Activity[Classification])=2,Term4_Day_9[[#This Row],[Elapsed]],0))</f>
        <v/>
      </c>
      <c r="BL26" s="107"/>
      <c r="BM26" s="136"/>
      <c r="BN26" s="136"/>
      <c r="BO26" s="103"/>
      <c r="BP26" s="106" t="str">
        <f>IF(OR(ISBLANK(Term4_Day_10[[#This Row],[Start]]),ISBLANK(Term4_Day_10[[#This Row],[End]])),"",(Term4_Day_10[[#This Row],[End]]-Term4_Day_10[[#This Row],[Start]])*1440)</f>
        <v/>
      </c>
      <c r="BQ26" s="106" t="str">
        <f>IF(ISBLANK(Term4_Day_10[[#This Row],[Activity]]),"",IF(_xlfn.XLOOKUP(Term4_Day_10[[#This Row],[Activity]],Types_of_Activity[Type of Activity],Types_of_Activity[Classification])=1,Term4_Day_10[[#This Row],[Elapsed]],0))</f>
        <v/>
      </c>
      <c r="BR26" s="106" t="str">
        <f>IF(ISBLANK(Term4_Day_10[[#This Row],[Activity]]),"",IF(_xlfn.XLOOKUP(Term4_Day_10[[#This Row],[Activity]],Types_of_Activity[Type of Activity],Types_of_Activity[Classification])=2,Term4_Day_10[[#This Row],[Elapsed]],0))</f>
        <v/>
      </c>
      <c r="BS26" s="107"/>
    </row>
    <row r="27" spans="2:71" x14ac:dyDescent="0.3">
      <c r="B27" s="136"/>
      <c r="C27" s="136"/>
      <c r="D27" s="103"/>
      <c r="E27" s="106" t="str">
        <f>IF(OR(ISBLANK(Term4_Day_1[[#This Row],[Start]]),ISBLANK(Term4_Day_1[[#This Row],[End]])),"",(Term4_Day_1[[#This Row],[End]]-Term4_Day_1[[#This Row],[Start]])*1440)</f>
        <v/>
      </c>
      <c r="F27" s="106" t="str">
        <f>IF(ISBLANK(Term4_Day_1[[#This Row],[Activity]]),"",IF(_xlfn.XLOOKUP(Term4_Day_1[[#This Row],[Activity]],Types_of_Activity[Type of Activity],Types_of_Activity[Classification])=1,Term4_Day_1[[#This Row],[Elapsed]],0))</f>
        <v/>
      </c>
      <c r="G27" s="106" t="str">
        <f>IF(ISBLANK(Term4_Day_1[[#This Row],[Activity]]),"",IF(_xlfn.XLOOKUP(Term4_Day_1[[#This Row],[Activity]],Types_of_Activity[Type of Activity],Types_of_Activity[Classification])=2,Term4_Day_1[[#This Row],[Elapsed]],0))</f>
        <v/>
      </c>
      <c r="I27" s="136"/>
      <c r="J27" s="136"/>
      <c r="K27" s="103"/>
      <c r="L27" s="106" t="str">
        <f>IF(OR(ISBLANK(Term4_Day_2[[#This Row],[Start]]),ISBLANK(Term4_Day_2[[#This Row],[End]])),"",(Term4_Day_2[[#This Row],[End]]-Term4_Day_2[[#This Row],[Start]])*1440)</f>
        <v/>
      </c>
      <c r="M27" s="106" t="str">
        <f>IF(ISBLANK(Term4_Day_2[[#This Row],[Activity]]),"",IF(_xlfn.XLOOKUP(Term4_Day_2[[#This Row],[Activity]],Types_of_Activity[Type of Activity],Types_of_Activity[Classification])=1,Term4_Day_2[[#This Row],[Elapsed]],0))</f>
        <v/>
      </c>
      <c r="N27" s="106" t="str">
        <f>IF(ISBLANK(Term4_Day_2[[#This Row],[Activity]]),"",IF(_xlfn.XLOOKUP(Term4_Day_2[[#This Row],[Activity]],Types_of_Activity[Type of Activity],Types_of_Activity[Classification])=2,Term4_Day_2[[#This Row],[Elapsed]],0))</f>
        <v/>
      </c>
      <c r="P27" s="136"/>
      <c r="Q27" s="136"/>
      <c r="R27" s="103"/>
      <c r="S27" s="106" t="str">
        <f>IF(OR(ISBLANK(Term4_Day_3[[#This Row],[Start]]),ISBLANK(Term4_Day_3[[#This Row],[End]])),"",(Term4_Day_3[[#This Row],[End]]-Term4_Day_3[[#This Row],[Start]])*1440)</f>
        <v/>
      </c>
      <c r="T27" s="106" t="str">
        <f>IF(ISBLANK(Term4_Day_3[[#This Row],[Activity]]),"",IF(_xlfn.XLOOKUP(Term4_Day_3[[#This Row],[Activity]],Types_of_Activity[Type of Activity],Types_of_Activity[Classification])=1,Term4_Day_3[[#This Row],[Elapsed]],0))</f>
        <v/>
      </c>
      <c r="U27" s="106" t="str">
        <f>IF(ISBLANK(Term4_Day_3[[#This Row],[Activity]]),"",IF(_xlfn.XLOOKUP(Term4_Day_3[[#This Row],[Activity]],Types_of_Activity[Type of Activity],Types_of_Activity[Classification])=2,Term4_Day_3[[#This Row],[Elapsed]],0))</f>
        <v/>
      </c>
      <c r="W27" s="136"/>
      <c r="X27" s="136"/>
      <c r="Y27" s="103"/>
      <c r="Z27" s="106" t="str">
        <f>IF(OR(ISBLANK(Term4_Day_4[[#This Row],[Start]]),ISBLANK(Term4_Day_4[[#This Row],[End]])),"",(Term4_Day_4[[#This Row],[End]]-Term4_Day_4[[#This Row],[Start]])*1440)</f>
        <v/>
      </c>
      <c r="AA27" s="106" t="str">
        <f>IF(ISBLANK(Term4_Day_4[[#This Row],[Activity]]),"",IF(_xlfn.XLOOKUP(Term4_Day_4[[#This Row],[Activity]],Types_of_Activity[Type of Activity],Types_of_Activity[Classification])=1,Term4_Day_4[[#This Row],[Elapsed]],0))</f>
        <v/>
      </c>
      <c r="AB27" s="106" t="str">
        <f>IF(ISBLANK(Term4_Day_4[[#This Row],[Activity]]),"",IF(_xlfn.XLOOKUP(Term4_Day_4[[#This Row],[Activity]],Types_of_Activity[Type of Activity],Types_of_Activity[Classification])=2,Term4_Day_4[[#This Row],[Elapsed]],0))</f>
        <v/>
      </c>
      <c r="AD27" s="136"/>
      <c r="AE27" s="136"/>
      <c r="AF27" s="103"/>
      <c r="AG27" s="106" t="str">
        <f>IF(OR(ISBLANK(Term4_Day_5[[#This Row],[Start]]),ISBLANK(Term4_Day_5[[#This Row],[End]])),"",(Term4_Day_5[[#This Row],[End]]-Term4_Day_5[[#This Row],[Start]])*1440)</f>
        <v/>
      </c>
      <c r="AH27" s="106" t="str">
        <f>IF(ISBLANK(Term4_Day_5[[#This Row],[Activity]]),"",IF(_xlfn.XLOOKUP(Term4_Day_5[[#This Row],[Activity]],Types_of_Activity[Type of Activity],Types_of_Activity[Classification])=1,Term4_Day_5[[#This Row],[Elapsed]],0))</f>
        <v/>
      </c>
      <c r="AI27" s="106" t="str">
        <f>IF(ISBLANK(Term4_Day_5[[#This Row],[Activity]]),"",IF(_xlfn.XLOOKUP(Term4_Day_5[[#This Row],[Activity]],Types_of_Activity[Type of Activity],Types_of_Activity[Classification])=2,Term4_Day_5[[#This Row],[Elapsed]],0))</f>
        <v/>
      </c>
      <c r="AJ27" s="107"/>
      <c r="AK27" s="136"/>
      <c r="AL27" s="136"/>
      <c r="AM27" s="103"/>
      <c r="AN27" s="106" t="str">
        <f>IF(OR(ISBLANK(Term4_Day_6[[#This Row],[Start]]),ISBLANK(Term4_Day_6[[#This Row],[End]])),"",(Term4_Day_6[[#This Row],[End]]-Term4_Day_6[[#This Row],[Start]])*1440)</f>
        <v/>
      </c>
      <c r="AO27" s="106" t="str">
        <f>IF(ISBLANK(Term4_Day_6[[#This Row],[Activity]]),"",IF(_xlfn.XLOOKUP(Term4_Day_6[[#This Row],[Activity]],Types_of_Activity[Type of Activity],Types_of_Activity[Classification])=1,Term4_Day_6[[#This Row],[Elapsed]],0))</f>
        <v/>
      </c>
      <c r="AP27" s="106" t="str">
        <f>IF(ISBLANK(Term4_Day_6[[#This Row],[Activity]]),"",IF(_xlfn.XLOOKUP(Term4_Day_6[[#This Row],[Activity]],Types_of_Activity[Type of Activity],Types_of_Activity[Classification])=2,Term4_Day_6[[#This Row],[Elapsed]],0))</f>
        <v/>
      </c>
      <c r="AQ27" s="107"/>
      <c r="AR27" s="136"/>
      <c r="AS27" s="136"/>
      <c r="AT27" s="103"/>
      <c r="AU27" s="106" t="str">
        <f>IF(OR(ISBLANK(Term4_Day_7[[#This Row],[Start]]),ISBLANK(Term4_Day_7[[#This Row],[End]])),"",(Term4_Day_7[[#This Row],[End]]-Term4_Day_7[[#This Row],[Start]])*1440)</f>
        <v/>
      </c>
      <c r="AV27" s="106" t="str">
        <f>IF(ISBLANK(Term4_Day_7[[#This Row],[Activity]]),"",IF(_xlfn.XLOOKUP(Term4_Day_7[[#This Row],[Activity]],Types_of_Activity[Type of Activity],Types_of_Activity[Classification])=1,Term4_Day_7[[#This Row],[Elapsed]],0))</f>
        <v/>
      </c>
      <c r="AW27" s="106" t="str">
        <f>IF(ISBLANK(Term4_Day_7[[#This Row],[Activity]]),"",IF(_xlfn.XLOOKUP(Term4_Day_7[[#This Row],[Activity]],Types_of_Activity[Type of Activity],Types_of_Activity[Classification])=2,Term4_Day_7[[#This Row],[Elapsed]],0))</f>
        <v/>
      </c>
      <c r="AX27" s="107"/>
      <c r="AY27" s="136"/>
      <c r="AZ27" s="136"/>
      <c r="BA27" s="103"/>
      <c r="BB27" s="106" t="str">
        <f>IF(OR(ISBLANK(Term4_Day_8[[#This Row],[Start]]),ISBLANK(Term4_Day_8[[#This Row],[End]])),"",(Term4_Day_8[[#This Row],[End]]-Term4_Day_8[[#This Row],[Start]])*1440)</f>
        <v/>
      </c>
      <c r="BC27" s="106" t="str">
        <f>IF(ISBLANK(Term4_Day_8[[#This Row],[Activity]]),"",IF(_xlfn.XLOOKUP(Term4_Day_8[[#This Row],[Activity]],Types_of_Activity[Type of Activity],Types_of_Activity[Classification])=1,Term4_Day_8[[#This Row],[Elapsed]],0))</f>
        <v/>
      </c>
      <c r="BD27" s="106" t="str">
        <f>IF(ISBLANK(Term4_Day_8[[#This Row],[Activity]]),"",IF(_xlfn.XLOOKUP(Term4_Day_8[[#This Row],[Activity]],Types_of_Activity[Type of Activity],Types_of_Activity[Classification])=2,Term4_Day_8[[#This Row],[Elapsed]],0))</f>
        <v/>
      </c>
      <c r="BE27" s="107"/>
      <c r="BF27" s="136"/>
      <c r="BG27" s="136"/>
      <c r="BH27" s="103"/>
      <c r="BI27" s="106" t="str">
        <f>IF(OR(ISBLANK(Term4_Day_9[[#This Row],[Start]]),ISBLANK(Term4_Day_9[[#This Row],[End]])),"",(Term4_Day_9[[#This Row],[End]]-Term4_Day_9[[#This Row],[Start]])*1440)</f>
        <v/>
      </c>
      <c r="BJ27" s="106" t="str">
        <f>IF(ISBLANK(Term4_Day_9[[#This Row],[Activity]]),"",IF(_xlfn.XLOOKUP(Term4_Day_9[[#This Row],[Activity]],Types_of_Activity[Type of Activity],Types_of_Activity[Classification])=1,Term4_Day_9[[#This Row],[Elapsed]],0))</f>
        <v/>
      </c>
      <c r="BK27" s="106" t="str">
        <f>IF(ISBLANK(Term4_Day_9[[#This Row],[Activity]]),"",IF(_xlfn.XLOOKUP(Term4_Day_9[[#This Row],[Activity]],Types_of_Activity[Type of Activity],Types_of_Activity[Classification])=2,Term4_Day_9[[#This Row],[Elapsed]],0))</f>
        <v/>
      </c>
      <c r="BL27" s="107"/>
      <c r="BM27" s="136"/>
      <c r="BN27" s="136"/>
      <c r="BO27" s="103"/>
      <c r="BP27" s="106" t="str">
        <f>IF(OR(ISBLANK(Term4_Day_10[[#This Row],[Start]]),ISBLANK(Term4_Day_10[[#This Row],[End]])),"",(Term4_Day_10[[#This Row],[End]]-Term4_Day_10[[#This Row],[Start]])*1440)</f>
        <v/>
      </c>
      <c r="BQ27" s="106" t="str">
        <f>IF(ISBLANK(Term4_Day_10[[#This Row],[Activity]]),"",IF(_xlfn.XLOOKUP(Term4_Day_10[[#This Row],[Activity]],Types_of_Activity[Type of Activity],Types_of_Activity[Classification])=1,Term4_Day_10[[#This Row],[Elapsed]],0))</f>
        <v/>
      </c>
      <c r="BR27" s="106" t="str">
        <f>IF(ISBLANK(Term4_Day_10[[#This Row],[Activity]]),"",IF(_xlfn.XLOOKUP(Term4_Day_10[[#This Row],[Activity]],Types_of_Activity[Type of Activity],Types_of_Activity[Classification])=2,Term4_Day_10[[#This Row],[Elapsed]],0))</f>
        <v/>
      </c>
      <c r="BS27" s="107"/>
    </row>
    <row r="28" spans="2:71" x14ac:dyDescent="0.3">
      <c r="B28" s="136"/>
      <c r="C28" s="136"/>
      <c r="D28" s="103"/>
      <c r="E28" s="106" t="str">
        <f>IF(OR(ISBLANK(Term4_Day_1[[#This Row],[Start]]),ISBLANK(Term4_Day_1[[#This Row],[End]])),"",(Term4_Day_1[[#This Row],[End]]-Term4_Day_1[[#This Row],[Start]])*1440)</f>
        <v/>
      </c>
      <c r="F28" s="106" t="str">
        <f>IF(ISBLANK(Term4_Day_1[[#This Row],[Activity]]),"",IF(_xlfn.XLOOKUP(Term4_Day_1[[#This Row],[Activity]],Types_of_Activity[Type of Activity],Types_of_Activity[Classification])=1,Term4_Day_1[[#This Row],[Elapsed]],0))</f>
        <v/>
      </c>
      <c r="G28" s="106" t="str">
        <f>IF(ISBLANK(Term4_Day_1[[#This Row],[Activity]]),"",IF(_xlfn.XLOOKUP(Term4_Day_1[[#This Row],[Activity]],Types_of_Activity[Type of Activity],Types_of_Activity[Classification])=2,Term4_Day_1[[#This Row],[Elapsed]],0))</f>
        <v/>
      </c>
      <c r="I28" s="136"/>
      <c r="J28" s="136"/>
      <c r="K28" s="103"/>
      <c r="L28" s="106" t="str">
        <f>IF(OR(ISBLANK(Term4_Day_2[[#This Row],[Start]]),ISBLANK(Term4_Day_2[[#This Row],[End]])),"",(Term4_Day_2[[#This Row],[End]]-Term4_Day_2[[#This Row],[Start]])*1440)</f>
        <v/>
      </c>
      <c r="M28" s="106" t="str">
        <f>IF(ISBLANK(Term4_Day_2[[#This Row],[Activity]]),"",IF(_xlfn.XLOOKUP(Term4_Day_2[[#This Row],[Activity]],Types_of_Activity[Type of Activity],Types_of_Activity[Classification])=1,Term4_Day_2[[#This Row],[Elapsed]],0))</f>
        <v/>
      </c>
      <c r="N28" s="106" t="str">
        <f>IF(ISBLANK(Term4_Day_2[[#This Row],[Activity]]),"",IF(_xlfn.XLOOKUP(Term4_Day_2[[#This Row],[Activity]],Types_of_Activity[Type of Activity],Types_of_Activity[Classification])=2,Term4_Day_2[[#This Row],[Elapsed]],0))</f>
        <v/>
      </c>
      <c r="P28" s="136"/>
      <c r="Q28" s="136"/>
      <c r="R28" s="103"/>
      <c r="S28" s="106" t="str">
        <f>IF(OR(ISBLANK(Term4_Day_3[[#This Row],[Start]]),ISBLANK(Term4_Day_3[[#This Row],[End]])),"",(Term4_Day_3[[#This Row],[End]]-Term4_Day_3[[#This Row],[Start]])*1440)</f>
        <v/>
      </c>
      <c r="T28" s="106" t="str">
        <f>IF(ISBLANK(Term4_Day_3[[#This Row],[Activity]]),"",IF(_xlfn.XLOOKUP(Term4_Day_3[[#This Row],[Activity]],Types_of_Activity[Type of Activity],Types_of_Activity[Classification])=1,Term4_Day_3[[#This Row],[Elapsed]],0))</f>
        <v/>
      </c>
      <c r="U28" s="106" t="str">
        <f>IF(ISBLANK(Term4_Day_3[[#This Row],[Activity]]),"",IF(_xlfn.XLOOKUP(Term4_Day_3[[#This Row],[Activity]],Types_of_Activity[Type of Activity],Types_of_Activity[Classification])=2,Term4_Day_3[[#This Row],[Elapsed]],0))</f>
        <v/>
      </c>
      <c r="W28" s="136"/>
      <c r="X28" s="136"/>
      <c r="Y28" s="103"/>
      <c r="Z28" s="106" t="str">
        <f>IF(OR(ISBLANK(Term4_Day_4[[#This Row],[Start]]),ISBLANK(Term4_Day_4[[#This Row],[End]])),"",(Term4_Day_4[[#This Row],[End]]-Term4_Day_4[[#This Row],[Start]])*1440)</f>
        <v/>
      </c>
      <c r="AA28" s="106" t="str">
        <f>IF(ISBLANK(Term4_Day_4[[#This Row],[Activity]]),"",IF(_xlfn.XLOOKUP(Term4_Day_4[[#This Row],[Activity]],Types_of_Activity[Type of Activity],Types_of_Activity[Classification])=1,Term4_Day_4[[#This Row],[Elapsed]],0))</f>
        <v/>
      </c>
      <c r="AB28" s="106" t="str">
        <f>IF(ISBLANK(Term4_Day_4[[#This Row],[Activity]]),"",IF(_xlfn.XLOOKUP(Term4_Day_4[[#This Row],[Activity]],Types_of_Activity[Type of Activity],Types_of_Activity[Classification])=2,Term4_Day_4[[#This Row],[Elapsed]],0))</f>
        <v/>
      </c>
      <c r="AD28" s="136"/>
      <c r="AE28" s="136"/>
      <c r="AF28" s="103"/>
      <c r="AG28" s="106" t="str">
        <f>IF(OR(ISBLANK(Term4_Day_5[[#This Row],[Start]]),ISBLANK(Term4_Day_5[[#This Row],[End]])),"",(Term4_Day_5[[#This Row],[End]]-Term4_Day_5[[#This Row],[Start]])*1440)</f>
        <v/>
      </c>
      <c r="AH28" s="106" t="str">
        <f>IF(ISBLANK(Term4_Day_5[[#This Row],[Activity]]),"",IF(_xlfn.XLOOKUP(Term4_Day_5[[#This Row],[Activity]],Types_of_Activity[Type of Activity],Types_of_Activity[Classification])=1,Term4_Day_5[[#This Row],[Elapsed]],0))</f>
        <v/>
      </c>
      <c r="AI28" s="106" t="str">
        <f>IF(ISBLANK(Term4_Day_5[[#This Row],[Activity]]),"",IF(_xlfn.XLOOKUP(Term4_Day_5[[#This Row],[Activity]],Types_of_Activity[Type of Activity],Types_of_Activity[Classification])=2,Term4_Day_5[[#This Row],[Elapsed]],0))</f>
        <v/>
      </c>
      <c r="AJ28" s="107"/>
      <c r="AK28" s="136"/>
      <c r="AL28" s="136"/>
      <c r="AM28" s="103"/>
      <c r="AN28" s="106" t="str">
        <f>IF(OR(ISBLANK(Term4_Day_6[[#This Row],[Start]]),ISBLANK(Term4_Day_6[[#This Row],[End]])),"",(Term4_Day_6[[#This Row],[End]]-Term4_Day_6[[#This Row],[Start]])*1440)</f>
        <v/>
      </c>
      <c r="AO28" s="106" t="str">
        <f>IF(ISBLANK(Term4_Day_6[[#This Row],[Activity]]),"",IF(_xlfn.XLOOKUP(Term4_Day_6[[#This Row],[Activity]],Types_of_Activity[Type of Activity],Types_of_Activity[Classification])=1,Term4_Day_6[[#This Row],[Elapsed]],0))</f>
        <v/>
      </c>
      <c r="AP28" s="106" t="str">
        <f>IF(ISBLANK(Term4_Day_6[[#This Row],[Activity]]),"",IF(_xlfn.XLOOKUP(Term4_Day_6[[#This Row],[Activity]],Types_of_Activity[Type of Activity],Types_of_Activity[Classification])=2,Term4_Day_6[[#This Row],[Elapsed]],0))</f>
        <v/>
      </c>
      <c r="AQ28" s="107"/>
      <c r="AR28" s="136"/>
      <c r="AS28" s="136"/>
      <c r="AT28" s="103"/>
      <c r="AU28" s="106" t="str">
        <f>IF(OR(ISBLANK(Term4_Day_7[[#This Row],[Start]]),ISBLANK(Term4_Day_7[[#This Row],[End]])),"",(Term4_Day_7[[#This Row],[End]]-Term4_Day_7[[#This Row],[Start]])*1440)</f>
        <v/>
      </c>
      <c r="AV28" s="106" t="str">
        <f>IF(ISBLANK(Term4_Day_7[[#This Row],[Activity]]),"",IF(_xlfn.XLOOKUP(Term4_Day_7[[#This Row],[Activity]],Types_of_Activity[Type of Activity],Types_of_Activity[Classification])=1,Term4_Day_7[[#This Row],[Elapsed]],0))</f>
        <v/>
      </c>
      <c r="AW28" s="106" t="str">
        <f>IF(ISBLANK(Term4_Day_7[[#This Row],[Activity]]),"",IF(_xlfn.XLOOKUP(Term4_Day_7[[#This Row],[Activity]],Types_of_Activity[Type of Activity],Types_of_Activity[Classification])=2,Term4_Day_7[[#This Row],[Elapsed]],0))</f>
        <v/>
      </c>
      <c r="AX28" s="107"/>
      <c r="AY28" s="136"/>
      <c r="AZ28" s="136"/>
      <c r="BA28" s="103"/>
      <c r="BB28" s="106" t="str">
        <f>IF(OR(ISBLANK(Term4_Day_8[[#This Row],[Start]]),ISBLANK(Term4_Day_8[[#This Row],[End]])),"",(Term4_Day_8[[#This Row],[End]]-Term4_Day_8[[#This Row],[Start]])*1440)</f>
        <v/>
      </c>
      <c r="BC28" s="106" t="str">
        <f>IF(ISBLANK(Term4_Day_8[[#This Row],[Activity]]),"",IF(_xlfn.XLOOKUP(Term4_Day_8[[#This Row],[Activity]],Types_of_Activity[Type of Activity],Types_of_Activity[Classification])=1,Term4_Day_8[[#This Row],[Elapsed]],0))</f>
        <v/>
      </c>
      <c r="BD28" s="106" t="str">
        <f>IF(ISBLANK(Term4_Day_8[[#This Row],[Activity]]),"",IF(_xlfn.XLOOKUP(Term4_Day_8[[#This Row],[Activity]],Types_of_Activity[Type of Activity],Types_of_Activity[Classification])=2,Term4_Day_8[[#This Row],[Elapsed]],0))</f>
        <v/>
      </c>
      <c r="BE28" s="107"/>
      <c r="BF28" s="136"/>
      <c r="BG28" s="136"/>
      <c r="BH28" s="103"/>
      <c r="BI28" s="106" t="str">
        <f>IF(OR(ISBLANK(Term4_Day_9[[#This Row],[Start]]),ISBLANK(Term4_Day_9[[#This Row],[End]])),"",(Term4_Day_9[[#This Row],[End]]-Term4_Day_9[[#This Row],[Start]])*1440)</f>
        <v/>
      </c>
      <c r="BJ28" s="106" t="str">
        <f>IF(ISBLANK(Term4_Day_9[[#This Row],[Activity]]),"",IF(_xlfn.XLOOKUP(Term4_Day_9[[#This Row],[Activity]],Types_of_Activity[Type of Activity],Types_of_Activity[Classification])=1,Term4_Day_9[[#This Row],[Elapsed]],0))</f>
        <v/>
      </c>
      <c r="BK28" s="106" t="str">
        <f>IF(ISBLANK(Term4_Day_9[[#This Row],[Activity]]),"",IF(_xlfn.XLOOKUP(Term4_Day_9[[#This Row],[Activity]],Types_of_Activity[Type of Activity],Types_of_Activity[Classification])=2,Term4_Day_9[[#This Row],[Elapsed]],0))</f>
        <v/>
      </c>
      <c r="BL28" s="107"/>
      <c r="BM28" s="136"/>
      <c r="BN28" s="136"/>
      <c r="BO28" s="103"/>
      <c r="BP28" s="106" t="str">
        <f>IF(OR(ISBLANK(Term4_Day_10[[#This Row],[Start]]),ISBLANK(Term4_Day_10[[#This Row],[End]])),"",(Term4_Day_10[[#This Row],[End]]-Term4_Day_10[[#This Row],[Start]])*1440)</f>
        <v/>
      </c>
      <c r="BQ28" s="106" t="str">
        <f>IF(ISBLANK(Term4_Day_10[[#This Row],[Activity]]),"",IF(_xlfn.XLOOKUP(Term4_Day_10[[#This Row],[Activity]],Types_of_Activity[Type of Activity],Types_of_Activity[Classification])=1,Term4_Day_10[[#This Row],[Elapsed]],0))</f>
        <v/>
      </c>
      <c r="BR28" s="106" t="str">
        <f>IF(ISBLANK(Term4_Day_10[[#This Row],[Activity]]),"",IF(_xlfn.XLOOKUP(Term4_Day_10[[#This Row],[Activity]],Types_of_Activity[Type of Activity],Types_of_Activity[Classification])=2,Term4_Day_10[[#This Row],[Elapsed]],0))</f>
        <v/>
      </c>
      <c r="BS28" s="107"/>
    </row>
    <row r="29" spans="2:71" x14ac:dyDescent="0.3">
      <c r="B29" s="136"/>
      <c r="C29" s="136"/>
      <c r="D29" s="103"/>
      <c r="E29" s="106" t="str">
        <f>IF(OR(ISBLANK(Term4_Day_1[[#This Row],[Start]]),ISBLANK(Term4_Day_1[[#This Row],[End]])),"",(Term4_Day_1[[#This Row],[End]]-Term4_Day_1[[#This Row],[Start]])*1440)</f>
        <v/>
      </c>
      <c r="F29" s="106" t="str">
        <f>IF(ISBLANK(Term4_Day_1[[#This Row],[Activity]]),"",IF(_xlfn.XLOOKUP(Term4_Day_1[[#This Row],[Activity]],Types_of_Activity[Type of Activity],Types_of_Activity[Classification])=1,Term4_Day_1[[#This Row],[Elapsed]],0))</f>
        <v/>
      </c>
      <c r="G29" s="106" t="str">
        <f>IF(ISBLANK(Term4_Day_1[[#This Row],[Activity]]),"",IF(_xlfn.XLOOKUP(Term4_Day_1[[#This Row],[Activity]],Types_of_Activity[Type of Activity],Types_of_Activity[Classification])=2,Term4_Day_1[[#This Row],[Elapsed]],0))</f>
        <v/>
      </c>
      <c r="I29" s="136"/>
      <c r="J29" s="136"/>
      <c r="K29" s="103"/>
      <c r="L29" s="106" t="str">
        <f>IF(OR(ISBLANK(Term4_Day_2[[#This Row],[Start]]),ISBLANK(Term4_Day_2[[#This Row],[End]])),"",(Term4_Day_2[[#This Row],[End]]-Term4_Day_2[[#This Row],[Start]])*1440)</f>
        <v/>
      </c>
      <c r="M29" s="106" t="str">
        <f>IF(ISBLANK(Term4_Day_2[[#This Row],[Activity]]),"",IF(_xlfn.XLOOKUP(Term4_Day_2[[#This Row],[Activity]],Types_of_Activity[Type of Activity],Types_of_Activity[Classification])=1,Term4_Day_2[[#This Row],[Elapsed]],0))</f>
        <v/>
      </c>
      <c r="N29" s="106" t="str">
        <f>IF(ISBLANK(Term4_Day_2[[#This Row],[Activity]]),"",IF(_xlfn.XLOOKUP(Term4_Day_2[[#This Row],[Activity]],Types_of_Activity[Type of Activity],Types_of_Activity[Classification])=2,Term4_Day_2[[#This Row],[Elapsed]],0))</f>
        <v/>
      </c>
      <c r="P29" s="136"/>
      <c r="Q29" s="136"/>
      <c r="R29" s="103"/>
      <c r="S29" s="106" t="str">
        <f>IF(OR(ISBLANK(Term4_Day_3[[#This Row],[Start]]),ISBLANK(Term4_Day_3[[#This Row],[End]])),"",(Term4_Day_3[[#This Row],[End]]-Term4_Day_3[[#This Row],[Start]])*1440)</f>
        <v/>
      </c>
      <c r="T29" s="106" t="str">
        <f>IF(ISBLANK(Term4_Day_3[[#This Row],[Activity]]),"",IF(_xlfn.XLOOKUP(Term4_Day_3[[#This Row],[Activity]],Types_of_Activity[Type of Activity],Types_of_Activity[Classification])=1,Term4_Day_3[[#This Row],[Elapsed]],0))</f>
        <v/>
      </c>
      <c r="U29" s="106" t="str">
        <f>IF(ISBLANK(Term4_Day_3[[#This Row],[Activity]]),"",IF(_xlfn.XLOOKUP(Term4_Day_3[[#This Row],[Activity]],Types_of_Activity[Type of Activity],Types_of_Activity[Classification])=2,Term4_Day_3[[#This Row],[Elapsed]],0))</f>
        <v/>
      </c>
      <c r="W29" s="136"/>
      <c r="X29" s="136"/>
      <c r="Y29" s="103"/>
      <c r="Z29" s="106" t="str">
        <f>IF(OR(ISBLANK(Term4_Day_4[[#This Row],[Start]]),ISBLANK(Term4_Day_4[[#This Row],[End]])),"",(Term4_Day_4[[#This Row],[End]]-Term4_Day_4[[#This Row],[Start]])*1440)</f>
        <v/>
      </c>
      <c r="AA29" s="106" t="str">
        <f>IF(ISBLANK(Term4_Day_4[[#This Row],[Activity]]),"",IF(_xlfn.XLOOKUP(Term4_Day_4[[#This Row],[Activity]],Types_of_Activity[Type of Activity],Types_of_Activity[Classification])=1,Term4_Day_4[[#This Row],[Elapsed]],0))</f>
        <v/>
      </c>
      <c r="AB29" s="106" t="str">
        <f>IF(ISBLANK(Term4_Day_4[[#This Row],[Activity]]),"",IF(_xlfn.XLOOKUP(Term4_Day_4[[#This Row],[Activity]],Types_of_Activity[Type of Activity],Types_of_Activity[Classification])=2,Term4_Day_4[[#This Row],[Elapsed]],0))</f>
        <v/>
      </c>
      <c r="AD29" s="136"/>
      <c r="AE29" s="136"/>
      <c r="AF29" s="103"/>
      <c r="AG29" s="106" t="str">
        <f>IF(OR(ISBLANK(Term4_Day_5[[#This Row],[Start]]),ISBLANK(Term4_Day_5[[#This Row],[End]])),"",(Term4_Day_5[[#This Row],[End]]-Term4_Day_5[[#This Row],[Start]])*1440)</f>
        <v/>
      </c>
      <c r="AH29" s="106" t="str">
        <f>IF(ISBLANK(Term4_Day_5[[#This Row],[Activity]]),"",IF(_xlfn.XLOOKUP(Term4_Day_5[[#This Row],[Activity]],Types_of_Activity[Type of Activity],Types_of_Activity[Classification])=1,Term4_Day_5[[#This Row],[Elapsed]],0))</f>
        <v/>
      </c>
      <c r="AI29" s="106" t="str">
        <f>IF(ISBLANK(Term4_Day_5[[#This Row],[Activity]]),"",IF(_xlfn.XLOOKUP(Term4_Day_5[[#This Row],[Activity]],Types_of_Activity[Type of Activity],Types_of_Activity[Classification])=2,Term4_Day_5[[#This Row],[Elapsed]],0))</f>
        <v/>
      </c>
      <c r="AJ29" s="107"/>
      <c r="AK29" s="136"/>
      <c r="AL29" s="136"/>
      <c r="AM29" s="103"/>
      <c r="AN29" s="106" t="str">
        <f>IF(OR(ISBLANK(Term4_Day_6[[#This Row],[Start]]),ISBLANK(Term4_Day_6[[#This Row],[End]])),"",(Term4_Day_6[[#This Row],[End]]-Term4_Day_6[[#This Row],[Start]])*1440)</f>
        <v/>
      </c>
      <c r="AO29" s="106" t="str">
        <f>IF(ISBLANK(Term4_Day_6[[#This Row],[Activity]]),"",IF(_xlfn.XLOOKUP(Term4_Day_6[[#This Row],[Activity]],Types_of_Activity[Type of Activity],Types_of_Activity[Classification])=1,Term4_Day_6[[#This Row],[Elapsed]],0))</f>
        <v/>
      </c>
      <c r="AP29" s="106" t="str">
        <f>IF(ISBLANK(Term4_Day_6[[#This Row],[Activity]]),"",IF(_xlfn.XLOOKUP(Term4_Day_6[[#This Row],[Activity]],Types_of_Activity[Type of Activity],Types_of_Activity[Classification])=2,Term4_Day_6[[#This Row],[Elapsed]],0))</f>
        <v/>
      </c>
      <c r="AQ29" s="107"/>
      <c r="AR29" s="136"/>
      <c r="AS29" s="136"/>
      <c r="AT29" s="103"/>
      <c r="AU29" s="106" t="str">
        <f>IF(OR(ISBLANK(Term4_Day_7[[#This Row],[Start]]),ISBLANK(Term4_Day_7[[#This Row],[End]])),"",(Term4_Day_7[[#This Row],[End]]-Term4_Day_7[[#This Row],[Start]])*1440)</f>
        <v/>
      </c>
      <c r="AV29" s="106" t="str">
        <f>IF(ISBLANK(Term4_Day_7[[#This Row],[Activity]]),"",IF(_xlfn.XLOOKUP(Term4_Day_7[[#This Row],[Activity]],Types_of_Activity[Type of Activity],Types_of_Activity[Classification])=1,Term4_Day_7[[#This Row],[Elapsed]],0))</f>
        <v/>
      </c>
      <c r="AW29" s="106" t="str">
        <f>IF(ISBLANK(Term4_Day_7[[#This Row],[Activity]]),"",IF(_xlfn.XLOOKUP(Term4_Day_7[[#This Row],[Activity]],Types_of_Activity[Type of Activity],Types_of_Activity[Classification])=2,Term4_Day_7[[#This Row],[Elapsed]],0))</f>
        <v/>
      </c>
      <c r="AX29" s="107"/>
      <c r="AY29" s="136"/>
      <c r="AZ29" s="136"/>
      <c r="BA29" s="103"/>
      <c r="BB29" s="106" t="str">
        <f>IF(OR(ISBLANK(Term4_Day_8[[#This Row],[Start]]),ISBLANK(Term4_Day_8[[#This Row],[End]])),"",(Term4_Day_8[[#This Row],[End]]-Term4_Day_8[[#This Row],[Start]])*1440)</f>
        <v/>
      </c>
      <c r="BC29" s="106" t="str">
        <f>IF(ISBLANK(Term4_Day_8[[#This Row],[Activity]]),"",IF(_xlfn.XLOOKUP(Term4_Day_8[[#This Row],[Activity]],Types_of_Activity[Type of Activity],Types_of_Activity[Classification])=1,Term4_Day_8[[#This Row],[Elapsed]],0))</f>
        <v/>
      </c>
      <c r="BD29" s="106" t="str">
        <f>IF(ISBLANK(Term4_Day_8[[#This Row],[Activity]]),"",IF(_xlfn.XLOOKUP(Term4_Day_8[[#This Row],[Activity]],Types_of_Activity[Type of Activity],Types_of_Activity[Classification])=2,Term4_Day_8[[#This Row],[Elapsed]],0))</f>
        <v/>
      </c>
      <c r="BE29" s="107"/>
      <c r="BF29" s="136"/>
      <c r="BG29" s="136"/>
      <c r="BH29" s="103"/>
      <c r="BI29" s="106" t="str">
        <f>IF(OR(ISBLANK(Term4_Day_9[[#This Row],[Start]]),ISBLANK(Term4_Day_9[[#This Row],[End]])),"",(Term4_Day_9[[#This Row],[End]]-Term4_Day_9[[#This Row],[Start]])*1440)</f>
        <v/>
      </c>
      <c r="BJ29" s="106" t="str">
        <f>IF(ISBLANK(Term4_Day_9[[#This Row],[Activity]]),"",IF(_xlfn.XLOOKUP(Term4_Day_9[[#This Row],[Activity]],Types_of_Activity[Type of Activity],Types_of_Activity[Classification])=1,Term4_Day_9[[#This Row],[Elapsed]],0))</f>
        <v/>
      </c>
      <c r="BK29" s="106" t="str">
        <f>IF(ISBLANK(Term4_Day_9[[#This Row],[Activity]]),"",IF(_xlfn.XLOOKUP(Term4_Day_9[[#This Row],[Activity]],Types_of_Activity[Type of Activity],Types_of_Activity[Classification])=2,Term4_Day_9[[#This Row],[Elapsed]],0))</f>
        <v/>
      </c>
      <c r="BL29" s="107"/>
      <c r="BM29" s="136"/>
      <c r="BN29" s="136"/>
      <c r="BO29" s="103"/>
      <c r="BP29" s="106" t="str">
        <f>IF(OR(ISBLANK(Term4_Day_10[[#This Row],[Start]]),ISBLANK(Term4_Day_10[[#This Row],[End]])),"",(Term4_Day_10[[#This Row],[End]]-Term4_Day_10[[#This Row],[Start]])*1440)</f>
        <v/>
      </c>
      <c r="BQ29" s="106" t="str">
        <f>IF(ISBLANK(Term4_Day_10[[#This Row],[Activity]]),"",IF(_xlfn.XLOOKUP(Term4_Day_10[[#This Row],[Activity]],Types_of_Activity[Type of Activity],Types_of_Activity[Classification])=1,Term4_Day_10[[#This Row],[Elapsed]],0))</f>
        <v/>
      </c>
      <c r="BR29" s="106" t="str">
        <f>IF(ISBLANK(Term4_Day_10[[#This Row],[Activity]]),"",IF(_xlfn.XLOOKUP(Term4_Day_10[[#This Row],[Activity]],Types_of_Activity[Type of Activity],Types_of_Activity[Classification])=2,Term4_Day_10[[#This Row],[Elapsed]],0))</f>
        <v/>
      </c>
      <c r="BS29" s="107"/>
    </row>
    <row r="30" spans="2:71" x14ac:dyDescent="0.3">
      <c r="B30" s="136"/>
      <c r="C30" s="136"/>
      <c r="D30" s="103"/>
      <c r="E30" s="106" t="str">
        <f>IF(OR(ISBLANK(Term4_Day_1[[#This Row],[Start]]),ISBLANK(Term4_Day_1[[#This Row],[End]])),"",(Term4_Day_1[[#This Row],[End]]-Term4_Day_1[[#This Row],[Start]])*1440)</f>
        <v/>
      </c>
      <c r="F30" s="106" t="str">
        <f>IF(ISBLANK(Term4_Day_1[[#This Row],[Activity]]),"",IF(_xlfn.XLOOKUP(Term4_Day_1[[#This Row],[Activity]],Types_of_Activity[Type of Activity],Types_of_Activity[Classification])=1,Term4_Day_1[[#This Row],[Elapsed]],0))</f>
        <v/>
      </c>
      <c r="G30" s="106" t="str">
        <f>IF(ISBLANK(Term4_Day_1[[#This Row],[Activity]]),"",IF(_xlfn.XLOOKUP(Term4_Day_1[[#This Row],[Activity]],Types_of_Activity[Type of Activity],Types_of_Activity[Classification])=2,Term4_Day_1[[#This Row],[Elapsed]],0))</f>
        <v/>
      </c>
      <c r="I30" s="136"/>
      <c r="J30" s="136"/>
      <c r="K30" s="103"/>
      <c r="L30" s="106" t="str">
        <f>IF(OR(ISBLANK(Term4_Day_2[[#This Row],[Start]]),ISBLANK(Term4_Day_2[[#This Row],[End]])),"",(Term4_Day_2[[#This Row],[End]]-Term4_Day_2[[#This Row],[Start]])*1440)</f>
        <v/>
      </c>
      <c r="M30" s="106" t="str">
        <f>IF(ISBLANK(Term4_Day_2[[#This Row],[Activity]]),"",IF(_xlfn.XLOOKUP(Term4_Day_2[[#This Row],[Activity]],Types_of_Activity[Type of Activity],Types_of_Activity[Classification])=1,Term4_Day_2[[#This Row],[Elapsed]],0))</f>
        <v/>
      </c>
      <c r="N30" s="106" t="str">
        <f>IF(ISBLANK(Term4_Day_2[[#This Row],[Activity]]),"",IF(_xlfn.XLOOKUP(Term4_Day_2[[#This Row],[Activity]],Types_of_Activity[Type of Activity],Types_of_Activity[Classification])=2,Term4_Day_2[[#This Row],[Elapsed]],0))</f>
        <v/>
      </c>
      <c r="P30" s="136"/>
      <c r="Q30" s="136"/>
      <c r="R30" s="103"/>
      <c r="S30" s="106" t="str">
        <f>IF(OR(ISBLANK(Term4_Day_3[[#This Row],[Start]]),ISBLANK(Term4_Day_3[[#This Row],[End]])),"",(Term4_Day_3[[#This Row],[End]]-Term4_Day_3[[#This Row],[Start]])*1440)</f>
        <v/>
      </c>
      <c r="T30" s="106" t="str">
        <f>IF(ISBLANK(Term4_Day_3[[#This Row],[Activity]]),"",IF(_xlfn.XLOOKUP(Term4_Day_3[[#This Row],[Activity]],Types_of_Activity[Type of Activity],Types_of_Activity[Classification])=1,Term4_Day_3[[#This Row],[Elapsed]],0))</f>
        <v/>
      </c>
      <c r="U30" s="106" t="str">
        <f>IF(ISBLANK(Term4_Day_3[[#This Row],[Activity]]),"",IF(_xlfn.XLOOKUP(Term4_Day_3[[#This Row],[Activity]],Types_of_Activity[Type of Activity],Types_of_Activity[Classification])=2,Term4_Day_3[[#This Row],[Elapsed]],0))</f>
        <v/>
      </c>
      <c r="W30" s="136"/>
      <c r="X30" s="136"/>
      <c r="Y30" s="103"/>
      <c r="Z30" s="106" t="str">
        <f>IF(OR(ISBLANK(Term4_Day_4[[#This Row],[Start]]),ISBLANK(Term4_Day_4[[#This Row],[End]])),"",(Term4_Day_4[[#This Row],[End]]-Term4_Day_4[[#This Row],[Start]])*1440)</f>
        <v/>
      </c>
      <c r="AA30" s="106" t="str">
        <f>IF(ISBLANK(Term4_Day_4[[#This Row],[Activity]]),"",IF(_xlfn.XLOOKUP(Term4_Day_4[[#This Row],[Activity]],Types_of_Activity[Type of Activity],Types_of_Activity[Classification])=1,Term4_Day_4[[#This Row],[Elapsed]],0))</f>
        <v/>
      </c>
      <c r="AB30" s="106" t="str">
        <f>IF(ISBLANK(Term4_Day_4[[#This Row],[Activity]]),"",IF(_xlfn.XLOOKUP(Term4_Day_4[[#This Row],[Activity]],Types_of_Activity[Type of Activity],Types_of_Activity[Classification])=2,Term4_Day_4[[#This Row],[Elapsed]],0))</f>
        <v/>
      </c>
      <c r="AD30" s="136"/>
      <c r="AE30" s="136"/>
      <c r="AF30" s="103"/>
      <c r="AG30" s="106" t="str">
        <f>IF(OR(ISBLANK(Term4_Day_5[[#This Row],[Start]]),ISBLANK(Term4_Day_5[[#This Row],[End]])),"",(Term4_Day_5[[#This Row],[End]]-Term4_Day_5[[#This Row],[Start]])*1440)</f>
        <v/>
      </c>
      <c r="AH30" s="106" t="str">
        <f>IF(ISBLANK(Term4_Day_5[[#This Row],[Activity]]),"",IF(_xlfn.XLOOKUP(Term4_Day_5[[#This Row],[Activity]],Types_of_Activity[Type of Activity],Types_of_Activity[Classification])=1,Term4_Day_5[[#This Row],[Elapsed]],0))</f>
        <v/>
      </c>
      <c r="AI30" s="106" t="str">
        <f>IF(ISBLANK(Term4_Day_5[[#This Row],[Activity]]),"",IF(_xlfn.XLOOKUP(Term4_Day_5[[#This Row],[Activity]],Types_of_Activity[Type of Activity],Types_of_Activity[Classification])=2,Term4_Day_5[[#This Row],[Elapsed]],0))</f>
        <v/>
      </c>
      <c r="AJ30" s="107"/>
      <c r="AK30" s="136"/>
      <c r="AL30" s="136"/>
      <c r="AM30" s="103"/>
      <c r="AN30" s="106" t="str">
        <f>IF(OR(ISBLANK(Term4_Day_6[[#This Row],[Start]]),ISBLANK(Term4_Day_6[[#This Row],[End]])),"",(Term4_Day_6[[#This Row],[End]]-Term4_Day_6[[#This Row],[Start]])*1440)</f>
        <v/>
      </c>
      <c r="AO30" s="106" t="str">
        <f>IF(ISBLANK(Term4_Day_6[[#This Row],[Activity]]),"",IF(_xlfn.XLOOKUP(Term4_Day_6[[#This Row],[Activity]],Types_of_Activity[Type of Activity],Types_of_Activity[Classification])=1,Term4_Day_6[[#This Row],[Elapsed]],0))</f>
        <v/>
      </c>
      <c r="AP30" s="106" t="str">
        <f>IF(ISBLANK(Term4_Day_6[[#This Row],[Activity]]),"",IF(_xlfn.XLOOKUP(Term4_Day_6[[#This Row],[Activity]],Types_of_Activity[Type of Activity],Types_of_Activity[Classification])=2,Term4_Day_6[[#This Row],[Elapsed]],0))</f>
        <v/>
      </c>
      <c r="AQ30" s="107"/>
      <c r="AR30" s="136"/>
      <c r="AS30" s="136"/>
      <c r="AT30" s="103"/>
      <c r="AU30" s="106" t="str">
        <f>IF(OR(ISBLANK(Term4_Day_7[[#This Row],[Start]]),ISBLANK(Term4_Day_7[[#This Row],[End]])),"",(Term4_Day_7[[#This Row],[End]]-Term4_Day_7[[#This Row],[Start]])*1440)</f>
        <v/>
      </c>
      <c r="AV30" s="106" t="str">
        <f>IF(ISBLANK(Term4_Day_7[[#This Row],[Activity]]),"",IF(_xlfn.XLOOKUP(Term4_Day_7[[#This Row],[Activity]],Types_of_Activity[Type of Activity],Types_of_Activity[Classification])=1,Term4_Day_7[[#This Row],[Elapsed]],0))</f>
        <v/>
      </c>
      <c r="AW30" s="106" t="str">
        <f>IF(ISBLANK(Term4_Day_7[[#This Row],[Activity]]),"",IF(_xlfn.XLOOKUP(Term4_Day_7[[#This Row],[Activity]],Types_of_Activity[Type of Activity],Types_of_Activity[Classification])=2,Term4_Day_7[[#This Row],[Elapsed]],0))</f>
        <v/>
      </c>
      <c r="AX30" s="107"/>
      <c r="AY30" s="136"/>
      <c r="AZ30" s="136"/>
      <c r="BA30" s="103"/>
      <c r="BB30" s="106" t="str">
        <f>IF(OR(ISBLANK(Term4_Day_8[[#This Row],[Start]]),ISBLANK(Term4_Day_8[[#This Row],[End]])),"",(Term4_Day_8[[#This Row],[End]]-Term4_Day_8[[#This Row],[Start]])*1440)</f>
        <v/>
      </c>
      <c r="BC30" s="106" t="str">
        <f>IF(ISBLANK(Term4_Day_8[[#This Row],[Activity]]),"",IF(_xlfn.XLOOKUP(Term4_Day_8[[#This Row],[Activity]],Types_of_Activity[Type of Activity],Types_of_Activity[Classification])=1,Term4_Day_8[[#This Row],[Elapsed]],0))</f>
        <v/>
      </c>
      <c r="BD30" s="106" t="str">
        <f>IF(ISBLANK(Term4_Day_8[[#This Row],[Activity]]),"",IF(_xlfn.XLOOKUP(Term4_Day_8[[#This Row],[Activity]],Types_of_Activity[Type of Activity],Types_of_Activity[Classification])=2,Term4_Day_8[[#This Row],[Elapsed]],0))</f>
        <v/>
      </c>
      <c r="BE30" s="107"/>
      <c r="BF30" s="136"/>
      <c r="BG30" s="136"/>
      <c r="BH30" s="103"/>
      <c r="BI30" s="106" t="str">
        <f>IF(OR(ISBLANK(Term4_Day_9[[#This Row],[Start]]),ISBLANK(Term4_Day_9[[#This Row],[End]])),"",(Term4_Day_9[[#This Row],[End]]-Term4_Day_9[[#This Row],[Start]])*1440)</f>
        <v/>
      </c>
      <c r="BJ30" s="106" t="str">
        <f>IF(ISBLANK(Term4_Day_9[[#This Row],[Activity]]),"",IF(_xlfn.XLOOKUP(Term4_Day_9[[#This Row],[Activity]],Types_of_Activity[Type of Activity],Types_of_Activity[Classification])=1,Term4_Day_9[[#This Row],[Elapsed]],0))</f>
        <v/>
      </c>
      <c r="BK30" s="106" t="str">
        <f>IF(ISBLANK(Term4_Day_9[[#This Row],[Activity]]),"",IF(_xlfn.XLOOKUP(Term4_Day_9[[#This Row],[Activity]],Types_of_Activity[Type of Activity],Types_of_Activity[Classification])=2,Term4_Day_9[[#This Row],[Elapsed]],0))</f>
        <v/>
      </c>
      <c r="BL30" s="107"/>
      <c r="BM30" s="136"/>
      <c r="BN30" s="136"/>
      <c r="BO30" s="103"/>
      <c r="BP30" s="106" t="str">
        <f>IF(OR(ISBLANK(Term4_Day_10[[#This Row],[Start]]),ISBLANK(Term4_Day_10[[#This Row],[End]])),"",(Term4_Day_10[[#This Row],[End]]-Term4_Day_10[[#This Row],[Start]])*1440)</f>
        <v/>
      </c>
      <c r="BQ30" s="106" t="str">
        <f>IF(ISBLANK(Term4_Day_10[[#This Row],[Activity]]),"",IF(_xlfn.XLOOKUP(Term4_Day_10[[#This Row],[Activity]],Types_of_Activity[Type of Activity],Types_of_Activity[Classification])=1,Term4_Day_10[[#This Row],[Elapsed]],0))</f>
        <v/>
      </c>
      <c r="BR30" s="106" t="str">
        <f>IF(ISBLANK(Term4_Day_10[[#This Row],[Activity]]),"",IF(_xlfn.XLOOKUP(Term4_Day_10[[#This Row],[Activity]],Types_of_Activity[Type of Activity],Types_of_Activity[Classification])=2,Term4_Day_10[[#This Row],[Elapsed]],0))</f>
        <v/>
      </c>
      <c r="BS30" s="107"/>
    </row>
    <row r="31" spans="2:71" x14ac:dyDescent="0.3">
      <c r="B31" s="136"/>
      <c r="C31" s="136"/>
      <c r="D31" s="103"/>
      <c r="E31" s="106" t="str">
        <f>IF(OR(ISBLANK(Term4_Day_1[[#This Row],[Start]]),ISBLANK(Term4_Day_1[[#This Row],[End]])),"",(Term4_Day_1[[#This Row],[End]]-Term4_Day_1[[#This Row],[Start]])*1440)</f>
        <v/>
      </c>
      <c r="F31" s="106" t="str">
        <f>IF(ISBLANK(Term4_Day_1[[#This Row],[Activity]]),"",IF(_xlfn.XLOOKUP(Term4_Day_1[[#This Row],[Activity]],Types_of_Activity[Type of Activity],Types_of_Activity[Classification])=1,Term4_Day_1[[#This Row],[Elapsed]],0))</f>
        <v/>
      </c>
      <c r="G31" s="106" t="str">
        <f>IF(ISBLANK(Term4_Day_1[[#This Row],[Activity]]),"",IF(_xlfn.XLOOKUP(Term4_Day_1[[#This Row],[Activity]],Types_of_Activity[Type of Activity],Types_of_Activity[Classification])=2,Term4_Day_1[[#This Row],[Elapsed]],0))</f>
        <v/>
      </c>
      <c r="I31" s="136"/>
      <c r="J31" s="136"/>
      <c r="K31" s="103"/>
      <c r="L31" s="106" t="str">
        <f>IF(OR(ISBLANK(Term4_Day_2[[#This Row],[Start]]),ISBLANK(Term4_Day_2[[#This Row],[End]])),"",(Term4_Day_2[[#This Row],[End]]-Term4_Day_2[[#This Row],[Start]])*1440)</f>
        <v/>
      </c>
      <c r="M31" s="106" t="str">
        <f>IF(ISBLANK(Term4_Day_2[[#This Row],[Activity]]),"",IF(_xlfn.XLOOKUP(Term4_Day_2[[#This Row],[Activity]],Types_of_Activity[Type of Activity],Types_of_Activity[Classification])=1,Term4_Day_2[[#This Row],[Elapsed]],0))</f>
        <v/>
      </c>
      <c r="N31" s="106" t="str">
        <f>IF(ISBLANK(Term4_Day_2[[#This Row],[Activity]]),"",IF(_xlfn.XLOOKUP(Term4_Day_2[[#This Row],[Activity]],Types_of_Activity[Type of Activity],Types_of_Activity[Classification])=2,Term4_Day_2[[#This Row],[Elapsed]],0))</f>
        <v/>
      </c>
      <c r="P31" s="136"/>
      <c r="Q31" s="136"/>
      <c r="R31" s="103"/>
      <c r="S31" s="106" t="str">
        <f>IF(OR(ISBLANK(Term4_Day_3[[#This Row],[Start]]),ISBLANK(Term4_Day_3[[#This Row],[End]])),"",(Term4_Day_3[[#This Row],[End]]-Term4_Day_3[[#This Row],[Start]])*1440)</f>
        <v/>
      </c>
      <c r="T31" s="106" t="str">
        <f>IF(ISBLANK(Term4_Day_3[[#This Row],[Activity]]),"",IF(_xlfn.XLOOKUP(Term4_Day_3[[#This Row],[Activity]],Types_of_Activity[Type of Activity],Types_of_Activity[Classification])=1,Term4_Day_3[[#This Row],[Elapsed]],0))</f>
        <v/>
      </c>
      <c r="U31" s="106" t="str">
        <f>IF(ISBLANK(Term4_Day_3[[#This Row],[Activity]]),"",IF(_xlfn.XLOOKUP(Term4_Day_3[[#This Row],[Activity]],Types_of_Activity[Type of Activity],Types_of_Activity[Classification])=2,Term4_Day_3[[#This Row],[Elapsed]],0))</f>
        <v/>
      </c>
      <c r="W31" s="136"/>
      <c r="X31" s="136"/>
      <c r="Y31" s="103"/>
      <c r="Z31" s="106" t="str">
        <f>IF(OR(ISBLANK(Term4_Day_4[[#This Row],[Start]]),ISBLANK(Term4_Day_4[[#This Row],[End]])),"",(Term4_Day_4[[#This Row],[End]]-Term4_Day_4[[#This Row],[Start]])*1440)</f>
        <v/>
      </c>
      <c r="AA31" s="106" t="str">
        <f>IF(ISBLANK(Term4_Day_4[[#This Row],[Activity]]),"",IF(_xlfn.XLOOKUP(Term4_Day_4[[#This Row],[Activity]],Types_of_Activity[Type of Activity],Types_of_Activity[Classification])=1,Term4_Day_4[[#This Row],[Elapsed]],0))</f>
        <v/>
      </c>
      <c r="AB31" s="106" t="str">
        <f>IF(ISBLANK(Term4_Day_4[[#This Row],[Activity]]),"",IF(_xlfn.XLOOKUP(Term4_Day_4[[#This Row],[Activity]],Types_of_Activity[Type of Activity],Types_of_Activity[Classification])=2,Term4_Day_4[[#This Row],[Elapsed]],0))</f>
        <v/>
      </c>
      <c r="AD31" s="136"/>
      <c r="AE31" s="136"/>
      <c r="AF31" s="103"/>
      <c r="AG31" s="106" t="str">
        <f>IF(OR(ISBLANK(Term4_Day_5[[#This Row],[Start]]),ISBLANK(Term4_Day_5[[#This Row],[End]])),"",(Term4_Day_5[[#This Row],[End]]-Term4_Day_5[[#This Row],[Start]])*1440)</f>
        <v/>
      </c>
      <c r="AH31" s="106" t="str">
        <f>IF(ISBLANK(Term4_Day_5[[#This Row],[Activity]]),"",IF(_xlfn.XLOOKUP(Term4_Day_5[[#This Row],[Activity]],Types_of_Activity[Type of Activity],Types_of_Activity[Classification])=1,Term4_Day_5[[#This Row],[Elapsed]],0))</f>
        <v/>
      </c>
      <c r="AI31" s="106" t="str">
        <f>IF(ISBLANK(Term4_Day_5[[#This Row],[Activity]]),"",IF(_xlfn.XLOOKUP(Term4_Day_5[[#This Row],[Activity]],Types_of_Activity[Type of Activity],Types_of_Activity[Classification])=2,Term4_Day_5[[#This Row],[Elapsed]],0))</f>
        <v/>
      </c>
      <c r="AJ31" s="107"/>
      <c r="AK31" s="136"/>
      <c r="AL31" s="136"/>
      <c r="AM31" s="103"/>
      <c r="AN31" s="106" t="str">
        <f>IF(OR(ISBLANK(Term4_Day_6[[#This Row],[Start]]),ISBLANK(Term4_Day_6[[#This Row],[End]])),"",(Term4_Day_6[[#This Row],[End]]-Term4_Day_6[[#This Row],[Start]])*1440)</f>
        <v/>
      </c>
      <c r="AO31" s="106" t="str">
        <f>IF(ISBLANK(Term4_Day_6[[#This Row],[Activity]]),"",IF(_xlfn.XLOOKUP(Term4_Day_6[[#This Row],[Activity]],Types_of_Activity[Type of Activity],Types_of_Activity[Classification])=1,Term4_Day_6[[#This Row],[Elapsed]],0))</f>
        <v/>
      </c>
      <c r="AP31" s="106" t="str">
        <f>IF(ISBLANK(Term4_Day_6[[#This Row],[Activity]]),"",IF(_xlfn.XLOOKUP(Term4_Day_6[[#This Row],[Activity]],Types_of_Activity[Type of Activity],Types_of_Activity[Classification])=2,Term4_Day_6[[#This Row],[Elapsed]],0))</f>
        <v/>
      </c>
      <c r="AQ31" s="107"/>
      <c r="AR31" s="136"/>
      <c r="AS31" s="136"/>
      <c r="AT31" s="103"/>
      <c r="AU31" s="106" t="str">
        <f>IF(OR(ISBLANK(Term4_Day_7[[#This Row],[Start]]),ISBLANK(Term4_Day_7[[#This Row],[End]])),"",(Term4_Day_7[[#This Row],[End]]-Term4_Day_7[[#This Row],[Start]])*1440)</f>
        <v/>
      </c>
      <c r="AV31" s="106" t="str">
        <f>IF(ISBLANK(Term4_Day_7[[#This Row],[Activity]]),"",IF(_xlfn.XLOOKUP(Term4_Day_7[[#This Row],[Activity]],Types_of_Activity[Type of Activity],Types_of_Activity[Classification])=1,Term4_Day_7[[#This Row],[Elapsed]],0))</f>
        <v/>
      </c>
      <c r="AW31" s="106" t="str">
        <f>IF(ISBLANK(Term4_Day_7[[#This Row],[Activity]]),"",IF(_xlfn.XLOOKUP(Term4_Day_7[[#This Row],[Activity]],Types_of_Activity[Type of Activity],Types_of_Activity[Classification])=2,Term4_Day_7[[#This Row],[Elapsed]],0))</f>
        <v/>
      </c>
      <c r="AX31" s="107"/>
      <c r="AY31" s="136"/>
      <c r="AZ31" s="136"/>
      <c r="BA31" s="103"/>
      <c r="BB31" s="106" t="str">
        <f>IF(OR(ISBLANK(Term4_Day_8[[#This Row],[Start]]),ISBLANK(Term4_Day_8[[#This Row],[End]])),"",(Term4_Day_8[[#This Row],[End]]-Term4_Day_8[[#This Row],[Start]])*1440)</f>
        <v/>
      </c>
      <c r="BC31" s="106" t="str">
        <f>IF(ISBLANK(Term4_Day_8[[#This Row],[Activity]]),"",IF(_xlfn.XLOOKUP(Term4_Day_8[[#This Row],[Activity]],Types_of_Activity[Type of Activity],Types_of_Activity[Classification])=1,Term4_Day_8[[#This Row],[Elapsed]],0))</f>
        <v/>
      </c>
      <c r="BD31" s="106" t="str">
        <f>IF(ISBLANK(Term4_Day_8[[#This Row],[Activity]]),"",IF(_xlfn.XLOOKUP(Term4_Day_8[[#This Row],[Activity]],Types_of_Activity[Type of Activity],Types_of_Activity[Classification])=2,Term4_Day_8[[#This Row],[Elapsed]],0))</f>
        <v/>
      </c>
      <c r="BE31" s="107"/>
      <c r="BF31" s="136"/>
      <c r="BG31" s="136"/>
      <c r="BH31" s="103"/>
      <c r="BI31" s="106" t="str">
        <f>IF(OR(ISBLANK(Term4_Day_9[[#This Row],[Start]]),ISBLANK(Term4_Day_9[[#This Row],[End]])),"",(Term4_Day_9[[#This Row],[End]]-Term4_Day_9[[#This Row],[Start]])*1440)</f>
        <v/>
      </c>
      <c r="BJ31" s="106" t="str">
        <f>IF(ISBLANK(Term4_Day_9[[#This Row],[Activity]]),"",IF(_xlfn.XLOOKUP(Term4_Day_9[[#This Row],[Activity]],Types_of_Activity[Type of Activity],Types_of_Activity[Classification])=1,Term4_Day_9[[#This Row],[Elapsed]],0))</f>
        <v/>
      </c>
      <c r="BK31" s="106" t="str">
        <f>IF(ISBLANK(Term4_Day_9[[#This Row],[Activity]]),"",IF(_xlfn.XLOOKUP(Term4_Day_9[[#This Row],[Activity]],Types_of_Activity[Type of Activity],Types_of_Activity[Classification])=2,Term4_Day_9[[#This Row],[Elapsed]],0))</f>
        <v/>
      </c>
      <c r="BL31" s="107"/>
      <c r="BM31" s="136"/>
      <c r="BN31" s="136"/>
      <c r="BO31" s="103"/>
      <c r="BP31" s="106" t="str">
        <f>IF(OR(ISBLANK(Term4_Day_10[[#This Row],[Start]]),ISBLANK(Term4_Day_10[[#This Row],[End]])),"",(Term4_Day_10[[#This Row],[End]]-Term4_Day_10[[#This Row],[Start]])*1440)</f>
        <v/>
      </c>
      <c r="BQ31" s="106" t="str">
        <f>IF(ISBLANK(Term4_Day_10[[#This Row],[Activity]]),"",IF(_xlfn.XLOOKUP(Term4_Day_10[[#This Row],[Activity]],Types_of_Activity[Type of Activity],Types_of_Activity[Classification])=1,Term4_Day_10[[#This Row],[Elapsed]],0))</f>
        <v/>
      </c>
      <c r="BR31" s="106" t="str">
        <f>IF(ISBLANK(Term4_Day_10[[#This Row],[Activity]]),"",IF(_xlfn.XLOOKUP(Term4_Day_10[[#This Row],[Activity]],Types_of_Activity[Type of Activity],Types_of_Activity[Classification])=2,Term4_Day_10[[#This Row],[Elapsed]],0))</f>
        <v/>
      </c>
      <c r="BS31" s="107"/>
    </row>
    <row r="32" spans="2:71" x14ac:dyDescent="0.3">
      <c r="B32" s="136"/>
      <c r="C32" s="136"/>
      <c r="D32" s="103"/>
      <c r="E32" s="106" t="str">
        <f>IF(OR(ISBLANK(Term4_Day_1[[#This Row],[Start]]),ISBLANK(Term4_Day_1[[#This Row],[End]])),"",(Term4_Day_1[[#This Row],[End]]-Term4_Day_1[[#This Row],[Start]])*1440)</f>
        <v/>
      </c>
      <c r="F32" s="106" t="str">
        <f>IF(ISBLANK(Term4_Day_1[[#This Row],[Activity]]),"",IF(_xlfn.XLOOKUP(Term4_Day_1[[#This Row],[Activity]],Types_of_Activity[Type of Activity],Types_of_Activity[Classification])=1,Term4_Day_1[[#This Row],[Elapsed]],0))</f>
        <v/>
      </c>
      <c r="G32" s="106" t="str">
        <f>IF(ISBLANK(Term4_Day_1[[#This Row],[Activity]]),"",IF(_xlfn.XLOOKUP(Term4_Day_1[[#This Row],[Activity]],Types_of_Activity[Type of Activity],Types_of_Activity[Classification])=2,Term4_Day_1[[#This Row],[Elapsed]],0))</f>
        <v/>
      </c>
      <c r="I32" s="136"/>
      <c r="J32" s="136"/>
      <c r="K32" s="103"/>
      <c r="L32" s="106" t="str">
        <f>IF(OR(ISBLANK(Term4_Day_2[[#This Row],[Start]]),ISBLANK(Term4_Day_2[[#This Row],[End]])),"",(Term4_Day_2[[#This Row],[End]]-Term4_Day_2[[#This Row],[Start]])*1440)</f>
        <v/>
      </c>
      <c r="M32" s="106" t="str">
        <f>IF(ISBLANK(Term4_Day_2[[#This Row],[Activity]]),"",IF(_xlfn.XLOOKUP(Term4_Day_2[[#This Row],[Activity]],Types_of_Activity[Type of Activity],Types_of_Activity[Classification])=1,Term4_Day_2[[#This Row],[Elapsed]],0))</f>
        <v/>
      </c>
      <c r="N32" s="106" t="str">
        <f>IF(ISBLANK(Term4_Day_2[[#This Row],[Activity]]),"",IF(_xlfn.XLOOKUP(Term4_Day_2[[#This Row],[Activity]],Types_of_Activity[Type of Activity],Types_of_Activity[Classification])=2,Term4_Day_2[[#This Row],[Elapsed]],0))</f>
        <v/>
      </c>
      <c r="P32" s="136"/>
      <c r="Q32" s="136"/>
      <c r="R32" s="103"/>
      <c r="S32" s="106" t="str">
        <f>IF(OR(ISBLANK(Term4_Day_3[[#This Row],[Start]]),ISBLANK(Term4_Day_3[[#This Row],[End]])),"",(Term4_Day_3[[#This Row],[End]]-Term4_Day_3[[#This Row],[Start]])*1440)</f>
        <v/>
      </c>
      <c r="T32" s="106" t="str">
        <f>IF(ISBLANK(Term4_Day_3[[#This Row],[Activity]]),"",IF(_xlfn.XLOOKUP(Term4_Day_3[[#This Row],[Activity]],Types_of_Activity[Type of Activity],Types_of_Activity[Classification])=1,Term4_Day_3[[#This Row],[Elapsed]],0))</f>
        <v/>
      </c>
      <c r="U32" s="106" t="str">
        <f>IF(ISBLANK(Term4_Day_3[[#This Row],[Activity]]),"",IF(_xlfn.XLOOKUP(Term4_Day_3[[#This Row],[Activity]],Types_of_Activity[Type of Activity],Types_of_Activity[Classification])=2,Term4_Day_3[[#This Row],[Elapsed]],0))</f>
        <v/>
      </c>
      <c r="W32" s="136"/>
      <c r="X32" s="136"/>
      <c r="Y32" s="103"/>
      <c r="Z32" s="106" t="str">
        <f>IF(OR(ISBLANK(Term4_Day_4[[#This Row],[Start]]),ISBLANK(Term4_Day_4[[#This Row],[End]])),"",(Term4_Day_4[[#This Row],[End]]-Term4_Day_4[[#This Row],[Start]])*1440)</f>
        <v/>
      </c>
      <c r="AA32" s="106" t="str">
        <f>IF(ISBLANK(Term4_Day_4[[#This Row],[Activity]]),"",IF(_xlfn.XLOOKUP(Term4_Day_4[[#This Row],[Activity]],Types_of_Activity[Type of Activity],Types_of_Activity[Classification])=1,Term4_Day_4[[#This Row],[Elapsed]],0))</f>
        <v/>
      </c>
      <c r="AB32" s="106" t="str">
        <f>IF(ISBLANK(Term4_Day_4[[#This Row],[Activity]]),"",IF(_xlfn.XLOOKUP(Term4_Day_4[[#This Row],[Activity]],Types_of_Activity[Type of Activity],Types_of_Activity[Classification])=2,Term4_Day_4[[#This Row],[Elapsed]],0))</f>
        <v/>
      </c>
      <c r="AD32" s="136"/>
      <c r="AE32" s="136"/>
      <c r="AF32" s="103"/>
      <c r="AG32" s="106" t="str">
        <f>IF(OR(ISBLANK(Term4_Day_5[[#This Row],[Start]]),ISBLANK(Term4_Day_5[[#This Row],[End]])),"",(Term4_Day_5[[#This Row],[End]]-Term4_Day_5[[#This Row],[Start]])*1440)</f>
        <v/>
      </c>
      <c r="AH32" s="106" t="str">
        <f>IF(ISBLANK(Term4_Day_5[[#This Row],[Activity]]),"",IF(_xlfn.XLOOKUP(Term4_Day_5[[#This Row],[Activity]],Types_of_Activity[Type of Activity],Types_of_Activity[Classification])=1,Term4_Day_5[[#This Row],[Elapsed]],0))</f>
        <v/>
      </c>
      <c r="AI32" s="106" t="str">
        <f>IF(ISBLANK(Term4_Day_5[[#This Row],[Activity]]),"",IF(_xlfn.XLOOKUP(Term4_Day_5[[#This Row],[Activity]],Types_of_Activity[Type of Activity],Types_of_Activity[Classification])=2,Term4_Day_5[[#This Row],[Elapsed]],0))</f>
        <v/>
      </c>
      <c r="AJ32" s="107"/>
      <c r="AK32" s="136"/>
      <c r="AL32" s="136"/>
      <c r="AM32" s="103"/>
      <c r="AN32" s="106" t="str">
        <f>IF(OR(ISBLANK(Term4_Day_6[[#This Row],[Start]]),ISBLANK(Term4_Day_6[[#This Row],[End]])),"",(Term4_Day_6[[#This Row],[End]]-Term4_Day_6[[#This Row],[Start]])*1440)</f>
        <v/>
      </c>
      <c r="AO32" s="106" t="str">
        <f>IF(ISBLANK(Term4_Day_6[[#This Row],[Activity]]),"",IF(_xlfn.XLOOKUP(Term4_Day_6[[#This Row],[Activity]],Types_of_Activity[Type of Activity],Types_of_Activity[Classification])=1,Term4_Day_6[[#This Row],[Elapsed]],0))</f>
        <v/>
      </c>
      <c r="AP32" s="106" t="str">
        <f>IF(ISBLANK(Term4_Day_6[[#This Row],[Activity]]),"",IF(_xlfn.XLOOKUP(Term4_Day_6[[#This Row],[Activity]],Types_of_Activity[Type of Activity],Types_of_Activity[Classification])=2,Term4_Day_6[[#This Row],[Elapsed]],0))</f>
        <v/>
      </c>
      <c r="AQ32" s="107"/>
      <c r="AR32" s="136"/>
      <c r="AS32" s="136"/>
      <c r="AT32" s="103"/>
      <c r="AU32" s="106" t="str">
        <f>IF(OR(ISBLANK(Term4_Day_7[[#This Row],[Start]]),ISBLANK(Term4_Day_7[[#This Row],[End]])),"",(Term4_Day_7[[#This Row],[End]]-Term4_Day_7[[#This Row],[Start]])*1440)</f>
        <v/>
      </c>
      <c r="AV32" s="106" t="str">
        <f>IF(ISBLANK(Term4_Day_7[[#This Row],[Activity]]),"",IF(_xlfn.XLOOKUP(Term4_Day_7[[#This Row],[Activity]],Types_of_Activity[Type of Activity],Types_of_Activity[Classification])=1,Term4_Day_7[[#This Row],[Elapsed]],0))</f>
        <v/>
      </c>
      <c r="AW32" s="106" t="str">
        <f>IF(ISBLANK(Term4_Day_7[[#This Row],[Activity]]),"",IF(_xlfn.XLOOKUP(Term4_Day_7[[#This Row],[Activity]],Types_of_Activity[Type of Activity],Types_of_Activity[Classification])=2,Term4_Day_7[[#This Row],[Elapsed]],0))</f>
        <v/>
      </c>
      <c r="AX32" s="107"/>
      <c r="AY32" s="136"/>
      <c r="AZ32" s="136"/>
      <c r="BA32" s="103"/>
      <c r="BB32" s="106" t="str">
        <f>IF(OR(ISBLANK(Term4_Day_8[[#This Row],[Start]]),ISBLANK(Term4_Day_8[[#This Row],[End]])),"",(Term4_Day_8[[#This Row],[End]]-Term4_Day_8[[#This Row],[Start]])*1440)</f>
        <v/>
      </c>
      <c r="BC32" s="106" t="str">
        <f>IF(ISBLANK(Term4_Day_8[[#This Row],[Activity]]),"",IF(_xlfn.XLOOKUP(Term4_Day_8[[#This Row],[Activity]],Types_of_Activity[Type of Activity],Types_of_Activity[Classification])=1,Term4_Day_8[[#This Row],[Elapsed]],0))</f>
        <v/>
      </c>
      <c r="BD32" s="106" t="str">
        <f>IF(ISBLANK(Term4_Day_8[[#This Row],[Activity]]),"",IF(_xlfn.XLOOKUP(Term4_Day_8[[#This Row],[Activity]],Types_of_Activity[Type of Activity],Types_of_Activity[Classification])=2,Term4_Day_8[[#This Row],[Elapsed]],0))</f>
        <v/>
      </c>
      <c r="BE32" s="107"/>
      <c r="BF32" s="136"/>
      <c r="BG32" s="136"/>
      <c r="BH32" s="103"/>
      <c r="BI32" s="106" t="str">
        <f>IF(OR(ISBLANK(Term4_Day_9[[#This Row],[Start]]),ISBLANK(Term4_Day_9[[#This Row],[End]])),"",(Term4_Day_9[[#This Row],[End]]-Term4_Day_9[[#This Row],[Start]])*1440)</f>
        <v/>
      </c>
      <c r="BJ32" s="106" t="str">
        <f>IF(ISBLANK(Term4_Day_9[[#This Row],[Activity]]),"",IF(_xlfn.XLOOKUP(Term4_Day_9[[#This Row],[Activity]],Types_of_Activity[Type of Activity],Types_of_Activity[Classification])=1,Term4_Day_9[[#This Row],[Elapsed]],0))</f>
        <v/>
      </c>
      <c r="BK32" s="106" t="str">
        <f>IF(ISBLANK(Term4_Day_9[[#This Row],[Activity]]),"",IF(_xlfn.XLOOKUP(Term4_Day_9[[#This Row],[Activity]],Types_of_Activity[Type of Activity],Types_of_Activity[Classification])=2,Term4_Day_9[[#This Row],[Elapsed]],0))</f>
        <v/>
      </c>
      <c r="BL32" s="107"/>
      <c r="BM32" s="136"/>
      <c r="BN32" s="136"/>
      <c r="BO32" s="103"/>
      <c r="BP32" s="106" t="str">
        <f>IF(OR(ISBLANK(Term4_Day_10[[#This Row],[Start]]),ISBLANK(Term4_Day_10[[#This Row],[End]])),"",(Term4_Day_10[[#This Row],[End]]-Term4_Day_10[[#This Row],[Start]])*1440)</f>
        <v/>
      </c>
      <c r="BQ32" s="106" t="str">
        <f>IF(ISBLANK(Term4_Day_10[[#This Row],[Activity]]),"",IF(_xlfn.XLOOKUP(Term4_Day_10[[#This Row],[Activity]],Types_of_Activity[Type of Activity],Types_of_Activity[Classification])=1,Term4_Day_10[[#This Row],[Elapsed]],0))</f>
        <v/>
      </c>
      <c r="BR32" s="106" t="str">
        <f>IF(ISBLANK(Term4_Day_10[[#This Row],[Activity]]),"",IF(_xlfn.XLOOKUP(Term4_Day_10[[#This Row],[Activity]],Types_of_Activity[Type of Activity],Types_of_Activity[Classification])=2,Term4_Day_10[[#This Row],[Elapsed]],0))</f>
        <v/>
      </c>
      <c r="BS32" s="107"/>
    </row>
    <row r="33" spans="2:71" x14ac:dyDescent="0.3">
      <c r="B33" s="136"/>
      <c r="C33" s="136"/>
      <c r="D33" s="103"/>
      <c r="E33" s="106" t="str">
        <f>IF(OR(ISBLANK(Term4_Day_1[[#This Row],[Start]]),ISBLANK(Term4_Day_1[[#This Row],[End]])),"",(Term4_Day_1[[#This Row],[End]]-Term4_Day_1[[#This Row],[Start]])*1440)</f>
        <v/>
      </c>
      <c r="F33" s="106" t="str">
        <f>IF(ISBLANK(Term4_Day_1[[#This Row],[Activity]]),"",IF(_xlfn.XLOOKUP(Term4_Day_1[[#This Row],[Activity]],Types_of_Activity[Type of Activity],Types_of_Activity[Classification])=1,Term4_Day_1[[#This Row],[Elapsed]],0))</f>
        <v/>
      </c>
      <c r="G33" s="106" t="str">
        <f>IF(ISBLANK(Term4_Day_1[[#This Row],[Activity]]),"",IF(_xlfn.XLOOKUP(Term4_Day_1[[#This Row],[Activity]],Types_of_Activity[Type of Activity],Types_of_Activity[Classification])=2,Term4_Day_1[[#This Row],[Elapsed]],0))</f>
        <v/>
      </c>
      <c r="I33" s="136"/>
      <c r="J33" s="136"/>
      <c r="K33" s="103"/>
      <c r="L33" s="106" t="str">
        <f>IF(OR(ISBLANK(Term4_Day_2[[#This Row],[Start]]),ISBLANK(Term4_Day_2[[#This Row],[End]])),"",(Term4_Day_2[[#This Row],[End]]-Term4_Day_2[[#This Row],[Start]])*1440)</f>
        <v/>
      </c>
      <c r="M33" s="106" t="str">
        <f>IF(ISBLANK(Term4_Day_2[[#This Row],[Activity]]),"",IF(_xlfn.XLOOKUP(Term4_Day_2[[#This Row],[Activity]],Types_of_Activity[Type of Activity],Types_of_Activity[Classification])=1,Term4_Day_2[[#This Row],[Elapsed]],0))</f>
        <v/>
      </c>
      <c r="N33" s="106" t="str">
        <f>IF(ISBLANK(Term4_Day_2[[#This Row],[Activity]]),"",IF(_xlfn.XLOOKUP(Term4_Day_2[[#This Row],[Activity]],Types_of_Activity[Type of Activity],Types_of_Activity[Classification])=2,Term4_Day_2[[#This Row],[Elapsed]],0))</f>
        <v/>
      </c>
      <c r="P33" s="136"/>
      <c r="Q33" s="136"/>
      <c r="R33" s="103"/>
      <c r="S33" s="106" t="str">
        <f>IF(OR(ISBLANK(Term4_Day_3[[#This Row],[Start]]),ISBLANK(Term4_Day_3[[#This Row],[End]])),"",(Term4_Day_3[[#This Row],[End]]-Term4_Day_3[[#This Row],[Start]])*1440)</f>
        <v/>
      </c>
      <c r="T33" s="106" t="str">
        <f>IF(ISBLANK(Term4_Day_3[[#This Row],[Activity]]),"",IF(_xlfn.XLOOKUP(Term4_Day_3[[#This Row],[Activity]],Types_of_Activity[Type of Activity],Types_of_Activity[Classification])=1,Term4_Day_3[[#This Row],[Elapsed]],0))</f>
        <v/>
      </c>
      <c r="U33" s="106" t="str">
        <f>IF(ISBLANK(Term4_Day_3[[#This Row],[Activity]]),"",IF(_xlfn.XLOOKUP(Term4_Day_3[[#This Row],[Activity]],Types_of_Activity[Type of Activity],Types_of_Activity[Classification])=2,Term4_Day_3[[#This Row],[Elapsed]],0))</f>
        <v/>
      </c>
      <c r="W33" s="136"/>
      <c r="X33" s="136"/>
      <c r="Y33" s="103"/>
      <c r="Z33" s="106" t="str">
        <f>IF(OR(ISBLANK(Term4_Day_4[[#This Row],[Start]]),ISBLANK(Term4_Day_4[[#This Row],[End]])),"",(Term4_Day_4[[#This Row],[End]]-Term4_Day_4[[#This Row],[Start]])*1440)</f>
        <v/>
      </c>
      <c r="AA33" s="106" t="str">
        <f>IF(ISBLANK(Term4_Day_4[[#This Row],[Activity]]),"",IF(_xlfn.XLOOKUP(Term4_Day_4[[#This Row],[Activity]],Types_of_Activity[Type of Activity],Types_of_Activity[Classification])=1,Term4_Day_4[[#This Row],[Elapsed]],0))</f>
        <v/>
      </c>
      <c r="AB33" s="106" t="str">
        <f>IF(ISBLANK(Term4_Day_4[[#This Row],[Activity]]),"",IF(_xlfn.XLOOKUP(Term4_Day_4[[#This Row],[Activity]],Types_of_Activity[Type of Activity],Types_of_Activity[Classification])=2,Term4_Day_4[[#This Row],[Elapsed]],0))</f>
        <v/>
      </c>
      <c r="AD33" s="136"/>
      <c r="AE33" s="136"/>
      <c r="AF33" s="103"/>
      <c r="AG33" s="106" t="str">
        <f>IF(OR(ISBLANK(Term4_Day_5[[#This Row],[Start]]),ISBLANK(Term4_Day_5[[#This Row],[End]])),"",(Term4_Day_5[[#This Row],[End]]-Term4_Day_5[[#This Row],[Start]])*1440)</f>
        <v/>
      </c>
      <c r="AH33" s="106" t="str">
        <f>IF(ISBLANK(Term4_Day_5[[#This Row],[Activity]]),"",IF(_xlfn.XLOOKUP(Term4_Day_5[[#This Row],[Activity]],Types_of_Activity[Type of Activity],Types_of_Activity[Classification])=1,Term4_Day_5[[#This Row],[Elapsed]],0))</f>
        <v/>
      </c>
      <c r="AI33" s="106" t="str">
        <f>IF(ISBLANK(Term4_Day_5[[#This Row],[Activity]]),"",IF(_xlfn.XLOOKUP(Term4_Day_5[[#This Row],[Activity]],Types_of_Activity[Type of Activity],Types_of_Activity[Classification])=2,Term4_Day_5[[#This Row],[Elapsed]],0))</f>
        <v/>
      </c>
      <c r="AJ33" s="107"/>
      <c r="AK33" s="136"/>
      <c r="AL33" s="136"/>
      <c r="AM33" s="103"/>
      <c r="AN33" s="106" t="str">
        <f>IF(OR(ISBLANK(Term4_Day_6[[#This Row],[Start]]),ISBLANK(Term4_Day_6[[#This Row],[End]])),"",(Term4_Day_6[[#This Row],[End]]-Term4_Day_6[[#This Row],[Start]])*1440)</f>
        <v/>
      </c>
      <c r="AO33" s="106" t="str">
        <f>IF(ISBLANK(Term4_Day_6[[#This Row],[Activity]]),"",IF(_xlfn.XLOOKUP(Term4_Day_6[[#This Row],[Activity]],Types_of_Activity[Type of Activity],Types_of_Activity[Classification])=1,Term4_Day_6[[#This Row],[Elapsed]],0))</f>
        <v/>
      </c>
      <c r="AP33" s="106" t="str">
        <f>IF(ISBLANK(Term4_Day_6[[#This Row],[Activity]]),"",IF(_xlfn.XLOOKUP(Term4_Day_6[[#This Row],[Activity]],Types_of_Activity[Type of Activity],Types_of_Activity[Classification])=2,Term4_Day_6[[#This Row],[Elapsed]],0))</f>
        <v/>
      </c>
      <c r="AQ33" s="107"/>
      <c r="AR33" s="136"/>
      <c r="AS33" s="136"/>
      <c r="AT33" s="103"/>
      <c r="AU33" s="106" t="str">
        <f>IF(OR(ISBLANK(Term4_Day_7[[#This Row],[Start]]),ISBLANK(Term4_Day_7[[#This Row],[End]])),"",(Term4_Day_7[[#This Row],[End]]-Term4_Day_7[[#This Row],[Start]])*1440)</f>
        <v/>
      </c>
      <c r="AV33" s="106" t="str">
        <f>IF(ISBLANK(Term4_Day_7[[#This Row],[Activity]]),"",IF(_xlfn.XLOOKUP(Term4_Day_7[[#This Row],[Activity]],Types_of_Activity[Type of Activity],Types_of_Activity[Classification])=1,Term4_Day_7[[#This Row],[Elapsed]],0))</f>
        <v/>
      </c>
      <c r="AW33" s="106" t="str">
        <f>IF(ISBLANK(Term4_Day_7[[#This Row],[Activity]]),"",IF(_xlfn.XLOOKUP(Term4_Day_7[[#This Row],[Activity]],Types_of_Activity[Type of Activity],Types_of_Activity[Classification])=2,Term4_Day_7[[#This Row],[Elapsed]],0))</f>
        <v/>
      </c>
      <c r="AX33" s="107"/>
      <c r="AY33" s="136"/>
      <c r="AZ33" s="136"/>
      <c r="BA33" s="103"/>
      <c r="BB33" s="106" t="str">
        <f>IF(OR(ISBLANK(Term4_Day_8[[#This Row],[Start]]),ISBLANK(Term4_Day_8[[#This Row],[End]])),"",(Term4_Day_8[[#This Row],[End]]-Term4_Day_8[[#This Row],[Start]])*1440)</f>
        <v/>
      </c>
      <c r="BC33" s="106" t="str">
        <f>IF(ISBLANK(Term4_Day_8[[#This Row],[Activity]]),"",IF(_xlfn.XLOOKUP(Term4_Day_8[[#This Row],[Activity]],Types_of_Activity[Type of Activity],Types_of_Activity[Classification])=1,Term4_Day_8[[#This Row],[Elapsed]],0))</f>
        <v/>
      </c>
      <c r="BD33" s="106" t="str">
        <f>IF(ISBLANK(Term4_Day_8[[#This Row],[Activity]]),"",IF(_xlfn.XLOOKUP(Term4_Day_8[[#This Row],[Activity]],Types_of_Activity[Type of Activity],Types_of_Activity[Classification])=2,Term4_Day_8[[#This Row],[Elapsed]],0))</f>
        <v/>
      </c>
      <c r="BE33" s="107"/>
      <c r="BF33" s="136"/>
      <c r="BG33" s="136"/>
      <c r="BH33" s="103"/>
      <c r="BI33" s="106" t="str">
        <f>IF(OR(ISBLANK(Term4_Day_9[[#This Row],[Start]]),ISBLANK(Term4_Day_9[[#This Row],[End]])),"",(Term4_Day_9[[#This Row],[End]]-Term4_Day_9[[#This Row],[Start]])*1440)</f>
        <v/>
      </c>
      <c r="BJ33" s="106" t="str">
        <f>IF(ISBLANK(Term4_Day_9[[#This Row],[Activity]]),"",IF(_xlfn.XLOOKUP(Term4_Day_9[[#This Row],[Activity]],Types_of_Activity[Type of Activity],Types_of_Activity[Classification])=1,Term4_Day_9[[#This Row],[Elapsed]],0))</f>
        <v/>
      </c>
      <c r="BK33" s="106" t="str">
        <f>IF(ISBLANK(Term4_Day_9[[#This Row],[Activity]]),"",IF(_xlfn.XLOOKUP(Term4_Day_9[[#This Row],[Activity]],Types_of_Activity[Type of Activity],Types_of_Activity[Classification])=2,Term4_Day_9[[#This Row],[Elapsed]],0))</f>
        <v/>
      </c>
      <c r="BL33" s="107"/>
      <c r="BM33" s="136"/>
      <c r="BN33" s="136"/>
      <c r="BO33" s="103"/>
      <c r="BP33" s="106" t="str">
        <f>IF(OR(ISBLANK(Term4_Day_10[[#This Row],[Start]]),ISBLANK(Term4_Day_10[[#This Row],[End]])),"",(Term4_Day_10[[#This Row],[End]]-Term4_Day_10[[#This Row],[Start]])*1440)</f>
        <v/>
      </c>
      <c r="BQ33" s="106" t="str">
        <f>IF(ISBLANK(Term4_Day_10[[#This Row],[Activity]]),"",IF(_xlfn.XLOOKUP(Term4_Day_10[[#This Row],[Activity]],Types_of_Activity[Type of Activity],Types_of_Activity[Classification])=1,Term4_Day_10[[#This Row],[Elapsed]],0))</f>
        <v/>
      </c>
      <c r="BR33" s="106" t="str">
        <f>IF(ISBLANK(Term4_Day_10[[#This Row],[Activity]]),"",IF(_xlfn.XLOOKUP(Term4_Day_10[[#This Row],[Activity]],Types_of_Activity[Type of Activity],Types_of_Activity[Classification])=2,Term4_Day_10[[#This Row],[Elapsed]],0))</f>
        <v/>
      </c>
      <c r="BS33" s="107"/>
    </row>
    <row r="34" spans="2:71" x14ac:dyDescent="0.3">
      <c r="B34" s="136"/>
      <c r="C34" s="136"/>
      <c r="D34" s="103"/>
      <c r="E34" s="106" t="str">
        <f>IF(OR(ISBLANK(Term4_Day_1[[#This Row],[Start]]),ISBLANK(Term4_Day_1[[#This Row],[End]])),"",(Term4_Day_1[[#This Row],[End]]-Term4_Day_1[[#This Row],[Start]])*1440)</f>
        <v/>
      </c>
      <c r="F34" s="106" t="str">
        <f>IF(ISBLANK(Term4_Day_1[[#This Row],[Activity]]),"",IF(_xlfn.XLOOKUP(Term4_Day_1[[#This Row],[Activity]],Types_of_Activity[Type of Activity],Types_of_Activity[Classification])=1,Term4_Day_1[[#This Row],[Elapsed]],0))</f>
        <v/>
      </c>
      <c r="G34" s="106" t="str">
        <f>IF(ISBLANK(Term4_Day_1[[#This Row],[Activity]]),"",IF(_xlfn.XLOOKUP(Term4_Day_1[[#This Row],[Activity]],Types_of_Activity[Type of Activity],Types_of_Activity[Classification])=2,Term4_Day_1[[#This Row],[Elapsed]],0))</f>
        <v/>
      </c>
      <c r="I34" s="136"/>
      <c r="J34" s="136"/>
      <c r="K34" s="103"/>
      <c r="L34" s="106" t="str">
        <f>IF(OR(ISBLANK(Term4_Day_2[[#This Row],[Start]]),ISBLANK(Term4_Day_2[[#This Row],[End]])),"",(Term4_Day_2[[#This Row],[End]]-Term4_Day_2[[#This Row],[Start]])*1440)</f>
        <v/>
      </c>
      <c r="M34" s="106" t="str">
        <f>IF(ISBLANK(Term4_Day_2[[#This Row],[Activity]]),"",IF(_xlfn.XLOOKUP(Term4_Day_2[[#This Row],[Activity]],Types_of_Activity[Type of Activity],Types_of_Activity[Classification])=1,Term4_Day_2[[#This Row],[Elapsed]],0))</f>
        <v/>
      </c>
      <c r="N34" s="106" t="str">
        <f>IF(ISBLANK(Term4_Day_2[[#This Row],[Activity]]),"",IF(_xlfn.XLOOKUP(Term4_Day_2[[#This Row],[Activity]],Types_of_Activity[Type of Activity],Types_of_Activity[Classification])=2,Term4_Day_2[[#This Row],[Elapsed]],0))</f>
        <v/>
      </c>
      <c r="P34" s="136"/>
      <c r="Q34" s="136"/>
      <c r="R34" s="103"/>
      <c r="S34" s="106" t="str">
        <f>IF(OR(ISBLANK(Term4_Day_3[[#This Row],[Start]]),ISBLANK(Term4_Day_3[[#This Row],[End]])),"",(Term4_Day_3[[#This Row],[End]]-Term4_Day_3[[#This Row],[Start]])*1440)</f>
        <v/>
      </c>
      <c r="T34" s="106" t="str">
        <f>IF(ISBLANK(Term4_Day_3[[#This Row],[Activity]]),"",IF(_xlfn.XLOOKUP(Term4_Day_3[[#This Row],[Activity]],Types_of_Activity[Type of Activity],Types_of_Activity[Classification])=1,Term4_Day_3[[#This Row],[Elapsed]],0))</f>
        <v/>
      </c>
      <c r="U34" s="106" t="str">
        <f>IF(ISBLANK(Term4_Day_3[[#This Row],[Activity]]),"",IF(_xlfn.XLOOKUP(Term4_Day_3[[#This Row],[Activity]],Types_of_Activity[Type of Activity],Types_of_Activity[Classification])=2,Term4_Day_3[[#This Row],[Elapsed]],0))</f>
        <v/>
      </c>
      <c r="W34" s="136"/>
      <c r="X34" s="136"/>
      <c r="Y34" s="103"/>
      <c r="Z34" s="106" t="str">
        <f>IF(OR(ISBLANK(Term4_Day_4[[#This Row],[Start]]),ISBLANK(Term4_Day_4[[#This Row],[End]])),"",(Term4_Day_4[[#This Row],[End]]-Term4_Day_4[[#This Row],[Start]])*1440)</f>
        <v/>
      </c>
      <c r="AA34" s="106" t="str">
        <f>IF(ISBLANK(Term4_Day_4[[#This Row],[Activity]]),"",IF(_xlfn.XLOOKUP(Term4_Day_4[[#This Row],[Activity]],Types_of_Activity[Type of Activity],Types_of_Activity[Classification])=1,Term4_Day_4[[#This Row],[Elapsed]],0))</f>
        <v/>
      </c>
      <c r="AB34" s="106" t="str">
        <f>IF(ISBLANK(Term4_Day_4[[#This Row],[Activity]]),"",IF(_xlfn.XLOOKUP(Term4_Day_4[[#This Row],[Activity]],Types_of_Activity[Type of Activity],Types_of_Activity[Classification])=2,Term4_Day_4[[#This Row],[Elapsed]],0))</f>
        <v/>
      </c>
      <c r="AD34" s="136"/>
      <c r="AE34" s="136"/>
      <c r="AF34" s="103"/>
      <c r="AG34" s="106" t="str">
        <f>IF(OR(ISBLANK(Term4_Day_5[[#This Row],[Start]]),ISBLANK(Term4_Day_5[[#This Row],[End]])),"",(Term4_Day_5[[#This Row],[End]]-Term4_Day_5[[#This Row],[Start]])*1440)</f>
        <v/>
      </c>
      <c r="AH34" s="106" t="str">
        <f>IF(ISBLANK(Term4_Day_5[[#This Row],[Activity]]),"",IF(_xlfn.XLOOKUP(Term4_Day_5[[#This Row],[Activity]],Types_of_Activity[Type of Activity],Types_of_Activity[Classification])=1,Term4_Day_5[[#This Row],[Elapsed]],0))</f>
        <v/>
      </c>
      <c r="AI34" s="106" t="str">
        <f>IF(ISBLANK(Term4_Day_5[[#This Row],[Activity]]),"",IF(_xlfn.XLOOKUP(Term4_Day_5[[#This Row],[Activity]],Types_of_Activity[Type of Activity],Types_of_Activity[Classification])=2,Term4_Day_5[[#This Row],[Elapsed]],0))</f>
        <v/>
      </c>
      <c r="AJ34" s="107"/>
      <c r="AK34" s="136"/>
      <c r="AL34" s="136"/>
      <c r="AM34" s="103"/>
      <c r="AN34" s="106" t="str">
        <f>IF(OR(ISBLANK(Term4_Day_6[[#This Row],[Start]]),ISBLANK(Term4_Day_6[[#This Row],[End]])),"",(Term4_Day_6[[#This Row],[End]]-Term4_Day_6[[#This Row],[Start]])*1440)</f>
        <v/>
      </c>
      <c r="AO34" s="106" t="str">
        <f>IF(ISBLANK(Term4_Day_6[[#This Row],[Activity]]),"",IF(_xlfn.XLOOKUP(Term4_Day_6[[#This Row],[Activity]],Types_of_Activity[Type of Activity],Types_of_Activity[Classification])=1,Term4_Day_6[[#This Row],[Elapsed]],0))</f>
        <v/>
      </c>
      <c r="AP34" s="106" t="str">
        <f>IF(ISBLANK(Term4_Day_6[[#This Row],[Activity]]),"",IF(_xlfn.XLOOKUP(Term4_Day_6[[#This Row],[Activity]],Types_of_Activity[Type of Activity],Types_of_Activity[Classification])=2,Term4_Day_6[[#This Row],[Elapsed]],0))</f>
        <v/>
      </c>
      <c r="AQ34" s="107"/>
      <c r="AR34" s="136"/>
      <c r="AS34" s="136"/>
      <c r="AT34" s="103"/>
      <c r="AU34" s="106" t="str">
        <f>IF(OR(ISBLANK(Term4_Day_7[[#This Row],[Start]]),ISBLANK(Term4_Day_7[[#This Row],[End]])),"",(Term4_Day_7[[#This Row],[End]]-Term4_Day_7[[#This Row],[Start]])*1440)</f>
        <v/>
      </c>
      <c r="AV34" s="106" t="str">
        <f>IF(ISBLANK(Term4_Day_7[[#This Row],[Activity]]),"",IF(_xlfn.XLOOKUP(Term4_Day_7[[#This Row],[Activity]],Types_of_Activity[Type of Activity],Types_of_Activity[Classification])=1,Term4_Day_7[[#This Row],[Elapsed]],0))</f>
        <v/>
      </c>
      <c r="AW34" s="106" t="str">
        <f>IF(ISBLANK(Term4_Day_7[[#This Row],[Activity]]),"",IF(_xlfn.XLOOKUP(Term4_Day_7[[#This Row],[Activity]],Types_of_Activity[Type of Activity],Types_of_Activity[Classification])=2,Term4_Day_7[[#This Row],[Elapsed]],0))</f>
        <v/>
      </c>
      <c r="AX34" s="107"/>
      <c r="AY34" s="136"/>
      <c r="AZ34" s="136"/>
      <c r="BA34" s="103"/>
      <c r="BB34" s="106" t="str">
        <f>IF(OR(ISBLANK(Term4_Day_8[[#This Row],[Start]]),ISBLANK(Term4_Day_8[[#This Row],[End]])),"",(Term4_Day_8[[#This Row],[End]]-Term4_Day_8[[#This Row],[Start]])*1440)</f>
        <v/>
      </c>
      <c r="BC34" s="106" t="str">
        <f>IF(ISBLANK(Term4_Day_8[[#This Row],[Activity]]),"",IF(_xlfn.XLOOKUP(Term4_Day_8[[#This Row],[Activity]],Types_of_Activity[Type of Activity],Types_of_Activity[Classification])=1,Term4_Day_8[[#This Row],[Elapsed]],0))</f>
        <v/>
      </c>
      <c r="BD34" s="106" t="str">
        <f>IF(ISBLANK(Term4_Day_8[[#This Row],[Activity]]),"",IF(_xlfn.XLOOKUP(Term4_Day_8[[#This Row],[Activity]],Types_of_Activity[Type of Activity],Types_of_Activity[Classification])=2,Term4_Day_8[[#This Row],[Elapsed]],0))</f>
        <v/>
      </c>
      <c r="BE34" s="107"/>
      <c r="BF34" s="136"/>
      <c r="BG34" s="136"/>
      <c r="BH34" s="103"/>
      <c r="BI34" s="106" t="str">
        <f>IF(OR(ISBLANK(Term4_Day_9[[#This Row],[Start]]),ISBLANK(Term4_Day_9[[#This Row],[End]])),"",(Term4_Day_9[[#This Row],[End]]-Term4_Day_9[[#This Row],[Start]])*1440)</f>
        <v/>
      </c>
      <c r="BJ34" s="106" t="str">
        <f>IF(ISBLANK(Term4_Day_9[[#This Row],[Activity]]),"",IF(_xlfn.XLOOKUP(Term4_Day_9[[#This Row],[Activity]],Types_of_Activity[Type of Activity],Types_of_Activity[Classification])=1,Term4_Day_9[[#This Row],[Elapsed]],0))</f>
        <v/>
      </c>
      <c r="BK34" s="106" t="str">
        <f>IF(ISBLANK(Term4_Day_9[[#This Row],[Activity]]),"",IF(_xlfn.XLOOKUP(Term4_Day_9[[#This Row],[Activity]],Types_of_Activity[Type of Activity],Types_of_Activity[Classification])=2,Term4_Day_9[[#This Row],[Elapsed]],0))</f>
        <v/>
      </c>
      <c r="BL34" s="107"/>
      <c r="BM34" s="136"/>
      <c r="BN34" s="136"/>
      <c r="BO34" s="103"/>
      <c r="BP34" s="106" t="str">
        <f>IF(OR(ISBLANK(Term4_Day_10[[#This Row],[Start]]),ISBLANK(Term4_Day_10[[#This Row],[End]])),"",(Term4_Day_10[[#This Row],[End]]-Term4_Day_10[[#This Row],[Start]])*1440)</f>
        <v/>
      </c>
      <c r="BQ34" s="106" t="str">
        <f>IF(ISBLANK(Term4_Day_10[[#This Row],[Activity]]),"",IF(_xlfn.XLOOKUP(Term4_Day_10[[#This Row],[Activity]],Types_of_Activity[Type of Activity],Types_of_Activity[Classification])=1,Term4_Day_10[[#This Row],[Elapsed]],0))</f>
        <v/>
      </c>
      <c r="BR34" s="106" t="str">
        <f>IF(ISBLANK(Term4_Day_10[[#This Row],[Activity]]),"",IF(_xlfn.XLOOKUP(Term4_Day_10[[#This Row],[Activity]],Types_of_Activity[Type of Activity],Types_of_Activity[Classification])=2,Term4_Day_10[[#This Row],[Elapsed]],0))</f>
        <v/>
      </c>
      <c r="BS34" s="107"/>
    </row>
    <row r="35" spans="2:71" x14ac:dyDescent="0.3">
      <c r="B35" s="136"/>
      <c r="C35" s="136"/>
      <c r="D35" s="103"/>
      <c r="E35" s="106" t="str">
        <f>IF(OR(ISBLANK(Term4_Day_1[[#This Row],[Start]]),ISBLANK(Term4_Day_1[[#This Row],[End]])),"",(Term4_Day_1[[#This Row],[End]]-Term4_Day_1[[#This Row],[Start]])*1440)</f>
        <v/>
      </c>
      <c r="F35" s="106" t="str">
        <f>IF(ISBLANK(Term4_Day_1[[#This Row],[Activity]]),"",IF(_xlfn.XLOOKUP(Term4_Day_1[[#This Row],[Activity]],Types_of_Activity[Type of Activity],Types_of_Activity[Classification])=1,Term4_Day_1[[#This Row],[Elapsed]],0))</f>
        <v/>
      </c>
      <c r="G35" s="106" t="str">
        <f>IF(ISBLANK(Term4_Day_1[[#This Row],[Activity]]),"",IF(_xlfn.XLOOKUP(Term4_Day_1[[#This Row],[Activity]],Types_of_Activity[Type of Activity],Types_of_Activity[Classification])=2,Term4_Day_1[[#This Row],[Elapsed]],0))</f>
        <v/>
      </c>
      <c r="I35" s="136"/>
      <c r="J35" s="136"/>
      <c r="K35" s="103"/>
      <c r="L35" s="106" t="str">
        <f>IF(OR(ISBLANK(Term4_Day_2[[#This Row],[Start]]),ISBLANK(Term4_Day_2[[#This Row],[End]])),"",(Term4_Day_2[[#This Row],[End]]-Term4_Day_2[[#This Row],[Start]])*1440)</f>
        <v/>
      </c>
      <c r="M35" s="106" t="str">
        <f>IF(ISBLANK(Term4_Day_2[[#This Row],[Activity]]),"",IF(_xlfn.XLOOKUP(Term4_Day_2[[#This Row],[Activity]],Types_of_Activity[Type of Activity],Types_of_Activity[Classification])=1,Term4_Day_2[[#This Row],[Elapsed]],0))</f>
        <v/>
      </c>
      <c r="N35" s="106" t="str">
        <f>IF(ISBLANK(Term4_Day_2[[#This Row],[Activity]]),"",IF(_xlfn.XLOOKUP(Term4_Day_2[[#This Row],[Activity]],Types_of_Activity[Type of Activity],Types_of_Activity[Classification])=2,Term4_Day_2[[#This Row],[Elapsed]],0))</f>
        <v/>
      </c>
      <c r="P35" s="136"/>
      <c r="Q35" s="136"/>
      <c r="R35" s="103"/>
      <c r="S35" s="106" t="str">
        <f>IF(OR(ISBLANK(Term4_Day_3[[#This Row],[Start]]),ISBLANK(Term4_Day_3[[#This Row],[End]])),"",(Term4_Day_3[[#This Row],[End]]-Term4_Day_3[[#This Row],[Start]])*1440)</f>
        <v/>
      </c>
      <c r="T35" s="106" t="str">
        <f>IF(ISBLANK(Term4_Day_3[[#This Row],[Activity]]),"",IF(_xlfn.XLOOKUP(Term4_Day_3[[#This Row],[Activity]],Types_of_Activity[Type of Activity],Types_of_Activity[Classification])=1,Term4_Day_3[[#This Row],[Elapsed]],0))</f>
        <v/>
      </c>
      <c r="U35" s="106" t="str">
        <f>IF(ISBLANK(Term4_Day_3[[#This Row],[Activity]]),"",IF(_xlfn.XLOOKUP(Term4_Day_3[[#This Row],[Activity]],Types_of_Activity[Type of Activity],Types_of_Activity[Classification])=2,Term4_Day_3[[#This Row],[Elapsed]],0))</f>
        <v/>
      </c>
      <c r="W35" s="136"/>
      <c r="X35" s="136"/>
      <c r="Y35" s="103"/>
      <c r="Z35" s="106" t="str">
        <f>IF(OR(ISBLANK(Term4_Day_4[[#This Row],[Start]]),ISBLANK(Term4_Day_4[[#This Row],[End]])),"",(Term4_Day_4[[#This Row],[End]]-Term4_Day_4[[#This Row],[Start]])*1440)</f>
        <v/>
      </c>
      <c r="AA35" s="106" t="str">
        <f>IF(ISBLANK(Term4_Day_4[[#This Row],[Activity]]),"",IF(_xlfn.XLOOKUP(Term4_Day_4[[#This Row],[Activity]],Types_of_Activity[Type of Activity],Types_of_Activity[Classification])=1,Term4_Day_4[[#This Row],[Elapsed]],0))</f>
        <v/>
      </c>
      <c r="AB35" s="106" t="str">
        <f>IF(ISBLANK(Term4_Day_4[[#This Row],[Activity]]),"",IF(_xlfn.XLOOKUP(Term4_Day_4[[#This Row],[Activity]],Types_of_Activity[Type of Activity],Types_of_Activity[Classification])=2,Term4_Day_4[[#This Row],[Elapsed]],0))</f>
        <v/>
      </c>
      <c r="AD35" s="136"/>
      <c r="AE35" s="136"/>
      <c r="AF35" s="103"/>
      <c r="AG35" s="106" t="str">
        <f>IF(OR(ISBLANK(Term4_Day_5[[#This Row],[Start]]),ISBLANK(Term4_Day_5[[#This Row],[End]])),"",(Term4_Day_5[[#This Row],[End]]-Term4_Day_5[[#This Row],[Start]])*1440)</f>
        <v/>
      </c>
      <c r="AH35" s="106" t="str">
        <f>IF(ISBLANK(Term4_Day_5[[#This Row],[Activity]]),"",IF(_xlfn.XLOOKUP(Term4_Day_5[[#This Row],[Activity]],Types_of_Activity[Type of Activity],Types_of_Activity[Classification])=1,Term4_Day_5[[#This Row],[Elapsed]],0))</f>
        <v/>
      </c>
      <c r="AI35" s="106" t="str">
        <f>IF(ISBLANK(Term4_Day_5[[#This Row],[Activity]]),"",IF(_xlfn.XLOOKUP(Term4_Day_5[[#This Row],[Activity]],Types_of_Activity[Type of Activity],Types_of_Activity[Classification])=2,Term4_Day_5[[#This Row],[Elapsed]],0))</f>
        <v/>
      </c>
      <c r="AJ35" s="107"/>
      <c r="AK35" s="136"/>
      <c r="AL35" s="136"/>
      <c r="AM35" s="103"/>
      <c r="AN35" s="106" t="str">
        <f>IF(OR(ISBLANK(Term4_Day_6[[#This Row],[Start]]),ISBLANK(Term4_Day_6[[#This Row],[End]])),"",(Term4_Day_6[[#This Row],[End]]-Term4_Day_6[[#This Row],[Start]])*1440)</f>
        <v/>
      </c>
      <c r="AO35" s="106" t="str">
        <f>IF(ISBLANK(Term4_Day_6[[#This Row],[Activity]]),"",IF(_xlfn.XLOOKUP(Term4_Day_6[[#This Row],[Activity]],Types_of_Activity[Type of Activity],Types_of_Activity[Classification])=1,Term4_Day_6[[#This Row],[Elapsed]],0))</f>
        <v/>
      </c>
      <c r="AP35" s="106" t="str">
        <f>IF(ISBLANK(Term4_Day_6[[#This Row],[Activity]]),"",IF(_xlfn.XLOOKUP(Term4_Day_6[[#This Row],[Activity]],Types_of_Activity[Type of Activity],Types_of_Activity[Classification])=2,Term4_Day_6[[#This Row],[Elapsed]],0))</f>
        <v/>
      </c>
      <c r="AQ35" s="107"/>
      <c r="AR35" s="136"/>
      <c r="AS35" s="136"/>
      <c r="AT35" s="103"/>
      <c r="AU35" s="106" t="str">
        <f>IF(OR(ISBLANK(Term4_Day_7[[#This Row],[Start]]),ISBLANK(Term4_Day_7[[#This Row],[End]])),"",(Term4_Day_7[[#This Row],[End]]-Term4_Day_7[[#This Row],[Start]])*1440)</f>
        <v/>
      </c>
      <c r="AV35" s="106" t="str">
        <f>IF(ISBLANK(Term4_Day_7[[#This Row],[Activity]]),"",IF(_xlfn.XLOOKUP(Term4_Day_7[[#This Row],[Activity]],Types_of_Activity[Type of Activity],Types_of_Activity[Classification])=1,Term4_Day_7[[#This Row],[Elapsed]],0))</f>
        <v/>
      </c>
      <c r="AW35" s="106" t="str">
        <f>IF(ISBLANK(Term4_Day_7[[#This Row],[Activity]]),"",IF(_xlfn.XLOOKUP(Term4_Day_7[[#This Row],[Activity]],Types_of_Activity[Type of Activity],Types_of_Activity[Classification])=2,Term4_Day_7[[#This Row],[Elapsed]],0))</f>
        <v/>
      </c>
      <c r="AX35" s="107"/>
      <c r="AY35" s="136"/>
      <c r="AZ35" s="136"/>
      <c r="BA35" s="103"/>
      <c r="BB35" s="106" t="str">
        <f>IF(OR(ISBLANK(Term4_Day_8[[#This Row],[Start]]),ISBLANK(Term4_Day_8[[#This Row],[End]])),"",(Term4_Day_8[[#This Row],[End]]-Term4_Day_8[[#This Row],[Start]])*1440)</f>
        <v/>
      </c>
      <c r="BC35" s="106" t="str">
        <f>IF(ISBLANK(Term4_Day_8[[#This Row],[Activity]]),"",IF(_xlfn.XLOOKUP(Term4_Day_8[[#This Row],[Activity]],Types_of_Activity[Type of Activity],Types_of_Activity[Classification])=1,Term4_Day_8[[#This Row],[Elapsed]],0))</f>
        <v/>
      </c>
      <c r="BD35" s="106" t="str">
        <f>IF(ISBLANK(Term4_Day_8[[#This Row],[Activity]]),"",IF(_xlfn.XLOOKUP(Term4_Day_8[[#This Row],[Activity]],Types_of_Activity[Type of Activity],Types_of_Activity[Classification])=2,Term4_Day_8[[#This Row],[Elapsed]],0))</f>
        <v/>
      </c>
      <c r="BE35" s="107"/>
      <c r="BF35" s="136"/>
      <c r="BG35" s="136"/>
      <c r="BH35" s="103"/>
      <c r="BI35" s="106" t="str">
        <f>IF(OR(ISBLANK(Term4_Day_9[[#This Row],[Start]]),ISBLANK(Term4_Day_9[[#This Row],[End]])),"",(Term4_Day_9[[#This Row],[End]]-Term4_Day_9[[#This Row],[Start]])*1440)</f>
        <v/>
      </c>
      <c r="BJ35" s="106" t="str">
        <f>IF(ISBLANK(Term4_Day_9[[#This Row],[Activity]]),"",IF(_xlfn.XLOOKUP(Term4_Day_9[[#This Row],[Activity]],Types_of_Activity[Type of Activity],Types_of_Activity[Classification])=1,Term4_Day_9[[#This Row],[Elapsed]],0))</f>
        <v/>
      </c>
      <c r="BK35" s="106" t="str">
        <f>IF(ISBLANK(Term4_Day_9[[#This Row],[Activity]]),"",IF(_xlfn.XLOOKUP(Term4_Day_9[[#This Row],[Activity]],Types_of_Activity[Type of Activity],Types_of_Activity[Classification])=2,Term4_Day_9[[#This Row],[Elapsed]],0))</f>
        <v/>
      </c>
      <c r="BL35" s="107"/>
      <c r="BM35" s="136"/>
      <c r="BN35" s="136"/>
      <c r="BO35" s="103"/>
      <c r="BP35" s="106" t="str">
        <f>IF(OR(ISBLANK(Term4_Day_10[[#This Row],[Start]]),ISBLANK(Term4_Day_10[[#This Row],[End]])),"",(Term4_Day_10[[#This Row],[End]]-Term4_Day_10[[#This Row],[Start]])*1440)</f>
        <v/>
      </c>
      <c r="BQ35" s="106" t="str">
        <f>IF(ISBLANK(Term4_Day_10[[#This Row],[Activity]]),"",IF(_xlfn.XLOOKUP(Term4_Day_10[[#This Row],[Activity]],Types_of_Activity[Type of Activity],Types_of_Activity[Classification])=1,Term4_Day_10[[#This Row],[Elapsed]],0))</f>
        <v/>
      </c>
      <c r="BR35" s="106" t="str">
        <f>IF(ISBLANK(Term4_Day_10[[#This Row],[Activity]]),"",IF(_xlfn.XLOOKUP(Term4_Day_10[[#This Row],[Activity]],Types_of_Activity[Type of Activity],Types_of_Activity[Classification])=2,Term4_Day_10[[#This Row],[Elapsed]],0))</f>
        <v/>
      </c>
      <c r="BS35" s="107"/>
    </row>
    <row r="36" spans="2:71" x14ac:dyDescent="0.3">
      <c r="B36" s="136"/>
      <c r="C36" s="136"/>
      <c r="D36" s="103"/>
      <c r="E36" s="106" t="str">
        <f>IF(OR(ISBLANK(Term4_Day_1[[#This Row],[Start]]),ISBLANK(Term4_Day_1[[#This Row],[End]])),"",(Term4_Day_1[[#This Row],[End]]-Term4_Day_1[[#This Row],[Start]])*1440)</f>
        <v/>
      </c>
      <c r="F36" s="106" t="str">
        <f>IF(ISBLANK(Term4_Day_1[[#This Row],[Activity]]),"",IF(_xlfn.XLOOKUP(Term4_Day_1[[#This Row],[Activity]],Types_of_Activity[Type of Activity],Types_of_Activity[Classification])=1,Term4_Day_1[[#This Row],[Elapsed]],0))</f>
        <v/>
      </c>
      <c r="G36" s="106" t="str">
        <f>IF(ISBLANK(Term4_Day_1[[#This Row],[Activity]]),"",IF(_xlfn.XLOOKUP(Term4_Day_1[[#This Row],[Activity]],Types_of_Activity[Type of Activity],Types_of_Activity[Classification])=2,Term4_Day_1[[#This Row],[Elapsed]],0))</f>
        <v/>
      </c>
      <c r="I36" s="136"/>
      <c r="J36" s="136"/>
      <c r="K36" s="103"/>
      <c r="L36" s="106" t="str">
        <f>IF(OR(ISBLANK(Term4_Day_2[[#This Row],[Start]]),ISBLANK(Term4_Day_2[[#This Row],[End]])),"",(Term4_Day_2[[#This Row],[End]]-Term4_Day_2[[#This Row],[Start]])*1440)</f>
        <v/>
      </c>
      <c r="M36" s="106" t="str">
        <f>IF(ISBLANK(Term4_Day_2[[#This Row],[Activity]]),"",IF(_xlfn.XLOOKUP(Term4_Day_2[[#This Row],[Activity]],Types_of_Activity[Type of Activity],Types_of_Activity[Classification])=1,Term4_Day_2[[#This Row],[Elapsed]],0))</f>
        <v/>
      </c>
      <c r="N36" s="106" t="str">
        <f>IF(ISBLANK(Term4_Day_2[[#This Row],[Activity]]),"",IF(_xlfn.XLOOKUP(Term4_Day_2[[#This Row],[Activity]],Types_of_Activity[Type of Activity],Types_of_Activity[Classification])=2,Term4_Day_2[[#This Row],[Elapsed]],0))</f>
        <v/>
      </c>
      <c r="P36" s="136"/>
      <c r="Q36" s="136"/>
      <c r="R36" s="103"/>
      <c r="S36" s="106" t="str">
        <f>IF(OR(ISBLANK(Term4_Day_3[[#This Row],[Start]]),ISBLANK(Term4_Day_3[[#This Row],[End]])),"",(Term4_Day_3[[#This Row],[End]]-Term4_Day_3[[#This Row],[Start]])*1440)</f>
        <v/>
      </c>
      <c r="T36" s="106" t="str">
        <f>IF(ISBLANK(Term4_Day_3[[#This Row],[Activity]]),"",IF(_xlfn.XLOOKUP(Term4_Day_3[[#This Row],[Activity]],Types_of_Activity[Type of Activity],Types_of_Activity[Classification])=1,Term4_Day_3[[#This Row],[Elapsed]],0))</f>
        <v/>
      </c>
      <c r="U36" s="106" t="str">
        <f>IF(ISBLANK(Term4_Day_3[[#This Row],[Activity]]),"",IF(_xlfn.XLOOKUP(Term4_Day_3[[#This Row],[Activity]],Types_of_Activity[Type of Activity],Types_of_Activity[Classification])=2,Term4_Day_3[[#This Row],[Elapsed]],0))</f>
        <v/>
      </c>
      <c r="W36" s="136"/>
      <c r="X36" s="136"/>
      <c r="Y36" s="103"/>
      <c r="Z36" s="106" t="str">
        <f>IF(OR(ISBLANK(Term4_Day_4[[#This Row],[Start]]),ISBLANK(Term4_Day_4[[#This Row],[End]])),"",(Term4_Day_4[[#This Row],[End]]-Term4_Day_4[[#This Row],[Start]])*1440)</f>
        <v/>
      </c>
      <c r="AA36" s="106" t="str">
        <f>IF(ISBLANK(Term4_Day_4[[#This Row],[Activity]]),"",IF(_xlfn.XLOOKUP(Term4_Day_4[[#This Row],[Activity]],Types_of_Activity[Type of Activity],Types_of_Activity[Classification])=1,Term4_Day_4[[#This Row],[Elapsed]],0))</f>
        <v/>
      </c>
      <c r="AB36" s="106" t="str">
        <f>IF(ISBLANK(Term4_Day_4[[#This Row],[Activity]]),"",IF(_xlfn.XLOOKUP(Term4_Day_4[[#This Row],[Activity]],Types_of_Activity[Type of Activity],Types_of_Activity[Classification])=2,Term4_Day_4[[#This Row],[Elapsed]],0))</f>
        <v/>
      </c>
      <c r="AD36" s="136"/>
      <c r="AE36" s="136"/>
      <c r="AF36" s="103"/>
      <c r="AG36" s="106" t="str">
        <f>IF(OR(ISBLANK(Term4_Day_5[[#This Row],[Start]]),ISBLANK(Term4_Day_5[[#This Row],[End]])),"",(Term4_Day_5[[#This Row],[End]]-Term4_Day_5[[#This Row],[Start]])*1440)</f>
        <v/>
      </c>
      <c r="AH36" s="106" t="str">
        <f>IF(ISBLANK(Term4_Day_5[[#This Row],[Activity]]),"",IF(_xlfn.XLOOKUP(Term4_Day_5[[#This Row],[Activity]],Types_of_Activity[Type of Activity],Types_of_Activity[Classification])=1,Term4_Day_5[[#This Row],[Elapsed]],0))</f>
        <v/>
      </c>
      <c r="AI36" s="106" t="str">
        <f>IF(ISBLANK(Term4_Day_5[[#This Row],[Activity]]),"",IF(_xlfn.XLOOKUP(Term4_Day_5[[#This Row],[Activity]],Types_of_Activity[Type of Activity],Types_of_Activity[Classification])=2,Term4_Day_5[[#This Row],[Elapsed]],0))</f>
        <v/>
      </c>
      <c r="AJ36" s="107"/>
      <c r="AK36" s="136"/>
      <c r="AL36" s="136"/>
      <c r="AM36" s="103"/>
      <c r="AN36" s="106" t="str">
        <f>IF(OR(ISBLANK(Term4_Day_6[[#This Row],[Start]]),ISBLANK(Term4_Day_6[[#This Row],[End]])),"",(Term4_Day_6[[#This Row],[End]]-Term4_Day_6[[#This Row],[Start]])*1440)</f>
        <v/>
      </c>
      <c r="AO36" s="106" t="str">
        <f>IF(ISBLANK(Term4_Day_6[[#This Row],[Activity]]),"",IF(_xlfn.XLOOKUP(Term4_Day_6[[#This Row],[Activity]],Types_of_Activity[Type of Activity],Types_of_Activity[Classification])=1,Term4_Day_6[[#This Row],[Elapsed]],0))</f>
        <v/>
      </c>
      <c r="AP36" s="106" t="str">
        <f>IF(ISBLANK(Term4_Day_6[[#This Row],[Activity]]),"",IF(_xlfn.XLOOKUP(Term4_Day_6[[#This Row],[Activity]],Types_of_Activity[Type of Activity],Types_of_Activity[Classification])=2,Term4_Day_6[[#This Row],[Elapsed]],0))</f>
        <v/>
      </c>
      <c r="AQ36" s="107"/>
      <c r="AR36" s="136"/>
      <c r="AS36" s="136"/>
      <c r="AT36" s="103"/>
      <c r="AU36" s="106" t="str">
        <f>IF(OR(ISBLANK(Term4_Day_7[[#This Row],[Start]]),ISBLANK(Term4_Day_7[[#This Row],[End]])),"",(Term4_Day_7[[#This Row],[End]]-Term4_Day_7[[#This Row],[Start]])*1440)</f>
        <v/>
      </c>
      <c r="AV36" s="106" t="str">
        <f>IF(ISBLANK(Term4_Day_7[[#This Row],[Activity]]),"",IF(_xlfn.XLOOKUP(Term4_Day_7[[#This Row],[Activity]],Types_of_Activity[Type of Activity],Types_of_Activity[Classification])=1,Term4_Day_7[[#This Row],[Elapsed]],0))</f>
        <v/>
      </c>
      <c r="AW36" s="106" t="str">
        <f>IF(ISBLANK(Term4_Day_7[[#This Row],[Activity]]),"",IF(_xlfn.XLOOKUP(Term4_Day_7[[#This Row],[Activity]],Types_of_Activity[Type of Activity],Types_of_Activity[Classification])=2,Term4_Day_7[[#This Row],[Elapsed]],0))</f>
        <v/>
      </c>
      <c r="AX36" s="107"/>
      <c r="AY36" s="136"/>
      <c r="AZ36" s="136"/>
      <c r="BA36" s="103"/>
      <c r="BB36" s="106" t="str">
        <f>IF(OR(ISBLANK(Term4_Day_8[[#This Row],[Start]]),ISBLANK(Term4_Day_8[[#This Row],[End]])),"",(Term4_Day_8[[#This Row],[End]]-Term4_Day_8[[#This Row],[Start]])*1440)</f>
        <v/>
      </c>
      <c r="BC36" s="106" t="str">
        <f>IF(ISBLANK(Term4_Day_8[[#This Row],[Activity]]),"",IF(_xlfn.XLOOKUP(Term4_Day_8[[#This Row],[Activity]],Types_of_Activity[Type of Activity],Types_of_Activity[Classification])=1,Term4_Day_8[[#This Row],[Elapsed]],0))</f>
        <v/>
      </c>
      <c r="BD36" s="106" t="str">
        <f>IF(ISBLANK(Term4_Day_8[[#This Row],[Activity]]),"",IF(_xlfn.XLOOKUP(Term4_Day_8[[#This Row],[Activity]],Types_of_Activity[Type of Activity],Types_of_Activity[Classification])=2,Term4_Day_8[[#This Row],[Elapsed]],0))</f>
        <v/>
      </c>
      <c r="BE36" s="107"/>
      <c r="BF36" s="136"/>
      <c r="BG36" s="136"/>
      <c r="BH36" s="103"/>
      <c r="BI36" s="106" t="str">
        <f>IF(OR(ISBLANK(Term4_Day_9[[#This Row],[Start]]),ISBLANK(Term4_Day_9[[#This Row],[End]])),"",(Term4_Day_9[[#This Row],[End]]-Term4_Day_9[[#This Row],[Start]])*1440)</f>
        <v/>
      </c>
      <c r="BJ36" s="106" t="str">
        <f>IF(ISBLANK(Term4_Day_9[[#This Row],[Activity]]),"",IF(_xlfn.XLOOKUP(Term4_Day_9[[#This Row],[Activity]],Types_of_Activity[Type of Activity],Types_of_Activity[Classification])=1,Term4_Day_9[[#This Row],[Elapsed]],0))</f>
        <v/>
      </c>
      <c r="BK36" s="106" t="str">
        <f>IF(ISBLANK(Term4_Day_9[[#This Row],[Activity]]),"",IF(_xlfn.XLOOKUP(Term4_Day_9[[#This Row],[Activity]],Types_of_Activity[Type of Activity],Types_of_Activity[Classification])=2,Term4_Day_9[[#This Row],[Elapsed]],0))</f>
        <v/>
      </c>
      <c r="BL36" s="107"/>
      <c r="BM36" s="136"/>
      <c r="BN36" s="136"/>
      <c r="BO36" s="103"/>
      <c r="BP36" s="106" t="str">
        <f>IF(OR(ISBLANK(Term4_Day_10[[#This Row],[Start]]),ISBLANK(Term4_Day_10[[#This Row],[End]])),"",(Term4_Day_10[[#This Row],[End]]-Term4_Day_10[[#This Row],[Start]])*1440)</f>
        <v/>
      </c>
      <c r="BQ36" s="106" t="str">
        <f>IF(ISBLANK(Term4_Day_10[[#This Row],[Activity]]),"",IF(_xlfn.XLOOKUP(Term4_Day_10[[#This Row],[Activity]],Types_of_Activity[Type of Activity],Types_of_Activity[Classification])=1,Term4_Day_10[[#This Row],[Elapsed]],0))</f>
        <v/>
      </c>
      <c r="BR36" s="106" t="str">
        <f>IF(ISBLANK(Term4_Day_10[[#This Row],[Activity]]),"",IF(_xlfn.XLOOKUP(Term4_Day_10[[#This Row],[Activity]],Types_of_Activity[Type of Activity],Types_of_Activity[Classification])=2,Term4_Day_10[[#This Row],[Elapsed]],0))</f>
        <v/>
      </c>
      <c r="BS36" s="107"/>
    </row>
    <row r="37" spans="2:71" x14ac:dyDescent="0.3">
      <c r="B37" s="136"/>
      <c r="C37" s="136"/>
      <c r="D37" s="103"/>
      <c r="E37" s="106" t="str">
        <f>IF(OR(ISBLANK(Term4_Day_1[[#This Row],[Start]]),ISBLANK(Term4_Day_1[[#This Row],[End]])),"",(Term4_Day_1[[#This Row],[End]]-Term4_Day_1[[#This Row],[Start]])*1440)</f>
        <v/>
      </c>
      <c r="F37" s="106" t="str">
        <f>IF(ISBLANK(Term4_Day_1[[#This Row],[Activity]]),"",IF(_xlfn.XLOOKUP(Term4_Day_1[[#This Row],[Activity]],Types_of_Activity[Type of Activity],Types_of_Activity[Classification])=1,Term4_Day_1[[#This Row],[Elapsed]],0))</f>
        <v/>
      </c>
      <c r="G37" s="106" t="str">
        <f>IF(ISBLANK(Term4_Day_1[[#This Row],[Activity]]),"",IF(_xlfn.XLOOKUP(Term4_Day_1[[#This Row],[Activity]],Types_of_Activity[Type of Activity],Types_of_Activity[Classification])=2,Term4_Day_1[[#This Row],[Elapsed]],0))</f>
        <v/>
      </c>
      <c r="I37" s="136"/>
      <c r="J37" s="136"/>
      <c r="K37" s="103"/>
      <c r="L37" s="106" t="str">
        <f>IF(OR(ISBLANK(Term4_Day_2[[#This Row],[Start]]),ISBLANK(Term4_Day_2[[#This Row],[End]])),"",(Term4_Day_2[[#This Row],[End]]-Term4_Day_2[[#This Row],[Start]])*1440)</f>
        <v/>
      </c>
      <c r="M37" s="106" t="str">
        <f>IF(ISBLANK(Term4_Day_2[[#This Row],[Activity]]),"",IF(_xlfn.XLOOKUP(Term4_Day_2[[#This Row],[Activity]],Types_of_Activity[Type of Activity],Types_of_Activity[Classification])=1,Term4_Day_2[[#This Row],[Elapsed]],0))</f>
        <v/>
      </c>
      <c r="N37" s="106" t="str">
        <f>IF(ISBLANK(Term4_Day_2[[#This Row],[Activity]]),"",IF(_xlfn.XLOOKUP(Term4_Day_2[[#This Row],[Activity]],Types_of_Activity[Type of Activity],Types_of_Activity[Classification])=2,Term4_Day_2[[#This Row],[Elapsed]],0))</f>
        <v/>
      </c>
      <c r="P37" s="136"/>
      <c r="Q37" s="136"/>
      <c r="R37" s="103"/>
      <c r="S37" s="106" t="str">
        <f>IF(OR(ISBLANK(Term4_Day_3[[#This Row],[Start]]),ISBLANK(Term4_Day_3[[#This Row],[End]])),"",(Term4_Day_3[[#This Row],[End]]-Term4_Day_3[[#This Row],[Start]])*1440)</f>
        <v/>
      </c>
      <c r="T37" s="106" t="str">
        <f>IF(ISBLANK(Term4_Day_3[[#This Row],[Activity]]),"",IF(_xlfn.XLOOKUP(Term4_Day_3[[#This Row],[Activity]],Types_of_Activity[Type of Activity],Types_of_Activity[Classification])=1,Term4_Day_3[[#This Row],[Elapsed]],0))</f>
        <v/>
      </c>
      <c r="U37" s="106" t="str">
        <f>IF(ISBLANK(Term4_Day_3[[#This Row],[Activity]]),"",IF(_xlfn.XLOOKUP(Term4_Day_3[[#This Row],[Activity]],Types_of_Activity[Type of Activity],Types_of_Activity[Classification])=2,Term4_Day_3[[#This Row],[Elapsed]],0))</f>
        <v/>
      </c>
      <c r="W37" s="136"/>
      <c r="X37" s="136"/>
      <c r="Y37" s="103"/>
      <c r="Z37" s="106" t="str">
        <f>IF(OR(ISBLANK(Term4_Day_4[[#This Row],[Start]]),ISBLANK(Term4_Day_4[[#This Row],[End]])),"",(Term4_Day_4[[#This Row],[End]]-Term4_Day_4[[#This Row],[Start]])*1440)</f>
        <v/>
      </c>
      <c r="AA37" s="106" t="str">
        <f>IF(ISBLANK(Term4_Day_4[[#This Row],[Activity]]),"",IF(_xlfn.XLOOKUP(Term4_Day_4[[#This Row],[Activity]],Types_of_Activity[Type of Activity],Types_of_Activity[Classification])=1,Term4_Day_4[[#This Row],[Elapsed]],0))</f>
        <v/>
      </c>
      <c r="AB37" s="106" t="str">
        <f>IF(ISBLANK(Term4_Day_4[[#This Row],[Activity]]),"",IF(_xlfn.XLOOKUP(Term4_Day_4[[#This Row],[Activity]],Types_of_Activity[Type of Activity],Types_of_Activity[Classification])=2,Term4_Day_4[[#This Row],[Elapsed]],0))</f>
        <v/>
      </c>
      <c r="AD37" s="136"/>
      <c r="AE37" s="136"/>
      <c r="AF37" s="103"/>
      <c r="AG37" s="106" t="str">
        <f>IF(OR(ISBLANK(Term4_Day_5[[#This Row],[Start]]),ISBLANK(Term4_Day_5[[#This Row],[End]])),"",(Term4_Day_5[[#This Row],[End]]-Term4_Day_5[[#This Row],[Start]])*1440)</f>
        <v/>
      </c>
      <c r="AH37" s="106" t="str">
        <f>IF(ISBLANK(Term4_Day_5[[#This Row],[Activity]]),"",IF(_xlfn.XLOOKUP(Term4_Day_5[[#This Row],[Activity]],Types_of_Activity[Type of Activity],Types_of_Activity[Classification])=1,Term4_Day_5[[#This Row],[Elapsed]],0))</f>
        <v/>
      </c>
      <c r="AI37" s="106" t="str">
        <f>IF(ISBLANK(Term4_Day_5[[#This Row],[Activity]]),"",IF(_xlfn.XLOOKUP(Term4_Day_5[[#This Row],[Activity]],Types_of_Activity[Type of Activity],Types_of_Activity[Classification])=2,Term4_Day_5[[#This Row],[Elapsed]],0))</f>
        <v/>
      </c>
      <c r="AJ37" s="107"/>
      <c r="AK37" s="136"/>
      <c r="AL37" s="136"/>
      <c r="AM37" s="103"/>
      <c r="AN37" s="106" t="str">
        <f>IF(OR(ISBLANK(Term4_Day_6[[#This Row],[Start]]),ISBLANK(Term4_Day_6[[#This Row],[End]])),"",(Term4_Day_6[[#This Row],[End]]-Term4_Day_6[[#This Row],[Start]])*1440)</f>
        <v/>
      </c>
      <c r="AO37" s="106" t="str">
        <f>IF(ISBLANK(Term4_Day_6[[#This Row],[Activity]]),"",IF(_xlfn.XLOOKUP(Term4_Day_6[[#This Row],[Activity]],Types_of_Activity[Type of Activity],Types_of_Activity[Classification])=1,Term4_Day_6[[#This Row],[Elapsed]],0))</f>
        <v/>
      </c>
      <c r="AP37" s="106" t="str">
        <f>IF(ISBLANK(Term4_Day_6[[#This Row],[Activity]]),"",IF(_xlfn.XLOOKUP(Term4_Day_6[[#This Row],[Activity]],Types_of_Activity[Type of Activity],Types_of_Activity[Classification])=2,Term4_Day_6[[#This Row],[Elapsed]],0))</f>
        <v/>
      </c>
      <c r="AQ37" s="107"/>
      <c r="AR37" s="136"/>
      <c r="AS37" s="136"/>
      <c r="AT37" s="103"/>
      <c r="AU37" s="106" t="str">
        <f>IF(OR(ISBLANK(Term4_Day_7[[#This Row],[Start]]),ISBLANK(Term4_Day_7[[#This Row],[End]])),"",(Term4_Day_7[[#This Row],[End]]-Term4_Day_7[[#This Row],[Start]])*1440)</f>
        <v/>
      </c>
      <c r="AV37" s="106" t="str">
        <f>IF(ISBLANK(Term4_Day_7[[#This Row],[Activity]]),"",IF(_xlfn.XLOOKUP(Term4_Day_7[[#This Row],[Activity]],Types_of_Activity[Type of Activity],Types_of_Activity[Classification])=1,Term4_Day_7[[#This Row],[Elapsed]],0))</f>
        <v/>
      </c>
      <c r="AW37" s="106" t="str">
        <f>IF(ISBLANK(Term4_Day_7[[#This Row],[Activity]]),"",IF(_xlfn.XLOOKUP(Term4_Day_7[[#This Row],[Activity]],Types_of_Activity[Type of Activity],Types_of_Activity[Classification])=2,Term4_Day_7[[#This Row],[Elapsed]],0))</f>
        <v/>
      </c>
      <c r="AX37" s="107"/>
      <c r="AY37" s="136"/>
      <c r="AZ37" s="136"/>
      <c r="BA37" s="103"/>
      <c r="BB37" s="106" t="str">
        <f>IF(OR(ISBLANK(Term4_Day_8[[#This Row],[Start]]),ISBLANK(Term4_Day_8[[#This Row],[End]])),"",(Term4_Day_8[[#This Row],[End]]-Term4_Day_8[[#This Row],[Start]])*1440)</f>
        <v/>
      </c>
      <c r="BC37" s="106" t="str">
        <f>IF(ISBLANK(Term4_Day_8[[#This Row],[Activity]]),"",IF(_xlfn.XLOOKUP(Term4_Day_8[[#This Row],[Activity]],Types_of_Activity[Type of Activity],Types_of_Activity[Classification])=1,Term4_Day_8[[#This Row],[Elapsed]],0))</f>
        <v/>
      </c>
      <c r="BD37" s="106" t="str">
        <f>IF(ISBLANK(Term4_Day_8[[#This Row],[Activity]]),"",IF(_xlfn.XLOOKUP(Term4_Day_8[[#This Row],[Activity]],Types_of_Activity[Type of Activity],Types_of_Activity[Classification])=2,Term4_Day_8[[#This Row],[Elapsed]],0))</f>
        <v/>
      </c>
      <c r="BE37" s="107"/>
      <c r="BF37" s="136"/>
      <c r="BG37" s="136"/>
      <c r="BH37" s="103"/>
      <c r="BI37" s="106" t="str">
        <f>IF(OR(ISBLANK(Term4_Day_9[[#This Row],[Start]]),ISBLANK(Term4_Day_9[[#This Row],[End]])),"",(Term4_Day_9[[#This Row],[End]]-Term4_Day_9[[#This Row],[Start]])*1440)</f>
        <v/>
      </c>
      <c r="BJ37" s="106" t="str">
        <f>IF(ISBLANK(Term4_Day_9[[#This Row],[Activity]]),"",IF(_xlfn.XLOOKUP(Term4_Day_9[[#This Row],[Activity]],Types_of_Activity[Type of Activity],Types_of_Activity[Classification])=1,Term4_Day_9[[#This Row],[Elapsed]],0))</f>
        <v/>
      </c>
      <c r="BK37" s="106" t="str">
        <f>IF(ISBLANK(Term4_Day_9[[#This Row],[Activity]]),"",IF(_xlfn.XLOOKUP(Term4_Day_9[[#This Row],[Activity]],Types_of_Activity[Type of Activity],Types_of_Activity[Classification])=2,Term4_Day_9[[#This Row],[Elapsed]],0))</f>
        <v/>
      </c>
      <c r="BL37" s="107"/>
      <c r="BM37" s="136"/>
      <c r="BN37" s="136"/>
      <c r="BO37" s="103"/>
      <c r="BP37" s="106" t="str">
        <f>IF(OR(ISBLANK(Term4_Day_10[[#This Row],[Start]]),ISBLANK(Term4_Day_10[[#This Row],[End]])),"",(Term4_Day_10[[#This Row],[End]]-Term4_Day_10[[#This Row],[Start]])*1440)</f>
        <v/>
      </c>
      <c r="BQ37" s="106" t="str">
        <f>IF(ISBLANK(Term4_Day_10[[#This Row],[Activity]]),"",IF(_xlfn.XLOOKUP(Term4_Day_10[[#This Row],[Activity]],Types_of_Activity[Type of Activity],Types_of_Activity[Classification])=1,Term4_Day_10[[#This Row],[Elapsed]],0))</f>
        <v/>
      </c>
      <c r="BR37" s="106" t="str">
        <f>IF(ISBLANK(Term4_Day_10[[#This Row],[Activity]]),"",IF(_xlfn.XLOOKUP(Term4_Day_10[[#This Row],[Activity]],Types_of_Activity[Type of Activity],Types_of_Activity[Classification])=2,Term4_Day_10[[#This Row],[Elapsed]],0))</f>
        <v/>
      </c>
      <c r="BS37" s="107"/>
    </row>
    <row r="38" spans="2:71" x14ac:dyDescent="0.3">
      <c r="B38" s="136"/>
      <c r="C38" s="136"/>
      <c r="D38" s="103"/>
      <c r="E38" s="106" t="str">
        <f>IF(OR(ISBLANK(Term4_Day_1[[#This Row],[Start]]),ISBLANK(Term4_Day_1[[#This Row],[End]])),"",(Term4_Day_1[[#This Row],[End]]-Term4_Day_1[[#This Row],[Start]])*1440)</f>
        <v/>
      </c>
      <c r="F38" s="106" t="str">
        <f>IF(ISBLANK(Term4_Day_1[[#This Row],[Activity]]),"",IF(_xlfn.XLOOKUP(Term4_Day_1[[#This Row],[Activity]],Types_of_Activity[Type of Activity],Types_of_Activity[Classification])=1,Term4_Day_1[[#This Row],[Elapsed]],0))</f>
        <v/>
      </c>
      <c r="G38" s="106" t="str">
        <f>IF(ISBLANK(Term4_Day_1[[#This Row],[Activity]]),"",IF(_xlfn.XLOOKUP(Term4_Day_1[[#This Row],[Activity]],Types_of_Activity[Type of Activity],Types_of_Activity[Classification])=2,Term4_Day_1[[#This Row],[Elapsed]],0))</f>
        <v/>
      </c>
      <c r="I38" s="136"/>
      <c r="J38" s="136"/>
      <c r="K38" s="103"/>
      <c r="L38" s="106" t="str">
        <f>IF(OR(ISBLANK(Term4_Day_2[[#This Row],[Start]]),ISBLANK(Term4_Day_2[[#This Row],[End]])),"",(Term4_Day_2[[#This Row],[End]]-Term4_Day_2[[#This Row],[Start]])*1440)</f>
        <v/>
      </c>
      <c r="M38" s="106" t="str">
        <f>IF(ISBLANK(Term4_Day_2[[#This Row],[Activity]]),"",IF(_xlfn.XLOOKUP(Term4_Day_2[[#This Row],[Activity]],Types_of_Activity[Type of Activity],Types_of_Activity[Classification])=1,Term4_Day_2[[#This Row],[Elapsed]],0))</f>
        <v/>
      </c>
      <c r="N38" s="106" t="str">
        <f>IF(ISBLANK(Term4_Day_2[[#This Row],[Activity]]),"",IF(_xlfn.XLOOKUP(Term4_Day_2[[#This Row],[Activity]],Types_of_Activity[Type of Activity],Types_of_Activity[Classification])=2,Term4_Day_2[[#This Row],[Elapsed]],0))</f>
        <v/>
      </c>
      <c r="P38" s="136"/>
      <c r="Q38" s="136"/>
      <c r="R38" s="103"/>
      <c r="S38" s="106" t="str">
        <f>IF(OR(ISBLANK(Term4_Day_3[[#This Row],[Start]]),ISBLANK(Term4_Day_3[[#This Row],[End]])),"",(Term4_Day_3[[#This Row],[End]]-Term4_Day_3[[#This Row],[Start]])*1440)</f>
        <v/>
      </c>
      <c r="T38" s="106" t="str">
        <f>IF(ISBLANK(Term4_Day_3[[#This Row],[Activity]]),"",IF(_xlfn.XLOOKUP(Term4_Day_3[[#This Row],[Activity]],Types_of_Activity[Type of Activity],Types_of_Activity[Classification])=1,Term4_Day_3[[#This Row],[Elapsed]],0))</f>
        <v/>
      </c>
      <c r="U38" s="106" t="str">
        <f>IF(ISBLANK(Term4_Day_3[[#This Row],[Activity]]),"",IF(_xlfn.XLOOKUP(Term4_Day_3[[#This Row],[Activity]],Types_of_Activity[Type of Activity],Types_of_Activity[Classification])=2,Term4_Day_3[[#This Row],[Elapsed]],0))</f>
        <v/>
      </c>
      <c r="W38" s="136"/>
      <c r="X38" s="136"/>
      <c r="Y38" s="103"/>
      <c r="Z38" s="106" t="str">
        <f>IF(OR(ISBLANK(Term4_Day_4[[#This Row],[Start]]),ISBLANK(Term4_Day_4[[#This Row],[End]])),"",(Term4_Day_4[[#This Row],[End]]-Term4_Day_4[[#This Row],[Start]])*1440)</f>
        <v/>
      </c>
      <c r="AA38" s="106" t="str">
        <f>IF(ISBLANK(Term4_Day_4[[#This Row],[Activity]]),"",IF(_xlfn.XLOOKUP(Term4_Day_4[[#This Row],[Activity]],Types_of_Activity[Type of Activity],Types_of_Activity[Classification])=1,Term4_Day_4[[#This Row],[Elapsed]],0))</f>
        <v/>
      </c>
      <c r="AB38" s="106" t="str">
        <f>IF(ISBLANK(Term4_Day_4[[#This Row],[Activity]]),"",IF(_xlfn.XLOOKUP(Term4_Day_4[[#This Row],[Activity]],Types_of_Activity[Type of Activity],Types_of_Activity[Classification])=2,Term4_Day_4[[#This Row],[Elapsed]],0))</f>
        <v/>
      </c>
      <c r="AD38" s="136"/>
      <c r="AE38" s="136"/>
      <c r="AF38" s="103"/>
      <c r="AG38" s="106" t="str">
        <f>IF(OR(ISBLANK(Term4_Day_5[[#This Row],[Start]]),ISBLANK(Term4_Day_5[[#This Row],[End]])),"",(Term4_Day_5[[#This Row],[End]]-Term4_Day_5[[#This Row],[Start]])*1440)</f>
        <v/>
      </c>
      <c r="AH38" s="106" t="str">
        <f>IF(ISBLANK(Term4_Day_5[[#This Row],[Activity]]),"",IF(_xlfn.XLOOKUP(Term4_Day_5[[#This Row],[Activity]],Types_of_Activity[Type of Activity],Types_of_Activity[Classification])=1,Term4_Day_5[[#This Row],[Elapsed]],0))</f>
        <v/>
      </c>
      <c r="AI38" s="106" t="str">
        <f>IF(ISBLANK(Term4_Day_5[[#This Row],[Activity]]),"",IF(_xlfn.XLOOKUP(Term4_Day_5[[#This Row],[Activity]],Types_of_Activity[Type of Activity],Types_of_Activity[Classification])=2,Term4_Day_5[[#This Row],[Elapsed]],0))</f>
        <v/>
      </c>
      <c r="AJ38" s="107"/>
      <c r="AK38" s="136"/>
      <c r="AL38" s="136"/>
      <c r="AM38" s="103"/>
      <c r="AN38" s="106" t="str">
        <f>IF(OR(ISBLANK(Term4_Day_6[[#This Row],[Start]]),ISBLANK(Term4_Day_6[[#This Row],[End]])),"",(Term4_Day_6[[#This Row],[End]]-Term4_Day_6[[#This Row],[Start]])*1440)</f>
        <v/>
      </c>
      <c r="AO38" s="106" t="str">
        <f>IF(ISBLANK(Term4_Day_6[[#This Row],[Activity]]),"",IF(_xlfn.XLOOKUP(Term4_Day_6[[#This Row],[Activity]],Types_of_Activity[Type of Activity],Types_of_Activity[Classification])=1,Term4_Day_6[[#This Row],[Elapsed]],0))</f>
        <v/>
      </c>
      <c r="AP38" s="106" t="str">
        <f>IF(ISBLANK(Term4_Day_6[[#This Row],[Activity]]),"",IF(_xlfn.XLOOKUP(Term4_Day_6[[#This Row],[Activity]],Types_of_Activity[Type of Activity],Types_of_Activity[Classification])=2,Term4_Day_6[[#This Row],[Elapsed]],0))</f>
        <v/>
      </c>
      <c r="AQ38" s="107"/>
      <c r="AR38" s="136"/>
      <c r="AS38" s="136"/>
      <c r="AT38" s="103"/>
      <c r="AU38" s="106" t="str">
        <f>IF(OR(ISBLANK(Term4_Day_7[[#This Row],[Start]]),ISBLANK(Term4_Day_7[[#This Row],[End]])),"",(Term4_Day_7[[#This Row],[End]]-Term4_Day_7[[#This Row],[Start]])*1440)</f>
        <v/>
      </c>
      <c r="AV38" s="106" t="str">
        <f>IF(ISBLANK(Term4_Day_7[[#This Row],[Activity]]),"",IF(_xlfn.XLOOKUP(Term4_Day_7[[#This Row],[Activity]],Types_of_Activity[Type of Activity],Types_of_Activity[Classification])=1,Term4_Day_7[[#This Row],[Elapsed]],0))</f>
        <v/>
      </c>
      <c r="AW38" s="106" t="str">
        <f>IF(ISBLANK(Term4_Day_7[[#This Row],[Activity]]),"",IF(_xlfn.XLOOKUP(Term4_Day_7[[#This Row],[Activity]],Types_of_Activity[Type of Activity],Types_of_Activity[Classification])=2,Term4_Day_7[[#This Row],[Elapsed]],0))</f>
        <v/>
      </c>
      <c r="AX38" s="107"/>
      <c r="AY38" s="136"/>
      <c r="AZ38" s="136"/>
      <c r="BA38" s="103"/>
      <c r="BB38" s="106" t="str">
        <f>IF(OR(ISBLANK(Term4_Day_8[[#This Row],[Start]]),ISBLANK(Term4_Day_8[[#This Row],[End]])),"",(Term4_Day_8[[#This Row],[End]]-Term4_Day_8[[#This Row],[Start]])*1440)</f>
        <v/>
      </c>
      <c r="BC38" s="106" t="str">
        <f>IF(ISBLANK(Term4_Day_8[[#This Row],[Activity]]),"",IF(_xlfn.XLOOKUP(Term4_Day_8[[#This Row],[Activity]],Types_of_Activity[Type of Activity],Types_of_Activity[Classification])=1,Term4_Day_8[[#This Row],[Elapsed]],0))</f>
        <v/>
      </c>
      <c r="BD38" s="106" t="str">
        <f>IF(ISBLANK(Term4_Day_8[[#This Row],[Activity]]),"",IF(_xlfn.XLOOKUP(Term4_Day_8[[#This Row],[Activity]],Types_of_Activity[Type of Activity],Types_of_Activity[Classification])=2,Term4_Day_8[[#This Row],[Elapsed]],0))</f>
        <v/>
      </c>
      <c r="BE38" s="107"/>
      <c r="BF38" s="136"/>
      <c r="BG38" s="136"/>
      <c r="BH38" s="103"/>
      <c r="BI38" s="106" t="str">
        <f>IF(OR(ISBLANK(Term4_Day_9[[#This Row],[Start]]),ISBLANK(Term4_Day_9[[#This Row],[End]])),"",(Term4_Day_9[[#This Row],[End]]-Term4_Day_9[[#This Row],[Start]])*1440)</f>
        <v/>
      </c>
      <c r="BJ38" s="106" t="str">
        <f>IF(ISBLANK(Term4_Day_9[[#This Row],[Activity]]),"",IF(_xlfn.XLOOKUP(Term4_Day_9[[#This Row],[Activity]],Types_of_Activity[Type of Activity],Types_of_Activity[Classification])=1,Term4_Day_9[[#This Row],[Elapsed]],0))</f>
        <v/>
      </c>
      <c r="BK38" s="106" t="str">
        <f>IF(ISBLANK(Term4_Day_9[[#This Row],[Activity]]),"",IF(_xlfn.XLOOKUP(Term4_Day_9[[#This Row],[Activity]],Types_of_Activity[Type of Activity],Types_of_Activity[Classification])=2,Term4_Day_9[[#This Row],[Elapsed]],0))</f>
        <v/>
      </c>
      <c r="BL38" s="107"/>
      <c r="BM38" s="136"/>
      <c r="BN38" s="136"/>
      <c r="BO38" s="103"/>
      <c r="BP38" s="106" t="str">
        <f>IF(OR(ISBLANK(Term4_Day_10[[#This Row],[Start]]),ISBLANK(Term4_Day_10[[#This Row],[End]])),"",(Term4_Day_10[[#This Row],[End]]-Term4_Day_10[[#This Row],[Start]])*1440)</f>
        <v/>
      </c>
      <c r="BQ38" s="106" t="str">
        <f>IF(ISBLANK(Term4_Day_10[[#This Row],[Activity]]),"",IF(_xlfn.XLOOKUP(Term4_Day_10[[#This Row],[Activity]],Types_of_Activity[Type of Activity],Types_of_Activity[Classification])=1,Term4_Day_10[[#This Row],[Elapsed]],0))</f>
        <v/>
      </c>
      <c r="BR38" s="106" t="str">
        <f>IF(ISBLANK(Term4_Day_10[[#This Row],[Activity]]),"",IF(_xlfn.XLOOKUP(Term4_Day_10[[#This Row],[Activity]],Types_of_Activity[Type of Activity],Types_of_Activity[Classification])=2,Term4_Day_10[[#This Row],[Elapsed]],0))</f>
        <v/>
      </c>
      <c r="BS38" s="107"/>
    </row>
    <row r="39" spans="2:71" x14ac:dyDescent="0.3">
      <c r="B39" s="136"/>
      <c r="C39" s="136"/>
      <c r="D39" s="103"/>
      <c r="E39" s="106" t="str">
        <f>IF(OR(ISBLANK(Term4_Day_1[[#This Row],[Start]]),ISBLANK(Term4_Day_1[[#This Row],[End]])),"",(Term4_Day_1[[#This Row],[End]]-Term4_Day_1[[#This Row],[Start]])*1440)</f>
        <v/>
      </c>
      <c r="F39" s="106" t="str">
        <f>IF(ISBLANK(Term4_Day_1[[#This Row],[Activity]]),"",IF(_xlfn.XLOOKUP(Term4_Day_1[[#This Row],[Activity]],Types_of_Activity[Type of Activity],Types_of_Activity[Classification])=1,Term4_Day_1[[#This Row],[Elapsed]],0))</f>
        <v/>
      </c>
      <c r="G39" s="106" t="str">
        <f>IF(ISBLANK(Term4_Day_1[[#This Row],[Activity]]),"",IF(_xlfn.XLOOKUP(Term4_Day_1[[#This Row],[Activity]],Types_of_Activity[Type of Activity],Types_of_Activity[Classification])=2,Term4_Day_1[[#This Row],[Elapsed]],0))</f>
        <v/>
      </c>
      <c r="I39" s="136"/>
      <c r="J39" s="136"/>
      <c r="K39" s="103"/>
      <c r="L39" s="106" t="str">
        <f>IF(OR(ISBLANK(Term4_Day_2[[#This Row],[Start]]),ISBLANK(Term4_Day_2[[#This Row],[End]])),"",(Term4_Day_2[[#This Row],[End]]-Term4_Day_2[[#This Row],[Start]])*1440)</f>
        <v/>
      </c>
      <c r="M39" s="106" t="str">
        <f>IF(ISBLANK(Term4_Day_2[[#This Row],[Activity]]),"",IF(_xlfn.XLOOKUP(Term4_Day_2[[#This Row],[Activity]],Types_of_Activity[Type of Activity],Types_of_Activity[Classification])=1,Term4_Day_2[[#This Row],[Elapsed]],0))</f>
        <v/>
      </c>
      <c r="N39" s="106" t="str">
        <f>IF(ISBLANK(Term4_Day_2[[#This Row],[Activity]]),"",IF(_xlfn.XLOOKUP(Term4_Day_2[[#This Row],[Activity]],Types_of_Activity[Type of Activity],Types_of_Activity[Classification])=2,Term4_Day_2[[#This Row],[Elapsed]],0))</f>
        <v/>
      </c>
      <c r="P39" s="136"/>
      <c r="Q39" s="136"/>
      <c r="R39" s="103"/>
      <c r="S39" s="106" t="str">
        <f>IF(OR(ISBLANK(Term4_Day_3[[#This Row],[Start]]),ISBLANK(Term4_Day_3[[#This Row],[End]])),"",(Term4_Day_3[[#This Row],[End]]-Term4_Day_3[[#This Row],[Start]])*1440)</f>
        <v/>
      </c>
      <c r="T39" s="106" t="str">
        <f>IF(ISBLANK(Term4_Day_3[[#This Row],[Activity]]),"",IF(_xlfn.XLOOKUP(Term4_Day_3[[#This Row],[Activity]],Types_of_Activity[Type of Activity],Types_of_Activity[Classification])=1,Term4_Day_3[[#This Row],[Elapsed]],0))</f>
        <v/>
      </c>
      <c r="U39" s="106" t="str">
        <f>IF(ISBLANK(Term4_Day_3[[#This Row],[Activity]]),"",IF(_xlfn.XLOOKUP(Term4_Day_3[[#This Row],[Activity]],Types_of_Activity[Type of Activity],Types_of_Activity[Classification])=2,Term4_Day_3[[#This Row],[Elapsed]],0))</f>
        <v/>
      </c>
      <c r="W39" s="136"/>
      <c r="X39" s="136"/>
      <c r="Y39" s="103"/>
      <c r="Z39" s="106" t="str">
        <f>IF(OR(ISBLANK(Term4_Day_4[[#This Row],[Start]]),ISBLANK(Term4_Day_4[[#This Row],[End]])),"",(Term4_Day_4[[#This Row],[End]]-Term4_Day_4[[#This Row],[Start]])*1440)</f>
        <v/>
      </c>
      <c r="AA39" s="106" t="str">
        <f>IF(ISBLANK(Term4_Day_4[[#This Row],[Activity]]),"",IF(_xlfn.XLOOKUP(Term4_Day_4[[#This Row],[Activity]],Types_of_Activity[Type of Activity],Types_of_Activity[Classification])=1,Term4_Day_4[[#This Row],[Elapsed]],0))</f>
        <v/>
      </c>
      <c r="AB39" s="106" t="str">
        <f>IF(ISBLANK(Term4_Day_4[[#This Row],[Activity]]),"",IF(_xlfn.XLOOKUP(Term4_Day_4[[#This Row],[Activity]],Types_of_Activity[Type of Activity],Types_of_Activity[Classification])=2,Term4_Day_4[[#This Row],[Elapsed]],0))</f>
        <v/>
      </c>
      <c r="AD39" s="136"/>
      <c r="AE39" s="136"/>
      <c r="AF39" s="103"/>
      <c r="AG39" s="106" t="str">
        <f>IF(OR(ISBLANK(Term4_Day_5[[#This Row],[Start]]),ISBLANK(Term4_Day_5[[#This Row],[End]])),"",(Term4_Day_5[[#This Row],[End]]-Term4_Day_5[[#This Row],[Start]])*1440)</f>
        <v/>
      </c>
      <c r="AH39" s="106" t="str">
        <f>IF(ISBLANK(Term4_Day_5[[#This Row],[Activity]]),"",IF(_xlfn.XLOOKUP(Term4_Day_5[[#This Row],[Activity]],Types_of_Activity[Type of Activity],Types_of_Activity[Classification])=1,Term4_Day_5[[#This Row],[Elapsed]],0))</f>
        <v/>
      </c>
      <c r="AI39" s="106" t="str">
        <f>IF(ISBLANK(Term4_Day_5[[#This Row],[Activity]]),"",IF(_xlfn.XLOOKUP(Term4_Day_5[[#This Row],[Activity]],Types_of_Activity[Type of Activity],Types_of_Activity[Classification])=2,Term4_Day_5[[#This Row],[Elapsed]],0))</f>
        <v/>
      </c>
      <c r="AJ39" s="107"/>
      <c r="AK39" s="136"/>
      <c r="AL39" s="136"/>
      <c r="AM39" s="103"/>
      <c r="AN39" s="106" t="str">
        <f>IF(OR(ISBLANK(Term4_Day_6[[#This Row],[Start]]),ISBLANK(Term4_Day_6[[#This Row],[End]])),"",(Term4_Day_6[[#This Row],[End]]-Term4_Day_6[[#This Row],[Start]])*1440)</f>
        <v/>
      </c>
      <c r="AO39" s="106" t="str">
        <f>IF(ISBLANK(Term4_Day_6[[#This Row],[Activity]]),"",IF(_xlfn.XLOOKUP(Term4_Day_6[[#This Row],[Activity]],Types_of_Activity[Type of Activity],Types_of_Activity[Classification])=1,Term4_Day_6[[#This Row],[Elapsed]],0))</f>
        <v/>
      </c>
      <c r="AP39" s="106" t="str">
        <f>IF(ISBLANK(Term4_Day_6[[#This Row],[Activity]]),"",IF(_xlfn.XLOOKUP(Term4_Day_6[[#This Row],[Activity]],Types_of_Activity[Type of Activity],Types_of_Activity[Classification])=2,Term4_Day_6[[#This Row],[Elapsed]],0))</f>
        <v/>
      </c>
      <c r="AQ39" s="107"/>
      <c r="AR39" s="136"/>
      <c r="AS39" s="136"/>
      <c r="AT39" s="103"/>
      <c r="AU39" s="106" t="str">
        <f>IF(OR(ISBLANK(Term4_Day_7[[#This Row],[Start]]),ISBLANK(Term4_Day_7[[#This Row],[End]])),"",(Term4_Day_7[[#This Row],[End]]-Term4_Day_7[[#This Row],[Start]])*1440)</f>
        <v/>
      </c>
      <c r="AV39" s="106" t="str">
        <f>IF(ISBLANK(Term4_Day_7[[#This Row],[Activity]]),"",IF(_xlfn.XLOOKUP(Term4_Day_7[[#This Row],[Activity]],Types_of_Activity[Type of Activity],Types_of_Activity[Classification])=1,Term4_Day_7[[#This Row],[Elapsed]],0))</f>
        <v/>
      </c>
      <c r="AW39" s="106" t="str">
        <f>IF(ISBLANK(Term4_Day_7[[#This Row],[Activity]]),"",IF(_xlfn.XLOOKUP(Term4_Day_7[[#This Row],[Activity]],Types_of_Activity[Type of Activity],Types_of_Activity[Classification])=2,Term4_Day_7[[#This Row],[Elapsed]],0))</f>
        <v/>
      </c>
      <c r="AX39" s="107"/>
      <c r="AY39" s="136"/>
      <c r="AZ39" s="136"/>
      <c r="BA39" s="103"/>
      <c r="BB39" s="106" t="str">
        <f>IF(OR(ISBLANK(Term4_Day_8[[#This Row],[Start]]),ISBLANK(Term4_Day_8[[#This Row],[End]])),"",(Term4_Day_8[[#This Row],[End]]-Term4_Day_8[[#This Row],[Start]])*1440)</f>
        <v/>
      </c>
      <c r="BC39" s="106" t="str">
        <f>IF(ISBLANK(Term4_Day_8[[#This Row],[Activity]]),"",IF(_xlfn.XLOOKUP(Term4_Day_8[[#This Row],[Activity]],Types_of_Activity[Type of Activity],Types_of_Activity[Classification])=1,Term4_Day_8[[#This Row],[Elapsed]],0))</f>
        <v/>
      </c>
      <c r="BD39" s="106" t="str">
        <f>IF(ISBLANK(Term4_Day_8[[#This Row],[Activity]]),"",IF(_xlfn.XLOOKUP(Term4_Day_8[[#This Row],[Activity]],Types_of_Activity[Type of Activity],Types_of_Activity[Classification])=2,Term4_Day_8[[#This Row],[Elapsed]],0))</f>
        <v/>
      </c>
      <c r="BE39" s="107"/>
      <c r="BF39" s="136"/>
      <c r="BG39" s="136"/>
      <c r="BH39" s="103"/>
      <c r="BI39" s="106" t="str">
        <f>IF(OR(ISBLANK(Term4_Day_9[[#This Row],[Start]]),ISBLANK(Term4_Day_9[[#This Row],[End]])),"",(Term4_Day_9[[#This Row],[End]]-Term4_Day_9[[#This Row],[Start]])*1440)</f>
        <v/>
      </c>
      <c r="BJ39" s="106" t="str">
        <f>IF(ISBLANK(Term4_Day_9[[#This Row],[Activity]]),"",IF(_xlfn.XLOOKUP(Term4_Day_9[[#This Row],[Activity]],Types_of_Activity[Type of Activity],Types_of_Activity[Classification])=1,Term4_Day_9[[#This Row],[Elapsed]],0))</f>
        <v/>
      </c>
      <c r="BK39" s="106" t="str">
        <f>IF(ISBLANK(Term4_Day_9[[#This Row],[Activity]]),"",IF(_xlfn.XLOOKUP(Term4_Day_9[[#This Row],[Activity]],Types_of_Activity[Type of Activity],Types_of_Activity[Classification])=2,Term4_Day_9[[#This Row],[Elapsed]],0))</f>
        <v/>
      </c>
      <c r="BL39" s="107"/>
      <c r="BM39" s="136"/>
      <c r="BN39" s="136"/>
      <c r="BO39" s="103"/>
      <c r="BP39" s="106" t="str">
        <f>IF(OR(ISBLANK(Term4_Day_10[[#This Row],[Start]]),ISBLANK(Term4_Day_10[[#This Row],[End]])),"",(Term4_Day_10[[#This Row],[End]]-Term4_Day_10[[#This Row],[Start]])*1440)</f>
        <v/>
      </c>
      <c r="BQ39" s="106" t="str">
        <f>IF(ISBLANK(Term4_Day_10[[#This Row],[Activity]]),"",IF(_xlfn.XLOOKUP(Term4_Day_10[[#This Row],[Activity]],Types_of_Activity[Type of Activity],Types_of_Activity[Classification])=1,Term4_Day_10[[#This Row],[Elapsed]],0))</f>
        <v/>
      </c>
      <c r="BR39" s="106" t="str">
        <f>IF(ISBLANK(Term4_Day_10[[#This Row],[Activity]]),"",IF(_xlfn.XLOOKUP(Term4_Day_10[[#This Row],[Activity]],Types_of_Activity[Type of Activity],Types_of_Activity[Classification])=2,Term4_Day_10[[#This Row],[Elapsed]],0))</f>
        <v/>
      </c>
      <c r="BS39" s="107"/>
    </row>
    <row r="40" spans="2:71" x14ac:dyDescent="0.3">
      <c r="B40" s="136"/>
      <c r="C40" s="136"/>
      <c r="D40" s="103"/>
      <c r="E40" s="106" t="str">
        <f>IF(OR(ISBLANK(Term4_Day_1[[#This Row],[Start]]),ISBLANK(Term4_Day_1[[#This Row],[End]])),"",(Term4_Day_1[[#This Row],[End]]-Term4_Day_1[[#This Row],[Start]])*1440)</f>
        <v/>
      </c>
      <c r="F40" s="106" t="str">
        <f>IF(ISBLANK(Term4_Day_1[[#This Row],[Activity]]),"",IF(_xlfn.XLOOKUP(Term4_Day_1[[#This Row],[Activity]],Types_of_Activity[Type of Activity],Types_of_Activity[Classification])=1,Term4_Day_1[[#This Row],[Elapsed]],0))</f>
        <v/>
      </c>
      <c r="G40" s="106" t="str">
        <f>IF(ISBLANK(Term4_Day_1[[#This Row],[Activity]]),"",IF(_xlfn.XLOOKUP(Term4_Day_1[[#This Row],[Activity]],Types_of_Activity[Type of Activity],Types_of_Activity[Classification])=2,Term4_Day_1[[#This Row],[Elapsed]],0))</f>
        <v/>
      </c>
      <c r="I40" s="136"/>
      <c r="J40" s="136"/>
      <c r="K40" s="103"/>
      <c r="L40" s="106" t="str">
        <f>IF(OR(ISBLANK(Term4_Day_2[[#This Row],[Start]]),ISBLANK(Term4_Day_2[[#This Row],[End]])),"",(Term4_Day_2[[#This Row],[End]]-Term4_Day_2[[#This Row],[Start]])*1440)</f>
        <v/>
      </c>
      <c r="M40" s="106" t="str">
        <f>IF(ISBLANK(Term4_Day_2[[#This Row],[Activity]]),"",IF(_xlfn.XLOOKUP(Term4_Day_2[[#This Row],[Activity]],Types_of_Activity[Type of Activity],Types_of_Activity[Classification])=1,Term4_Day_2[[#This Row],[Elapsed]],0))</f>
        <v/>
      </c>
      <c r="N40" s="106" t="str">
        <f>IF(ISBLANK(Term4_Day_2[[#This Row],[Activity]]),"",IF(_xlfn.XLOOKUP(Term4_Day_2[[#This Row],[Activity]],Types_of_Activity[Type of Activity],Types_of_Activity[Classification])=2,Term4_Day_2[[#This Row],[Elapsed]],0))</f>
        <v/>
      </c>
      <c r="P40" s="136"/>
      <c r="Q40" s="136"/>
      <c r="R40" s="103"/>
      <c r="S40" s="106" t="str">
        <f>IF(OR(ISBLANK(Term4_Day_3[[#This Row],[Start]]),ISBLANK(Term4_Day_3[[#This Row],[End]])),"",(Term4_Day_3[[#This Row],[End]]-Term4_Day_3[[#This Row],[Start]])*1440)</f>
        <v/>
      </c>
      <c r="T40" s="106" t="str">
        <f>IF(ISBLANK(Term4_Day_3[[#This Row],[Activity]]),"",IF(_xlfn.XLOOKUP(Term4_Day_3[[#This Row],[Activity]],Types_of_Activity[Type of Activity],Types_of_Activity[Classification])=1,Term4_Day_3[[#This Row],[Elapsed]],0))</f>
        <v/>
      </c>
      <c r="U40" s="106" t="str">
        <f>IF(ISBLANK(Term4_Day_3[[#This Row],[Activity]]),"",IF(_xlfn.XLOOKUP(Term4_Day_3[[#This Row],[Activity]],Types_of_Activity[Type of Activity],Types_of_Activity[Classification])=2,Term4_Day_3[[#This Row],[Elapsed]],0))</f>
        <v/>
      </c>
      <c r="W40" s="136"/>
      <c r="X40" s="136"/>
      <c r="Y40" s="103"/>
      <c r="Z40" s="106" t="str">
        <f>IF(OR(ISBLANK(Term4_Day_4[[#This Row],[Start]]),ISBLANK(Term4_Day_4[[#This Row],[End]])),"",(Term4_Day_4[[#This Row],[End]]-Term4_Day_4[[#This Row],[Start]])*1440)</f>
        <v/>
      </c>
      <c r="AA40" s="106" t="str">
        <f>IF(ISBLANK(Term4_Day_4[[#This Row],[Activity]]),"",IF(_xlfn.XLOOKUP(Term4_Day_4[[#This Row],[Activity]],Types_of_Activity[Type of Activity],Types_of_Activity[Classification])=1,Term4_Day_4[[#This Row],[Elapsed]],0))</f>
        <v/>
      </c>
      <c r="AB40" s="106" t="str">
        <f>IF(ISBLANK(Term4_Day_4[[#This Row],[Activity]]),"",IF(_xlfn.XLOOKUP(Term4_Day_4[[#This Row],[Activity]],Types_of_Activity[Type of Activity],Types_of_Activity[Classification])=2,Term4_Day_4[[#This Row],[Elapsed]],0))</f>
        <v/>
      </c>
      <c r="AD40" s="136"/>
      <c r="AE40" s="136"/>
      <c r="AF40" s="103"/>
      <c r="AG40" s="106" t="str">
        <f>IF(OR(ISBLANK(Term4_Day_5[[#This Row],[Start]]),ISBLANK(Term4_Day_5[[#This Row],[End]])),"",(Term4_Day_5[[#This Row],[End]]-Term4_Day_5[[#This Row],[Start]])*1440)</f>
        <v/>
      </c>
      <c r="AH40" s="106" t="str">
        <f>IF(ISBLANK(Term4_Day_5[[#This Row],[Activity]]),"",IF(_xlfn.XLOOKUP(Term4_Day_5[[#This Row],[Activity]],Types_of_Activity[Type of Activity],Types_of_Activity[Classification])=1,Term4_Day_5[[#This Row],[Elapsed]],0))</f>
        <v/>
      </c>
      <c r="AI40" s="106" t="str">
        <f>IF(ISBLANK(Term4_Day_5[[#This Row],[Activity]]),"",IF(_xlfn.XLOOKUP(Term4_Day_5[[#This Row],[Activity]],Types_of_Activity[Type of Activity],Types_of_Activity[Classification])=2,Term4_Day_5[[#This Row],[Elapsed]],0))</f>
        <v/>
      </c>
      <c r="AJ40" s="107"/>
      <c r="AK40" s="136"/>
      <c r="AL40" s="136"/>
      <c r="AM40" s="103"/>
      <c r="AN40" s="106" t="str">
        <f>IF(OR(ISBLANK(Term4_Day_6[[#This Row],[Start]]),ISBLANK(Term4_Day_6[[#This Row],[End]])),"",(Term4_Day_6[[#This Row],[End]]-Term4_Day_6[[#This Row],[Start]])*1440)</f>
        <v/>
      </c>
      <c r="AO40" s="106" t="str">
        <f>IF(ISBLANK(Term4_Day_6[[#This Row],[Activity]]),"",IF(_xlfn.XLOOKUP(Term4_Day_6[[#This Row],[Activity]],Types_of_Activity[Type of Activity],Types_of_Activity[Classification])=1,Term4_Day_6[[#This Row],[Elapsed]],0))</f>
        <v/>
      </c>
      <c r="AP40" s="106" t="str">
        <f>IF(ISBLANK(Term4_Day_6[[#This Row],[Activity]]),"",IF(_xlfn.XLOOKUP(Term4_Day_6[[#This Row],[Activity]],Types_of_Activity[Type of Activity],Types_of_Activity[Classification])=2,Term4_Day_6[[#This Row],[Elapsed]],0))</f>
        <v/>
      </c>
      <c r="AQ40" s="107"/>
      <c r="AR40" s="136"/>
      <c r="AS40" s="136"/>
      <c r="AT40" s="103"/>
      <c r="AU40" s="106" t="str">
        <f>IF(OR(ISBLANK(Term4_Day_7[[#This Row],[Start]]),ISBLANK(Term4_Day_7[[#This Row],[End]])),"",(Term4_Day_7[[#This Row],[End]]-Term4_Day_7[[#This Row],[Start]])*1440)</f>
        <v/>
      </c>
      <c r="AV40" s="106" t="str">
        <f>IF(ISBLANK(Term4_Day_7[[#This Row],[Activity]]),"",IF(_xlfn.XLOOKUP(Term4_Day_7[[#This Row],[Activity]],Types_of_Activity[Type of Activity],Types_of_Activity[Classification])=1,Term4_Day_7[[#This Row],[Elapsed]],0))</f>
        <v/>
      </c>
      <c r="AW40" s="106" t="str">
        <f>IF(ISBLANK(Term4_Day_7[[#This Row],[Activity]]),"",IF(_xlfn.XLOOKUP(Term4_Day_7[[#This Row],[Activity]],Types_of_Activity[Type of Activity],Types_of_Activity[Classification])=2,Term4_Day_7[[#This Row],[Elapsed]],0))</f>
        <v/>
      </c>
      <c r="AX40" s="107"/>
      <c r="AY40" s="136"/>
      <c r="AZ40" s="136"/>
      <c r="BA40" s="103"/>
      <c r="BB40" s="106" t="str">
        <f>IF(OR(ISBLANK(Term4_Day_8[[#This Row],[Start]]),ISBLANK(Term4_Day_8[[#This Row],[End]])),"",(Term4_Day_8[[#This Row],[End]]-Term4_Day_8[[#This Row],[Start]])*1440)</f>
        <v/>
      </c>
      <c r="BC40" s="106" t="str">
        <f>IF(ISBLANK(Term4_Day_8[[#This Row],[Activity]]),"",IF(_xlfn.XLOOKUP(Term4_Day_8[[#This Row],[Activity]],Types_of_Activity[Type of Activity],Types_of_Activity[Classification])=1,Term4_Day_8[[#This Row],[Elapsed]],0))</f>
        <v/>
      </c>
      <c r="BD40" s="106" t="str">
        <f>IF(ISBLANK(Term4_Day_8[[#This Row],[Activity]]),"",IF(_xlfn.XLOOKUP(Term4_Day_8[[#This Row],[Activity]],Types_of_Activity[Type of Activity],Types_of_Activity[Classification])=2,Term4_Day_8[[#This Row],[Elapsed]],0))</f>
        <v/>
      </c>
      <c r="BE40" s="107"/>
      <c r="BF40" s="136"/>
      <c r="BG40" s="136"/>
      <c r="BH40" s="103"/>
      <c r="BI40" s="106" t="str">
        <f>IF(OR(ISBLANK(Term4_Day_9[[#This Row],[Start]]),ISBLANK(Term4_Day_9[[#This Row],[End]])),"",(Term4_Day_9[[#This Row],[End]]-Term4_Day_9[[#This Row],[Start]])*1440)</f>
        <v/>
      </c>
      <c r="BJ40" s="106" t="str">
        <f>IF(ISBLANK(Term4_Day_9[[#This Row],[Activity]]),"",IF(_xlfn.XLOOKUP(Term4_Day_9[[#This Row],[Activity]],Types_of_Activity[Type of Activity],Types_of_Activity[Classification])=1,Term4_Day_9[[#This Row],[Elapsed]],0))</f>
        <v/>
      </c>
      <c r="BK40" s="106" t="str">
        <f>IF(ISBLANK(Term4_Day_9[[#This Row],[Activity]]),"",IF(_xlfn.XLOOKUP(Term4_Day_9[[#This Row],[Activity]],Types_of_Activity[Type of Activity],Types_of_Activity[Classification])=2,Term4_Day_9[[#This Row],[Elapsed]],0))</f>
        <v/>
      </c>
      <c r="BL40" s="107"/>
      <c r="BM40" s="136"/>
      <c r="BN40" s="136"/>
      <c r="BO40" s="103"/>
      <c r="BP40" s="106" t="str">
        <f>IF(OR(ISBLANK(Term4_Day_10[[#This Row],[Start]]),ISBLANK(Term4_Day_10[[#This Row],[End]])),"",(Term4_Day_10[[#This Row],[End]]-Term4_Day_10[[#This Row],[Start]])*1440)</f>
        <v/>
      </c>
      <c r="BQ40" s="106" t="str">
        <f>IF(ISBLANK(Term4_Day_10[[#This Row],[Activity]]),"",IF(_xlfn.XLOOKUP(Term4_Day_10[[#This Row],[Activity]],Types_of_Activity[Type of Activity],Types_of_Activity[Classification])=1,Term4_Day_10[[#This Row],[Elapsed]],0))</f>
        <v/>
      </c>
      <c r="BR40" s="106" t="str">
        <f>IF(ISBLANK(Term4_Day_10[[#This Row],[Activity]]),"",IF(_xlfn.XLOOKUP(Term4_Day_10[[#This Row],[Activity]],Types_of_Activity[Type of Activity],Types_of_Activity[Classification])=2,Term4_Day_10[[#This Row],[Elapsed]],0))</f>
        <v/>
      </c>
      <c r="BS40" s="107"/>
    </row>
    <row r="41" spans="2:71" x14ac:dyDescent="0.3">
      <c r="B41" s="136"/>
      <c r="C41" s="136"/>
      <c r="D41" s="103"/>
      <c r="E41" s="106" t="str">
        <f>IF(OR(ISBLANK(Term4_Day_1[[#This Row],[Start]]),ISBLANK(Term4_Day_1[[#This Row],[End]])),"",(Term4_Day_1[[#This Row],[End]]-Term4_Day_1[[#This Row],[Start]])*1440)</f>
        <v/>
      </c>
      <c r="F41" s="106" t="str">
        <f>IF(ISBLANK(Term4_Day_1[[#This Row],[Activity]]),"",IF(_xlfn.XLOOKUP(Term4_Day_1[[#This Row],[Activity]],Types_of_Activity[Type of Activity],Types_of_Activity[Classification])=1,Term4_Day_1[[#This Row],[Elapsed]],0))</f>
        <v/>
      </c>
      <c r="G41" s="106" t="str">
        <f>IF(ISBLANK(Term4_Day_1[[#This Row],[Activity]]),"",IF(_xlfn.XLOOKUP(Term4_Day_1[[#This Row],[Activity]],Types_of_Activity[Type of Activity],Types_of_Activity[Classification])=2,Term4_Day_1[[#This Row],[Elapsed]],0))</f>
        <v/>
      </c>
      <c r="I41" s="136"/>
      <c r="J41" s="136"/>
      <c r="K41" s="103"/>
      <c r="L41" s="106" t="str">
        <f>IF(OR(ISBLANK(Term4_Day_2[[#This Row],[Start]]),ISBLANK(Term4_Day_2[[#This Row],[End]])),"",(Term4_Day_2[[#This Row],[End]]-Term4_Day_2[[#This Row],[Start]])*1440)</f>
        <v/>
      </c>
      <c r="M41" s="106" t="str">
        <f>IF(ISBLANK(Term4_Day_2[[#This Row],[Activity]]),"",IF(_xlfn.XLOOKUP(Term4_Day_2[[#This Row],[Activity]],Types_of_Activity[Type of Activity],Types_of_Activity[Classification])=1,Term4_Day_2[[#This Row],[Elapsed]],0))</f>
        <v/>
      </c>
      <c r="N41" s="106" t="str">
        <f>IF(ISBLANK(Term4_Day_2[[#This Row],[Activity]]),"",IF(_xlfn.XLOOKUP(Term4_Day_2[[#This Row],[Activity]],Types_of_Activity[Type of Activity],Types_of_Activity[Classification])=2,Term4_Day_2[[#This Row],[Elapsed]],0))</f>
        <v/>
      </c>
      <c r="P41" s="136"/>
      <c r="Q41" s="136"/>
      <c r="R41" s="103"/>
      <c r="S41" s="106" t="str">
        <f>IF(OR(ISBLANK(Term4_Day_3[[#This Row],[Start]]),ISBLANK(Term4_Day_3[[#This Row],[End]])),"",(Term4_Day_3[[#This Row],[End]]-Term4_Day_3[[#This Row],[Start]])*1440)</f>
        <v/>
      </c>
      <c r="T41" s="106" t="str">
        <f>IF(ISBLANK(Term4_Day_3[[#This Row],[Activity]]),"",IF(_xlfn.XLOOKUP(Term4_Day_3[[#This Row],[Activity]],Types_of_Activity[Type of Activity],Types_of_Activity[Classification])=1,Term4_Day_3[[#This Row],[Elapsed]],0))</f>
        <v/>
      </c>
      <c r="U41" s="106" t="str">
        <f>IF(ISBLANK(Term4_Day_3[[#This Row],[Activity]]),"",IF(_xlfn.XLOOKUP(Term4_Day_3[[#This Row],[Activity]],Types_of_Activity[Type of Activity],Types_of_Activity[Classification])=2,Term4_Day_3[[#This Row],[Elapsed]],0))</f>
        <v/>
      </c>
      <c r="W41" s="136"/>
      <c r="X41" s="136"/>
      <c r="Y41" s="103"/>
      <c r="Z41" s="106" t="str">
        <f>IF(OR(ISBLANK(Term4_Day_4[[#This Row],[Start]]),ISBLANK(Term4_Day_4[[#This Row],[End]])),"",(Term4_Day_4[[#This Row],[End]]-Term4_Day_4[[#This Row],[Start]])*1440)</f>
        <v/>
      </c>
      <c r="AA41" s="106" t="str">
        <f>IF(ISBLANK(Term4_Day_4[[#This Row],[Activity]]),"",IF(_xlfn.XLOOKUP(Term4_Day_4[[#This Row],[Activity]],Types_of_Activity[Type of Activity],Types_of_Activity[Classification])=1,Term4_Day_4[[#This Row],[Elapsed]],0))</f>
        <v/>
      </c>
      <c r="AB41" s="106" t="str">
        <f>IF(ISBLANK(Term4_Day_4[[#This Row],[Activity]]),"",IF(_xlfn.XLOOKUP(Term4_Day_4[[#This Row],[Activity]],Types_of_Activity[Type of Activity],Types_of_Activity[Classification])=2,Term4_Day_4[[#This Row],[Elapsed]],0))</f>
        <v/>
      </c>
      <c r="AD41" s="136"/>
      <c r="AE41" s="136"/>
      <c r="AF41" s="103"/>
      <c r="AG41" s="106" t="str">
        <f>IF(OR(ISBLANK(Term4_Day_5[[#This Row],[Start]]),ISBLANK(Term4_Day_5[[#This Row],[End]])),"",(Term4_Day_5[[#This Row],[End]]-Term4_Day_5[[#This Row],[Start]])*1440)</f>
        <v/>
      </c>
      <c r="AH41" s="106" t="str">
        <f>IF(ISBLANK(Term4_Day_5[[#This Row],[Activity]]),"",IF(_xlfn.XLOOKUP(Term4_Day_5[[#This Row],[Activity]],Types_of_Activity[Type of Activity],Types_of_Activity[Classification])=1,Term4_Day_5[[#This Row],[Elapsed]],0))</f>
        <v/>
      </c>
      <c r="AI41" s="106" t="str">
        <f>IF(ISBLANK(Term4_Day_5[[#This Row],[Activity]]),"",IF(_xlfn.XLOOKUP(Term4_Day_5[[#This Row],[Activity]],Types_of_Activity[Type of Activity],Types_of_Activity[Classification])=2,Term4_Day_5[[#This Row],[Elapsed]],0))</f>
        <v/>
      </c>
      <c r="AJ41" s="107"/>
      <c r="AK41" s="136"/>
      <c r="AL41" s="136"/>
      <c r="AM41" s="103"/>
      <c r="AN41" s="106" t="str">
        <f>IF(OR(ISBLANK(Term4_Day_6[[#This Row],[Start]]),ISBLANK(Term4_Day_6[[#This Row],[End]])),"",(Term4_Day_6[[#This Row],[End]]-Term4_Day_6[[#This Row],[Start]])*1440)</f>
        <v/>
      </c>
      <c r="AO41" s="106" t="str">
        <f>IF(ISBLANK(Term4_Day_6[[#This Row],[Activity]]),"",IF(_xlfn.XLOOKUP(Term4_Day_6[[#This Row],[Activity]],Types_of_Activity[Type of Activity],Types_of_Activity[Classification])=1,Term4_Day_6[[#This Row],[Elapsed]],0))</f>
        <v/>
      </c>
      <c r="AP41" s="106" t="str">
        <f>IF(ISBLANK(Term4_Day_6[[#This Row],[Activity]]),"",IF(_xlfn.XLOOKUP(Term4_Day_6[[#This Row],[Activity]],Types_of_Activity[Type of Activity],Types_of_Activity[Classification])=2,Term4_Day_6[[#This Row],[Elapsed]],0))</f>
        <v/>
      </c>
      <c r="AQ41" s="107"/>
      <c r="AR41" s="136"/>
      <c r="AS41" s="136"/>
      <c r="AT41" s="103"/>
      <c r="AU41" s="106" t="str">
        <f>IF(OR(ISBLANK(Term4_Day_7[[#This Row],[Start]]),ISBLANK(Term4_Day_7[[#This Row],[End]])),"",(Term4_Day_7[[#This Row],[End]]-Term4_Day_7[[#This Row],[Start]])*1440)</f>
        <v/>
      </c>
      <c r="AV41" s="106" t="str">
        <f>IF(ISBLANK(Term4_Day_7[[#This Row],[Activity]]),"",IF(_xlfn.XLOOKUP(Term4_Day_7[[#This Row],[Activity]],Types_of_Activity[Type of Activity],Types_of_Activity[Classification])=1,Term4_Day_7[[#This Row],[Elapsed]],0))</f>
        <v/>
      </c>
      <c r="AW41" s="106" t="str">
        <f>IF(ISBLANK(Term4_Day_7[[#This Row],[Activity]]),"",IF(_xlfn.XLOOKUP(Term4_Day_7[[#This Row],[Activity]],Types_of_Activity[Type of Activity],Types_of_Activity[Classification])=2,Term4_Day_7[[#This Row],[Elapsed]],0))</f>
        <v/>
      </c>
      <c r="AX41" s="107"/>
      <c r="AY41" s="136"/>
      <c r="AZ41" s="136"/>
      <c r="BA41" s="103"/>
      <c r="BB41" s="106" t="str">
        <f>IF(OR(ISBLANK(Term4_Day_8[[#This Row],[Start]]),ISBLANK(Term4_Day_8[[#This Row],[End]])),"",(Term4_Day_8[[#This Row],[End]]-Term4_Day_8[[#This Row],[Start]])*1440)</f>
        <v/>
      </c>
      <c r="BC41" s="106" t="str">
        <f>IF(ISBLANK(Term4_Day_8[[#This Row],[Activity]]),"",IF(_xlfn.XLOOKUP(Term4_Day_8[[#This Row],[Activity]],Types_of_Activity[Type of Activity],Types_of_Activity[Classification])=1,Term4_Day_8[[#This Row],[Elapsed]],0))</f>
        <v/>
      </c>
      <c r="BD41" s="106" t="str">
        <f>IF(ISBLANK(Term4_Day_8[[#This Row],[Activity]]),"",IF(_xlfn.XLOOKUP(Term4_Day_8[[#This Row],[Activity]],Types_of_Activity[Type of Activity],Types_of_Activity[Classification])=2,Term4_Day_8[[#This Row],[Elapsed]],0))</f>
        <v/>
      </c>
      <c r="BE41" s="107"/>
      <c r="BF41" s="136"/>
      <c r="BG41" s="136"/>
      <c r="BH41" s="103"/>
      <c r="BI41" s="106" t="str">
        <f>IF(OR(ISBLANK(Term4_Day_9[[#This Row],[Start]]),ISBLANK(Term4_Day_9[[#This Row],[End]])),"",(Term4_Day_9[[#This Row],[End]]-Term4_Day_9[[#This Row],[Start]])*1440)</f>
        <v/>
      </c>
      <c r="BJ41" s="106" t="str">
        <f>IF(ISBLANK(Term4_Day_9[[#This Row],[Activity]]),"",IF(_xlfn.XLOOKUP(Term4_Day_9[[#This Row],[Activity]],Types_of_Activity[Type of Activity],Types_of_Activity[Classification])=1,Term4_Day_9[[#This Row],[Elapsed]],0))</f>
        <v/>
      </c>
      <c r="BK41" s="106" t="str">
        <f>IF(ISBLANK(Term4_Day_9[[#This Row],[Activity]]),"",IF(_xlfn.XLOOKUP(Term4_Day_9[[#This Row],[Activity]],Types_of_Activity[Type of Activity],Types_of_Activity[Classification])=2,Term4_Day_9[[#This Row],[Elapsed]],0))</f>
        <v/>
      </c>
      <c r="BL41" s="107"/>
      <c r="BM41" s="136"/>
      <c r="BN41" s="136"/>
      <c r="BO41" s="103"/>
      <c r="BP41" s="106" t="str">
        <f>IF(OR(ISBLANK(Term4_Day_10[[#This Row],[Start]]),ISBLANK(Term4_Day_10[[#This Row],[End]])),"",(Term4_Day_10[[#This Row],[End]]-Term4_Day_10[[#This Row],[Start]])*1440)</f>
        <v/>
      </c>
      <c r="BQ41" s="106" t="str">
        <f>IF(ISBLANK(Term4_Day_10[[#This Row],[Activity]]),"",IF(_xlfn.XLOOKUP(Term4_Day_10[[#This Row],[Activity]],Types_of_Activity[Type of Activity],Types_of_Activity[Classification])=1,Term4_Day_10[[#This Row],[Elapsed]],0))</f>
        <v/>
      </c>
      <c r="BR41" s="106" t="str">
        <f>IF(ISBLANK(Term4_Day_10[[#This Row],[Activity]]),"",IF(_xlfn.XLOOKUP(Term4_Day_10[[#This Row],[Activity]],Types_of_Activity[Type of Activity],Types_of_Activity[Classification])=2,Term4_Day_10[[#This Row],[Elapsed]],0))</f>
        <v/>
      </c>
      <c r="BS41" s="107"/>
    </row>
    <row r="42" spans="2:71" x14ac:dyDescent="0.3">
      <c r="B42" s="136"/>
      <c r="C42" s="136"/>
      <c r="D42" s="103"/>
      <c r="E42" s="106" t="str">
        <f>IF(OR(ISBLANK(Term4_Day_1[[#This Row],[Start]]),ISBLANK(Term4_Day_1[[#This Row],[End]])),"",(Term4_Day_1[[#This Row],[End]]-Term4_Day_1[[#This Row],[Start]])*1440)</f>
        <v/>
      </c>
      <c r="F42" s="106" t="str">
        <f>IF(ISBLANK(Term4_Day_1[[#This Row],[Activity]]),"",IF(_xlfn.XLOOKUP(Term4_Day_1[[#This Row],[Activity]],Types_of_Activity[Type of Activity],Types_of_Activity[Classification])=1,Term4_Day_1[[#This Row],[Elapsed]],0))</f>
        <v/>
      </c>
      <c r="G42" s="106" t="str">
        <f>IF(ISBLANK(Term4_Day_1[[#This Row],[Activity]]),"",IF(_xlfn.XLOOKUP(Term4_Day_1[[#This Row],[Activity]],Types_of_Activity[Type of Activity],Types_of_Activity[Classification])=2,Term4_Day_1[[#This Row],[Elapsed]],0))</f>
        <v/>
      </c>
      <c r="I42" s="136"/>
      <c r="J42" s="136"/>
      <c r="K42" s="103"/>
      <c r="L42" s="106" t="str">
        <f>IF(OR(ISBLANK(Term4_Day_2[[#This Row],[Start]]),ISBLANK(Term4_Day_2[[#This Row],[End]])),"",(Term4_Day_2[[#This Row],[End]]-Term4_Day_2[[#This Row],[Start]])*1440)</f>
        <v/>
      </c>
      <c r="M42" s="106" t="str">
        <f>IF(ISBLANK(Term4_Day_2[[#This Row],[Activity]]),"",IF(_xlfn.XLOOKUP(Term4_Day_2[[#This Row],[Activity]],Types_of_Activity[Type of Activity],Types_of_Activity[Classification])=1,Term4_Day_2[[#This Row],[Elapsed]],0))</f>
        <v/>
      </c>
      <c r="N42" s="106" t="str">
        <f>IF(ISBLANK(Term4_Day_2[[#This Row],[Activity]]),"",IF(_xlfn.XLOOKUP(Term4_Day_2[[#This Row],[Activity]],Types_of_Activity[Type of Activity],Types_of_Activity[Classification])=2,Term4_Day_2[[#This Row],[Elapsed]],0))</f>
        <v/>
      </c>
      <c r="P42" s="136"/>
      <c r="Q42" s="136"/>
      <c r="R42" s="103"/>
      <c r="S42" s="106" t="str">
        <f>IF(OR(ISBLANK(Term4_Day_3[[#This Row],[Start]]),ISBLANK(Term4_Day_3[[#This Row],[End]])),"",(Term4_Day_3[[#This Row],[End]]-Term4_Day_3[[#This Row],[Start]])*1440)</f>
        <v/>
      </c>
      <c r="T42" s="106" t="str">
        <f>IF(ISBLANK(Term4_Day_3[[#This Row],[Activity]]),"",IF(_xlfn.XLOOKUP(Term4_Day_3[[#This Row],[Activity]],Types_of_Activity[Type of Activity],Types_of_Activity[Classification])=1,Term4_Day_3[[#This Row],[Elapsed]],0))</f>
        <v/>
      </c>
      <c r="U42" s="106" t="str">
        <f>IF(ISBLANK(Term4_Day_3[[#This Row],[Activity]]),"",IF(_xlfn.XLOOKUP(Term4_Day_3[[#This Row],[Activity]],Types_of_Activity[Type of Activity],Types_of_Activity[Classification])=2,Term4_Day_3[[#This Row],[Elapsed]],0))</f>
        <v/>
      </c>
      <c r="W42" s="136"/>
      <c r="X42" s="136"/>
      <c r="Y42" s="103"/>
      <c r="Z42" s="106" t="str">
        <f>IF(OR(ISBLANK(Term4_Day_4[[#This Row],[Start]]),ISBLANK(Term4_Day_4[[#This Row],[End]])),"",(Term4_Day_4[[#This Row],[End]]-Term4_Day_4[[#This Row],[Start]])*1440)</f>
        <v/>
      </c>
      <c r="AA42" s="106" t="str">
        <f>IF(ISBLANK(Term4_Day_4[[#This Row],[Activity]]),"",IF(_xlfn.XLOOKUP(Term4_Day_4[[#This Row],[Activity]],Types_of_Activity[Type of Activity],Types_of_Activity[Classification])=1,Term4_Day_4[[#This Row],[Elapsed]],0))</f>
        <v/>
      </c>
      <c r="AB42" s="106" t="str">
        <f>IF(ISBLANK(Term4_Day_4[[#This Row],[Activity]]),"",IF(_xlfn.XLOOKUP(Term4_Day_4[[#This Row],[Activity]],Types_of_Activity[Type of Activity],Types_of_Activity[Classification])=2,Term4_Day_4[[#This Row],[Elapsed]],0))</f>
        <v/>
      </c>
      <c r="AD42" s="136"/>
      <c r="AE42" s="136"/>
      <c r="AF42" s="103"/>
      <c r="AG42" s="106" t="str">
        <f>IF(OR(ISBLANK(Term4_Day_5[[#This Row],[Start]]),ISBLANK(Term4_Day_5[[#This Row],[End]])),"",(Term4_Day_5[[#This Row],[End]]-Term4_Day_5[[#This Row],[Start]])*1440)</f>
        <v/>
      </c>
      <c r="AH42" s="106" t="str">
        <f>IF(ISBLANK(Term4_Day_5[[#This Row],[Activity]]),"",IF(_xlfn.XLOOKUP(Term4_Day_5[[#This Row],[Activity]],Types_of_Activity[Type of Activity],Types_of_Activity[Classification])=1,Term4_Day_5[[#This Row],[Elapsed]],0))</f>
        <v/>
      </c>
      <c r="AI42" s="106" t="str">
        <f>IF(ISBLANK(Term4_Day_5[[#This Row],[Activity]]),"",IF(_xlfn.XLOOKUP(Term4_Day_5[[#This Row],[Activity]],Types_of_Activity[Type of Activity],Types_of_Activity[Classification])=2,Term4_Day_5[[#This Row],[Elapsed]],0))</f>
        <v/>
      </c>
      <c r="AJ42" s="107"/>
      <c r="AK42" s="136"/>
      <c r="AL42" s="136"/>
      <c r="AM42" s="103"/>
      <c r="AN42" s="106" t="str">
        <f>IF(OR(ISBLANK(Term4_Day_6[[#This Row],[Start]]),ISBLANK(Term4_Day_6[[#This Row],[End]])),"",(Term4_Day_6[[#This Row],[End]]-Term4_Day_6[[#This Row],[Start]])*1440)</f>
        <v/>
      </c>
      <c r="AO42" s="106" t="str">
        <f>IF(ISBLANK(Term4_Day_6[[#This Row],[Activity]]),"",IF(_xlfn.XLOOKUP(Term4_Day_6[[#This Row],[Activity]],Types_of_Activity[Type of Activity],Types_of_Activity[Classification])=1,Term4_Day_6[[#This Row],[Elapsed]],0))</f>
        <v/>
      </c>
      <c r="AP42" s="106" t="str">
        <f>IF(ISBLANK(Term4_Day_6[[#This Row],[Activity]]),"",IF(_xlfn.XLOOKUP(Term4_Day_6[[#This Row],[Activity]],Types_of_Activity[Type of Activity],Types_of_Activity[Classification])=2,Term4_Day_6[[#This Row],[Elapsed]],0))</f>
        <v/>
      </c>
      <c r="AQ42" s="107"/>
      <c r="AR42" s="136"/>
      <c r="AS42" s="136"/>
      <c r="AT42" s="103"/>
      <c r="AU42" s="106" t="str">
        <f>IF(OR(ISBLANK(Term4_Day_7[[#This Row],[Start]]),ISBLANK(Term4_Day_7[[#This Row],[End]])),"",(Term4_Day_7[[#This Row],[End]]-Term4_Day_7[[#This Row],[Start]])*1440)</f>
        <v/>
      </c>
      <c r="AV42" s="106" t="str">
        <f>IF(ISBLANK(Term4_Day_7[[#This Row],[Activity]]),"",IF(_xlfn.XLOOKUP(Term4_Day_7[[#This Row],[Activity]],Types_of_Activity[Type of Activity],Types_of_Activity[Classification])=1,Term4_Day_7[[#This Row],[Elapsed]],0))</f>
        <v/>
      </c>
      <c r="AW42" s="106" t="str">
        <f>IF(ISBLANK(Term4_Day_7[[#This Row],[Activity]]),"",IF(_xlfn.XLOOKUP(Term4_Day_7[[#This Row],[Activity]],Types_of_Activity[Type of Activity],Types_of_Activity[Classification])=2,Term4_Day_7[[#This Row],[Elapsed]],0))</f>
        <v/>
      </c>
      <c r="AX42" s="107"/>
      <c r="AY42" s="136"/>
      <c r="AZ42" s="136"/>
      <c r="BA42" s="103"/>
      <c r="BB42" s="106" t="str">
        <f>IF(OR(ISBLANK(Term4_Day_8[[#This Row],[Start]]),ISBLANK(Term4_Day_8[[#This Row],[End]])),"",(Term4_Day_8[[#This Row],[End]]-Term4_Day_8[[#This Row],[Start]])*1440)</f>
        <v/>
      </c>
      <c r="BC42" s="106" t="str">
        <f>IF(ISBLANK(Term4_Day_8[[#This Row],[Activity]]),"",IF(_xlfn.XLOOKUP(Term4_Day_8[[#This Row],[Activity]],Types_of_Activity[Type of Activity],Types_of_Activity[Classification])=1,Term4_Day_8[[#This Row],[Elapsed]],0))</f>
        <v/>
      </c>
      <c r="BD42" s="106" t="str">
        <f>IF(ISBLANK(Term4_Day_8[[#This Row],[Activity]]),"",IF(_xlfn.XLOOKUP(Term4_Day_8[[#This Row],[Activity]],Types_of_Activity[Type of Activity],Types_of_Activity[Classification])=2,Term4_Day_8[[#This Row],[Elapsed]],0))</f>
        <v/>
      </c>
      <c r="BE42" s="107"/>
      <c r="BF42" s="136"/>
      <c r="BG42" s="136"/>
      <c r="BH42" s="103"/>
      <c r="BI42" s="106" t="str">
        <f>IF(OR(ISBLANK(Term4_Day_9[[#This Row],[Start]]),ISBLANK(Term4_Day_9[[#This Row],[End]])),"",(Term4_Day_9[[#This Row],[End]]-Term4_Day_9[[#This Row],[Start]])*1440)</f>
        <v/>
      </c>
      <c r="BJ42" s="106" t="str">
        <f>IF(ISBLANK(Term4_Day_9[[#This Row],[Activity]]),"",IF(_xlfn.XLOOKUP(Term4_Day_9[[#This Row],[Activity]],Types_of_Activity[Type of Activity],Types_of_Activity[Classification])=1,Term4_Day_9[[#This Row],[Elapsed]],0))</f>
        <v/>
      </c>
      <c r="BK42" s="106" t="str">
        <f>IF(ISBLANK(Term4_Day_9[[#This Row],[Activity]]),"",IF(_xlfn.XLOOKUP(Term4_Day_9[[#This Row],[Activity]],Types_of_Activity[Type of Activity],Types_of_Activity[Classification])=2,Term4_Day_9[[#This Row],[Elapsed]],0))</f>
        <v/>
      </c>
      <c r="BL42" s="107"/>
      <c r="BM42" s="136"/>
      <c r="BN42" s="136"/>
      <c r="BO42" s="103"/>
      <c r="BP42" s="106" t="str">
        <f>IF(OR(ISBLANK(Term4_Day_10[[#This Row],[Start]]),ISBLANK(Term4_Day_10[[#This Row],[End]])),"",(Term4_Day_10[[#This Row],[End]]-Term4_Day_10[[#This Row],[Start]])*1440)</f>
        <v/>
      </c>
      <c r="BQ42" s="106" t="str">
        <f>IF(ISBLANK(Term4_Day_10[[#This Row],[Activity]]),"",IF(_xlfn.XLOOKUP(Term4_Day_10[[#This Row],[Activity]],Types_of_Activity[Type of Activity],Types_of_Activity[Classification])=1,Term4_Day_10[[#This Row],[Elapsed]],0))</f>
        <v/>
      </c>
      <c r="BR42" s="106" t="str">
        <f>IF(ISBLANK(Term4_Day_10[[#This Row],[Activity]]),"",IF(_xlfn.XLOOKUP(Term4_Day_10[[#This Row],[Activity]],Types_of_Activity[Type of Activity],Types_of_Activity[Classification])=2,Term4_Day_10[[#This Row],[Elapsed]],0))</f>
        <v/>
      </c>
      <c r="BS42" s="107"/>
    </row>
    <row r="43" spans="2:71" x14ac:dyDescent="0.3">
      <c r="B43" s="136"/>
      <c r="C43" s="136"/>
      <c r="D43" s="103"/>
      <c r="E43" s="106" t="str">
        <f>IF(OR(ISBLANK(Term4_Day_1[[#This Row],[Start]]),ISBLANK(Term4_Day_1[[#This Row],[End]])),"",(Term4_Day_1[[#This Row],[End]]-Term4_Day_1[[#This Row],[Start]])*1440)</f>
        <v/>
      </c>
      <c r="F43" s="106" t="str">
        <f>IF(ISBLANK(Term4_Day_1[[#This Row],[Activity]]),"",IF(_xlfn.XLOOKUP(Term4_Day_1[[#This Row],[Activity]],Types_of_Activity[Type of Activity],Types_of_Activity[Classification])=1,Term4_Day_1[[#This Row],[Elapsed]],0))</f>
        <v/>
      </c>
      <c r="G43" s="106" t="str">
        <f>IF(ISBLANK(Term4_Day_1[[#This Row],[Activity]]),"",IF(_xlfn.XLOOKUP(Term4_Day_1[[#This Row],[Activity]],Types_of_Activity[Type of Activity],Types_of_Activity[Classification])=2,Term4_Day_1[[#This Row],[Elapsed]],0))</f>
        <v/>
      </c>
      <c r="I43" s="136"/>
      <c r="J43" s="136"/>
      <c r="K43" s="103"/>
      <c r="L43" s="106" t="str">
        <f>IF(OR(ISBLANK(Term4_Day_2[[#This Row],[Start]]),ISBLANK(Term4_Day_2[[#This Row],[End]])),"",(Term4_Day_2[[#This Row],[End]]-Term4_Day_2[[#This Row],[Start]])*1440)</f>
        <v/>
      </c>
      <c r="M43" s="106" t="str">
        <f>IF(ISBLANK(Term4_Day_2[[#This Row],[Activity]]),"",IF(_xlfn.XLOOKUP(Term4_Day_2[[#This Row],[Activity]],Types_of_Activity[Type of Activity],Types_of_Activity[Classification])=1,Term4_Day_2[[#This Row],[Elapsed]],0))</f>
        <v/>
      </c>
      <c r="N43" s="106" t="str">
        <f>IF(ISBLANK(Term4_Day_2[[#This Row],[Activity]]),"",IF(_xlfn.XLOOKUP(Term4_Day_2[[#This Row],[Activity]],Types_of_Activity[Type of Activity],Types_of_Activity[Classification])=2,Term4_Day_2[[#This Row],[Elapsed]],0))</f>
        <v/>
      </c>
      <c r="P43" s="136"/>
      <c r="Q43" s="136"/>
      <c r="R43" s="103"/>
      <c r="S43" s="106" t="str">
        <f>IF(OR(ISBLANK(Term4_Day_3[[#This Row],[Start]]),ISBLANK(Term4_Day_3[[#This Row],[End]])),"",(Term4_Day_3[[#This Row],[End]]-Term4_Day_3[[#This Row],[Start]])*1440)</f>
        <v/>
      </c>
      <c r="T43" s="106" t="str">
        <f>IF(ISBLANK(Term4_Day_3[[#This Row],[Activity]]),"",IF(_xlfn.XLOOKUP(Term4_Day_3[[#This Row],[Activity]],Types_of_Activity[Type of Activity],Types_of_Activity[Classification])=1,Term4_Day_3[[#This Row],[Elapsed]],0))</f>
        <v/>
      </c>
      <c r="U43" s="106" t="str">
        <f>IF(ISBLANK(Term4_Day_3[[#This Row],[Activity]]),"",IF(_xlfn.XLOOKUP(Term4_Day_3[[#This Row],[Activity]],Types_of_Activity[Type of Activity],Types_of_Activity[Classification])=2,Term4_Day_3[[#This Row],[Elapsed]],0))</f>
        <v/>
      </c>
      <c r="W43" s="136"/>
      <c r="X43" s="136"/>
      <c r="Y43" s="103"/>
      <c r="Z43" s="106" t="str">
        <f>IF(OR(ISBLANK(Term4_Day_4[[#This Row],[Start]]),ISBLANK(Term4_Day_4[[#This Row],[End]])),"",(Term4_Day_4[[#This Row],[End]]-Term4_Day_4[[#This Row],[Start]])*1440)</f>
        <v/>
      </c>
      <c r="AA43" s="106" t="str">
        <f>IF(ISBLANK(Term4_Day_4[[#This Row],[Activity]]),"",IF(_xlfn.XLOOKUP(Term4_Day_4[[#This Row],[Activity]],Types_of_Activity[Type of Activity],Types_of_Activity[Classification])=1,Term4_Day_4[[#This Row],[Elapsed]],0))</f>
        <v/>
      </c>
      <c r="AB43" s="106" t="str">
        <f>IF(ISBLANK(Term4_Day_4[[#This Row],[Activity]]),"",IF(_xlfn.XLOOKUP(Term4_Day_4[[#This Row],[Activity]],Types_of_Activity[Type of Activity],Types_of_Activity[Classification])=2,Term4_Day_4[[#This Row],[Elapsed]],0))</f>
        <v/>
      </c>
      <c r="AD43" s="136"/>
      <c r="AE43" s="136"/>
      <c r="AF43" s="103"/>
      <c r="AG43" s="106" t="str">
        <f>IF(OR(ISBLANK(Term4_Day_5[[#This Row],[Start]]),ISBLANK(Term4_Day_5[[#This Row],[End]])),"",(Term4_Day_5[[#This Row],[End]]-Term4_Day_5[[#This Row],[Start]])*1440)</f>
        <v/>
      </c>
      <c r="AH43" s="106" t="str">
        <f>IF(ISBLANK(Term4_Day_5[[#This Row],[Activity]]),"",IF(_xlfn.XLOOKUP(Term4_Day_5[[#This Row],[Activity]],Types_of_Activity[Type of Activity],Types_of_Activity[Classification])=1,Term4_Day_5[[#This Row],[Elapsed]],0))</f>
        <v/>
      </c>
      <c r="AI43" s="106" t="str">
        <f>IF(ISBLANK(Term4_Day_5[[#This Row],[Activity]]),"",IF(_xlfn.XLOOKUP(Term4_Day_5[[#This Row],[Activity]],Types_of_Activity[Type of Activity],Types_of_Activity[Classification])=2,Term4_Day_5[[#This Row],[Elapsed]],0))</f>
        <v/>
      </c>
      <c r="AJ43" s="107"/>
      <c r="AK43" s="136"/>
      <c r="AL43" s="136"/>
      <c r="AM43" s="103"/>
      <c r="AN43" s="106" t="str">
        <f>IF(OR(ISBLANK(Term4_Day_6[[#This Row],[Start]]),ISBLANK(Term4_Day_6[[#This Row],[End]])),"",(Term4_Day_6[[#This Row],[End]]-Term4_Day_6[[#This Row],[Start]])*1440)</f>
        <v/>
      </c>
      <c r="AO43" s="106" t="str">
        <f>IF(ISBLANK(Term4_Day_6[[#This Row],[Activity]]),"",IF(_xlfn.XLOOKUP(Term4_Day_6[[#This Row],[Activity]],Types_of_Activity[Type of Activity],Types_of_Activity[Classification])=1,Term4_Day_6[[#This Row],[Elapsed]],0))</f>
        <v/>
      </c>
      <c r="AP43" s="106" t="str">
        <f>IF(ISBLANK(Term4_Day_6[[#This Row],[Activity]]),"",IF(_xlfn.XLOOKUP(Term4_Day_6[[#This Row],[Activity]],Types_of_Activity[Type of Activity],Types_of_Activity[Classification])=2,Term4_Day_6[[#This Row],[Elapsed]],0))</f>
        <v/>
      </c>
      <c r="AQ43" s="107"/>
      <c r="AR43" s="136"/>
      <c r="AS43" s="136"/>
      <c r="AT43" s="103"/>
      <c r="AU43" s="106" t="str">
        <f>IF(OR(ISBLANK(Term4_Day_7[[#This Row],[Start]]),ISBLANK(Term4_Day_7[[#This Row],[End]])),"",(Term4_Day_7[[#This Row],[End]]-Term4_Day_7[[#This Row],[Start]])*1440)</f>
        <v/>
      </c>
      <c r="AV43" s="106" t="str">
        <f>IF(ISBLANK(Term4_Day_7[[#This Row],[Activity]]),"",IF(_xlfn.XLOOKUP(Term4_Day_7[[#This Row],[Activity]],Types_of_Activity[Type of Activity],Types_of_Activity[Classification])=1,Term4_Day_7[[#This Row],[Elapsed]],0))</f>
        <v/>
      </c>
      <c r="AW43" s="106" t="str">
        <f>IF(ISBLANK(Term4_Day_7[[#This Row],[Activity]]),"",IF(_xlfn.XLOOKUP(Term4_Day_7[[#This Row],[Activity]],Types_of_Activity[Type of Activity],Types_of_Activity[Classification])=2,Term4_Day_7[[#This Row],[Elapsed]],0))</f>
        <v/>
      </c>
      <c r="AX43" s="107"/>
      <c r="AY43" s="136"/>
      <c r="AZ43" s="136"/>
      <c r="BA43" s="103"/>
      <c r="BB43" s="106" t="str">
        <f>IF(OR(ISBLANK(Term4_Day_8[[#This Row],[Start]]),ISBLANK(Term4_Day_8[[#This Row],[End]])),"",(Term4_Day_8[[#This Row],[End]]-Term4_Day_8[[#This Row],[Start]])*1440)</f>
        <v/>
      </c>
      <c r="BC43" s="106" t="str">
        <f>IF(ISBLANK(Term4_Day_8[[#This Row],[Activity]]),"",IF(_xlfn.XLOOKUP(Term4_Day_8[[#This Row],[Activity]],Types_of_Activity[Type of Activity],Types_of_Activity[Classification])=1,Term4_Day_8[[#This Row],[Elapsed]],0))</f>
        <v/>
      </c>
      <c r="BD43" s="106" t="str">
        <f>IF(ISBLANK(Term4_Day_8[[#This Row],[Activity]]),"",IF(_xlfn.XLOOKUP(Term4_Day_8[[#This Row],[Activity]],Types_of_Activity[Type of Activity],Types_of_Activity[Classification])=2,Term4_Day_8[[#This Row],[Elapsed]],0))</f>
        <v/>
      </c>
      <c r="BE43" s="107"/>
      <c r="BF43" s="136"/>
      <c r="BG43" s="136"/>
      <c r="BH43" s="103"/>
      <c r="BI43" s="106" t="str">
        <f>IF(OR(ISBLANK(Term4_Day_9[[#This Row],[Start]]),ISBLANK(Term4_Day_9[[#This Row],[End]])),"",(Term4_Day_9[[#This Row],[End]]-Term4_Day_9[[#This Row],[Start]])*1440)</f>
        <v/>
      </c>
      <c r="BJ43" s="106" t="str">
        <f>IF(ISBLANK(Term4_Day_9[[#This Row],[Activity]]),"",IF(_xlfn.XLOOKUP(Term4_Day_9[[#This Row],[Activity]],Types_of_Activity[Type of Activity],Types_of_Activity[Classification])=1,Term4_Day_9[[#This Row],[Elapsed]],0))</f>
        <v/>
      </c>
      <c r="BK43" s="106" t="str">
        <f>IF(ISBLANK(Term4_Day_9[[#This Row],[Activity]]),"",IF(_xlfn.XLOOKUP(Term4_Day_9[[#This Row],[Activity]],Types_of_Activity[Type of Activity],Types_of_Activity[Classification])=2,Term4_Day_9[[#This Row],[Elapsed]],0))</f>
        <v/>
      </c>
      <c r="BL43" s="107"/>
      <c r="BM43" s="136"/>
      <c r="BN43" s="136"/>
      <c r="BO43" s="103"/>
      <c r="BP43" s="106" t="str">
        <f>IF(OR(ISBLANK(Term4_Day_10[[#This Row],[Start]]),ISBLANK(Term4_Day_10[[#This Row],[End]])),"",(Term4_Day_10[[#This Row],[End]]-Term4_Day_10[[#This Row],[Start]])*1440)</f>
        <v/>
      </c>
      <c r="BQ43" s="106" t="str">
        <f>IF(ISBLANK(Term4_Day_10[[#This Row],[Activity]]),"",IF(_xlfn.XLOOKUP(Term4_Day_10[[#This Row],[Activity]],Types_of_Activity[Type of Activity],Types_of_Activity[Classification])=1,Term4_Day_10[[#This Row],[Elapsed]],0))</f>
        <v/>
      </c>
      <c r="BR43" s="106" t="str">
        <f>IF(ISBLANK(Term4_Day_10[[#This Row],[Activity]]),"",IF(_xlfn.XLOOKUP(Term4_Day_10[[#This Row],[Activity]],Types_of_Activity[Type of Activity],Types_of_Activity[Classification])=2,Term4_Day_10[[#This Row],[Elapsed]],0))</f>
        <v/>
      </c>
      <c r="BS43" s="107"/>
    </row>
    <row r="44" spans="2:71" x14ac:dyDescent="0.3">
      <c r="B44" s="136"/>
      <c r="C44" s="136"/>
      <c r="D44" s="103"/>
      <c r="E44" s="106" t="str">
        <f>IF(OR(ISBLANK(Term4_Day_1[[#This Row],[Start]]),ISBLANK(Term4_Day_1[[#This Row],[End]])),"",(Term4_Day_1[[#This Row],[End]]-Term4_Day_1[[#This Row],[Start]])*1440)</f>
        <v/>
      </c>
      <c r="F44" s="106" t="str">
        <f>IF(ISBLANK(Term4_Day_1[[#This Row],[Activity]]),"",IF(_xlfn.XLOOKUP(Term4_Day_1[[#This Row],[Activity]],Types_of_Activity[Type of Activity],Types_of_Activity[Classification])=1,Term4_Day_1[[#This Row],[Elapsed]],0))</f>
        <v/>
      </c>
      <c r="G44" s="106" t="str">
        <f>IF(ISBLANK(Term4_Day_1[[#This Row],[Activity]]),"",IF(_xlfn.XLOOKUP(Term4_Day_1[[#This Row],[Activity]],Types_of_Activity[Type of Activity],Types_of_Activity[Classification])=2,Term4_Day_1[[#This Row],[Elapsed]],0))</f>
        <v/>
      </c>
      <c r="I44" s="136"/>
      <c r="J44" s="136"/>
      <c r="K44" s="103"/>
      <c r="L44" s="106" t="str">
        <f>IF(OR(ISBLANK(Term4_Day_2[[#This Row],[Start]]),ISBLANK(Term4_Day_2[[#This Row],[End]])),"",(Term4_Day_2[[#This Row],[End]]-Term4_Day_2[[#This Row],[Start]])*1440)</f>
        <v/>
      </c>
      <c r="M44" s="106" t="str">
        <f>IF(ISBLANK(Term4_Day_2[[#This Row],[Activity]]),"",IF(_xlfn.XLOOKUP(Term4_Day_2[[#This Row],[Activity]],Types_of_Activity[Type of Activity],Types_of_Activity[Classification])=1,Term4_Day_2[[#This Row],[Elapsed]],0))</f>
        <v/>
      </c>
      <c r="N44" s="106" t="str">
        <f>IF(ISBLANK(Term4_Day_2[[#This Row],[Activity]]),"",IF(_xlfn.XLOOKUP(Term4_Day_2[[#This Row],[Activity]],Types_of_Activity[Type of Activity],Types_of_Activity[Classification])=2,Term4_Day_2[[#This Row],[Elapsed]],0))</f>
        <v/>
      </c>
      <c r="P44" s="136"/>
      <c r="Q44" s="136"/>
      <c r="R44" s="103"/>
      <c r="S44" s="106" t="str">
        <f>IF(OR(ISBLANK(Term4_Day_3[[#This Row],[Start]]),ISBLANK(Term4_Day_3[[#This Row],[End]])),"",(Term4_Day_3[[#This Row],[End]]-Term4_Day_3[[#This Row],[Start]])*1440)</f>
        <v/>
      </c>
      <c r="T44" s="106" t="str">
        <f>IF(ISBLANK(Term4_Day_3[[#This Row],[Activity]]),"",IF(_xlfn.XLOOKUP(Term4_Day_3[[#This Row],[Activity]],Types_of_Activity[Type of Activity],Types_of_Activity[Classification])=1,Term4_Day_3[[#This Row],[Elapsed]],0))</f>
        <v/>
      </c>
      <c r="U44" s="106" t="str">
        <f>IF(ISBLANK(Term4_Day_3[[#This Row],[Activity]]),"",IF(_xlfn.XLOOKUP(Term4_Day_3[[#This Row],[Activity]],Types_of_Activity[Type of Activity],Types_of_Activity[Classification])=2,Term4_Day_3[[#This Row],[Elapsed]],0))</f>
        <v/>
      </c>
      <c r="W44" s="136"/>
      <c r="X44" s="136"/>
      <c r="Y44" s="103"/>
      <c r="Z44" s="106" t="str">
        <f>IF(OR(ISBLANK(Term4_Day_4[[#This Row],[Start]]),ISBLANK(Term4_Day_4[[#This Row],[End]])),"",(Term4_Day_4[[#This Row],[End]]-Term4_Day_4[[#This Row],[Start]])*1440)</f>
        <v/>
      </c>
      <c r="AA44" s="106" t="str">
        <f>IF(ISBLANK(Term4_Day_4[[#This Row],[Activity]]),"",IF(_xlfn.XLOOKUP(Term4_Day_4[[#This Row],[Activity]],Types_of_Activity[Type of Activity],Types_of_Activity[Classification])=1,Term4_Day_4[[#This Row],[Elapsed]],0))</f>
        <v/>
      </c>
      <c r="AB44" s="106" t="str">
        <f>IF(ISBLANK(Term4_Day_4[[#This Row],[Activity]]),"",IF(_xlfn.XLOOKUP(Term4_Day_4[[#This Row],[Activity]],Types_of_Activity[Type of Activity],Types_of_Activity[Classification])=2,Term4_Day_4[[#This Row],[Elapsed]],0))</f>
        <v/>
      </c>
      <c r="AD44" s="136"/>
      <c r="AE44" s="136"/>
      <c r="AF44" s="103"/>
      <c r="AG44" s="106" t="str">
        <f>IF(OR(ISBLANK(Term4_Day_5[[#This Row],[Start]]),ISBLANK(Term4_Day_5[[#This Row],[End]])),"",(Term4_Day_5[[#This Row],[End]]-Term4_Day_5[[#This Row],[Start]])*1440)</f>
        <v/>
      </c>
      <c r="AH44" s="106" t="str">
        <f>IF(ISBLANK(Term4_Day_5[[#This Row],[Activity]]),"",IF(_xlfn.XLOOKUP(Term4_Day_5[[#This Row],[Activity]],Types_of_Activity[Type of Activity],Types_of_Activity[Classification])=1,Term4_Day_5[[#This Row],[Elapsed]],0))</f>
        <v/>
      </c>
      <c r="AI44" s="106" t="str">
        <f>IF(ISBLANK(Term4_Day_5[[#This Row],[Activity]]),"",IF(_xlfn.XLOOKUP(Term4_Day_5[[#This Row],[Activity]],Types_of_Activity[Type of Activity],Types_of_Activity[Classification])=2,Term4_Day_5[[#This Row],[Elapsed]],0))</f>
        <v/>
      </c>
      <c r="AJ44" s="107"/>
      <c r="AK44" s="136"/>
      <c r="AL44" s="136"/>
      <c r="AM44" s="103"/>
      <c r="AN44" s="106" t="str">
        <f>IF(OR(ISBLANK(Term4_Day_6[[#This Row],[Start]]),ISBLANK(Term4_Day_6[[#This Row],[End]])),"",(Term4_Day_6[[#This Row],[End]]-Term4_Day_6[[#This Row],[Start]])*1440)</f>
        <v/>
      </c>
      <c r="AO44" s="106" t="str">
        <f>IF(ISBLANK(Term4_Day_6[[#This Row],[Activity]]),"",IF(_xlfn.XLOOKUP(Term4_Day_6[[#This Row],[Activity]],Types_of_Activity[Type of Activity],Types_of_Activity[Classification])=1,Term4_Day_6[[#This Row],[Elapsed]],0))</f>
        <v/>
      </c>
      <c r="AP44" s="106" t="str">
        <f>IF(ISBLANK(Term4_Day_6[[#This Row],[Activity]]),"",IF(_xlfn.XLOOKUP(Term4_Day_6[[#This Row],[Activity]],Types_of_Activity[Type of Activity],Types_of_Activity[Classification])=2,Term4_Day_6[[#This Row],[Elapsed]],0))</f>
        <v/>
      </c>
      <c r="AQ44" s="107"/>
      <c r="AR44" s="136"/>
      <c r="AS44" s="136"/>
      <c r="AT44" s="103"/>
      <c r="AU44" s="106" t="str">
        <f>IF(OR(ISBLANK(Term4_Day_7[[#This Row],[Start]]),ISBLANK(Term4_Day_7[[#This Row],[End]])),"",(Term4_Day_7[[#This Row],[End]]-Term4_Day_7[[#This Row],[Start]])*1440)</f>
        <v/>
      </c>
      <c r="AV44" s="106" t="str">
        <f>IF(ISBLANK(Term4_Day_7[[#This Row],[Activity]]),"",IF(_xlfn.XLOOKUP(Term4_Day_7[[#This Row],[Activity]],Types_of_Activity[Type of Activity],Types_of_Activity[Classification])=1,Term4_Day_7[[#This Row],[Elapsed]],0))</f>
        <v/>
      </c>
      <c r="AW44" s="106" t="str">
        <f>IF(ISBLANK(Term4_Day_7[[#This Row],[Activity]]),"",IF(_xlfn.XLOOKUP(Term4_Day_7[[#This Row],[Activity]],Types_of_Activity[Type of Activity],Types_of_Activity[Classification])=2,Term4_Day_7[[#This Row],[Elapsed]],0))</f>
        <v/>
      </c>
      <c r="AX44" s="107"/>
      <c r="AY44" s="136"/>
      <c r="AZ44" s="136"/>
      <c r="BA44" s="103"/>
      <c r="BB44" s="106" t="str">
        <f>IF(OR(ISBLANK(Term4_Day_8[[#This Row],[Start]]),ISBLANK(Term4_Day_8[[#This Row],[End]])),"",(Term4_Day_8[[#This Row],[End]]-Term4_Day_8[[#This Row],[Start]])*1440)</f>
        <v/>
      </c>
      <c r="BC44" s="106" t="str">
        <f>IF(ISBLANK(Term4_Day_8[[#This Row],[Activity]]),"",IF(_xlfn.XLOOKUP(Term4_Day_8[[#This Row],[Activity]],Types_of_Activity[Type of Activity],Types_of_Activity[Classification])=1,Term4_Day_8[[#This Row],[Elapsed]],0))</f>
        <v/>
      </c>
      <c r="BD44" s="106" t="str">
        <f>IF(ISBLANK(Term4_Day_8[[#This Row],[Activity]]),"",IF(_xlfn.XLOOKUP(Term4_Day_8[[#This Row],[Activity]],Types_of_Activity[Type of Activity],Types_of_Activity[Classification])=2,Term4_Day_8[[#This Row],[Elapsed]],0))</f>
        <v/>
      </c>
      <c r="BE44" s="107"/>
      <c r="BF44" s="136"/>
      <c r="BG44" s="136"/>
      <c r="BH44" s="103"/>
      <c r="BI44" s="106" t="str">
        <f>IF(OR(ISBLANK(Term4_Day_9[[#This Row],[Start]]),ISBLANK(Term4_Day_9[[#This Row],[End]])),"",(Term4_Day_9[[#This Row],[End]]-Term4_Day_9[[#This Row],[Start]])*1440)</f>
        <v/>
      </c>
      <c r="BJ44" s="106" t="str">
        <f>IF(ISBLANK(Term4_Day_9[[#This Row],[Activity]]),"",IF(_xlfn.XLOOKUP(Term4_Day_9[[#This Row],[Activity]],Types_of_Activity[Type of Activity],Types_of_Activity[Classification])=1,Term4_Day_9[[#This Row],[Elapsed]],0))</f>
        <v/>
      </c>
      <c r="BK44" s="106" t="str">
        <f>IF(ISBLANK(Term4_Day_9[[#This Row],[Activity]]),"",IF(_xlfn.XLOOKUP(Term4_Day_9[[#This Row],[Activity]],Types_of_Activity[Type of Activity],Types_of_Activity[Classification])=2,Term4_Day_9[[#This Row],[Elapsed]],0))</f>
        <v/>
      </c>
      <c r="BL44" s="107"/>
      <c r="BM44" s="136"/>
      <c r="BN44" s="136"/>
      <c r="BO44" s="103"/>
      <c r="BP44" s="106" t="str">
        <f>IF(OR(ISBLANK(Term4_Day_10[[#This Row],[Start]]),ISBLANK(Term4_Day_10[[#This Row],[End]])),"",(Term4_Day_10[[#This Row],[End]]-Term4_Day_10[[#This Row],[Start]])*1440)</f>
        <v/>
      </c>
      <c r="BQ44" s="106" t="str">
        <f>IF(ISBLANK(Term4_Day_10[[#This Row],[Activity]]),"",IF(_xlfn.XLOOKUP(Term4_Day_10[[#This Row],[Activity]],Types_of_Activity[Type of Activity],Types_of_Activity[Classification])=1,Term4_Day_10[[#This Row],[Elapsed]],0))</f>
        <v/>
      </c>
      <c r="BR44" s="106" t="str">
        <f>IF(ISBLANK(Term4_Day_10[[#This Row],[Activity]]),"",IF(_xlfn.XLOOKUP(Term4_Day_10[[#This Row],[Activity]],Types_of_Activity[Type of Activity],Types_of_Activity[Classification])=2,Term4_Day_10[[#This Row],[Elapsed]],0))</f>
        <v/>
      </c>
      <c r="BS44" s="107"/>
    </row>
    <row r="45" spans="2:71" x14ac:dyDescent="0.3">
      <c r="B45" s="136"/>
      <c r="C45" s="136"/>
      <c r="D45" s="103"/>
      <c r="E45" s="106" t="str">
        <f>IF(OR(ISBLANK(Term4_Day_1[[#This Row],[Start]]),ISBLANK(Term4_Day_1[[#This Row],[End]])),"",(Term4_Day_1[[#This Row],[End]]-Term4_Day_1[[#This Row],[Start]])*1440)</f>
        <v/>
      </c>
      <c r="F45" s="106" t="str">
        <f>IF(ISBLANK(Term4_Day_1[[#This Row],[Activity]]),"",IF(_xlfn.XLOOKUP(Term4_Day_1[[#This Row],[Activity]],Types_of_Activity[Type of Activity],Types_of_Activity[Classification])=1,Term4_Day_1[[#This Row],[Elapsed]],0))</f>
        <v/>
      </c>
      <c r="G45" s="106" t="str">
        <f>IF(ISBLANK(Term4_Day_1[[#This Row],[Activity]]),"",IF(_xlfn.XLOOKUP(Term4_Day_1[[#This Row],[Activity]],Types_of_Activity[Type of Activity],Types_of_Activity[Classification])=2,Term4_Day_1[[#This Row],[Elapsed]],0))</f>
        <v/>
      </c>
      <c r="I45" s="136"/>
      <c r="J45" s="136"/>
      <c r="K45" s="103"/>
      <c r="L45" s="106" t="str">
        <f>IF(OR(ISBLANK(Term4_Day_2[[#This Row],[Start]]),ISBLANK(Term4_Day_2[[#This Row],[End]])),"",(Term4_Day_2[[#This Row],[End]]-Term4_Day_2[[#This Row],[Start]])*1440)</f>
        <v/>
      </c>
      <c r="M45" s="106" t="str">
        <f>IF(ISBLANK(Term4_Day_2[[#This Row],[Activity]]),"",IF(_xlfn.XLOOKUP(Term4_Day_2[[#This Row],[Activity]],Types_of_Activity[Type of Activity],Types_of_Activity[Classification])=1,Term4_Day_2[[#This Row],[Elapsed]],0))</f>
        <v/>
      </c>
      <c r="N45" s="106" t="str">
        <f>IF(ISBLANK(Term4_Day_2[[#This Row],[Activity]]),"",IF(_xlfn.XLOOKUP(Term4_Day_2[[#This Row],[Activity]],Types_of_Activity[Type of Activity],Types_of_Activity[Classification])=2,Term4_Day_2[[#This Row],[Elapsed]],0))</f>
        <v/>
      </c>
      <c r="P45" s="136"/>
      <c r="Q45" s="136"/>
      <c r="R45" s="103"/>
      <c r="S45" s="106" t="str">
        <f>IF(OR(ISBLANK(Term4_Day_3[[#This Row],[Start]]),ISBLANK(Term4_Day_3[[#This Row],[End]])),"",(Term4_Day_3[[#This Row],[End]]-Term4_Day_3[[#This Row],[Start]])*1440)</f>
        <v/>
      </c>
      <c r="T45" s="106" t="str">
        <f>IF(ISBLANK(Term4_Day_3[[#This Row],[Activity]]),"",IF(_xlfn.XLOOKUP(Term4_Day_3[[#This Row],[Activity]],Types_of_Activity[Type of Activity],Types_of_Activity[Classification])=1,Term4_Day_3[[#This Row],[Elapsed]],0))</f>
        <v/>
      </c>
      <c r="U45" s="106" t="str">
        <f>IF(ISBLANK(Term4_Day_3[[#This Row],[Activity]]),"",IF(_xlfn.XLOOKUP(Term4_Day_3[[#This Row],[Activity]],Types_of_Activity[Type of Activity],Types_of_Activity[Classification])=2,Term4_Day_3[[#This Row],[Elapsed]],0))</f>
        <v/>
      </c>
      <c r="W45" s="136"/>
      <c r="X45" s="136"/>
      <c r="Y45" s="103"/>
      <c r="Z45" s="106" t="str">
        <f>IF(OR(ISBLANK(Term4_Day_4[[#This Row],[Start]]),ISBLANK(Term4_Day_4[[#This Row],[End]])),"",(Term4_Day_4[[#This Row],[End]]-Term4_Day_4[[#This Row],[Start]])*1440)</f>
        <v/>
      </c>
      <c r="AA45" s="106" t="str">
        <f>IF(ISBLANK(Term4_Day_4[[#This Row],[Activity]]),"",IF(_xlfn.XLOOKUP(Term4_Day_4[[#This Row],[Activity]],Types_of_Activity[Type of Activity],Types_of_Activity[Classification])=1,Term4_Day_4[[#This Row],[Elapsed]],0))</f>
        <v/>
      </c>
      <c r="AB45" s="106" t="str">
        <f>IF(ISBLANK(Term4_Day_4[[#This Row],[Activity]]),"",IF(_xlfn.XLOOKUP(Term4_Day_4[[#This Row],[Activity]],Types_of_Activity[Type of Activity],Types_of_Activity[Classification])=2,Term4_Day_4[[#This Row],[Elapsed]],0))</f>
        <v/>
      </c>
      <c r="AD45" s="136"/>
      <c r="AE45" s="136"/>
      <c r="AF45" s="103"/>
      <c r="AG45" s="106" t="str">
        <f>IF(OR(ISBLANK(Term4_Day_5[[#This Row],[Start]]),ISBLANK(Term4_Day_5[[#This Row],[End]])),"",(Term4_Day_5[[#This Row],[End]]-Term4_Day_5[[#This Row],[Start]])*1440)</f>
        <v/>
      </c>
      <c r="AH45" s="106" t="str">
        <f>IF(ISBLANK(Term4_Day_5[[#This Row],[Activity]]),"",IF(_xlfn.XLOOKUP(Term4_Day_5[[#This Row],[Activity]],Types_of_Activity[Type of Activity],Types_of_Activity[Classification])=1,Term4_Day_5[[#This Row],[Elapsed]],0))</f>
        <v/>
      </c>
      <c r="AI45" s="106" t="str">
        <f>IF(ISBLANK(Term4_Day_5[[#This Row],[Activity]]),"",IF(_xlfn.XLOOKUP(Term4_Day_5[[#This Row],[Activity]],Types_of_Activity[Type of Activity],Types_of_Activity[Classification])=2,Term4_Day_5[[#This Row],[Elapsed]],0))</f>
        <v/>
      </c>
      <c r="AJ45" s="107"/>
      <c r="AK45" s="136"/>
      <c r="AL45" s="136"/>
      <c r="AM45" s="103"/>
      <c r="AN45" s="106" t="str">
        <f>IF(OR(ISBLANK(Term4_Day_6[[#This Row],[Start]]),ISBLANK(Term4_Day_6[[#This Row],[End]])),"",(Term4_Day_6[[#This Row],[End]]-Term4_Day_6[[#This Row],[Start]])*1440)</f>
        <v/>
      </c>
      <c r="AO45" s="106" t="str">
        <f>IF(ISBLANK(Term4_Day_6[[#This Row],[Activity]]),"",IF(_xlfn.XLOOKUP(Term4_Day_6[[#This Row],[Activity]],Types_of_Activity[Type of Activity],Types_of_Activity[Classification])=1,Term4_Day_6[[#This Row],[Elapsed]],0))</f>
        <v/>
      </c>
      <c r="AP45" s="106" t="str">
        <f>IF(ISBLANK(Term4_Day_6[[#This Row],[Activity]]),"",IF(_xlfn.XLOOKUP(Term4_Day_6[[#This Row],[Activity]],Types_of_Activity[Type of Activity],Types_of_Activity[Classification])=2,Term4_Day_6[[#This Row],[Elapsed]],0))</f>
        <v/>
      </c>
      <c r="AQ45" s="107"/>
      <c r="AR45" s="136"/>
      <c r="AS45" s="136"/>
      <c r="AT45" s="103"/>
      <c r="AU45" s="106" t="str">
        <f>IF(OR(ISBLANK(Term4_Day_7[[#This Row],[Start]]),ISBLANK(Term4_Day_7[[#This Row],[End]])),"",(Term4_Day_7[[#This Row],[End]]-Term4_Day_7[[#This Row],[Start]])*1440)</f>
        <v/>
      </c>
      <c r="AV45" s="106" t="str">
        <f>IF(ISBLANK(Term4_Day_7[[#This Row],[Activity]]),"",IF(_xlfn.XLOOKUP(Term4_Day_7[[#This Row],[Activity]],Types_of_Activity[Type of Activity],Types_of_Activity[Classification])=1,Term4_Day_7[[#This Row],[Elapsed]],0))</f>
        <v/>
      </c>
      <c r="AW45" s="106" t="str">
        <f>IF(ISBLANK(Term4_Day_7[[#This Row],[Activity]]),"",IF(_xlfn.XLOOKUP(Term4_Day_7[[#This Row],[Activity]],Types_of_Activity[Type of Activity],Types_of_Activity[Classification])=2,Term4_Day_7[[#This Row],[Elapsed]],0))</f>
        <v/>
      </c>
      <c r="AX45" s="107"/>
      <c r="AY45" s="136"/>
      <c r="AZ45" s="136"/>
      <c r="BA45" s="103"/>
      <c r="BB45" s="106" t="str">
        <f>IF(OR(ISBLANK(Term4_Day_8[[#This Row],[Start]]),ISBLANK(Term4_Day_8[[#This Row],[End]])),"",(Term4_Day_8[[#This Row],[End]]-Term4_Day_8[[#This Row],[Start]])*1440)</f>
        <v/>
      </c>
      <c r="BC45" s="106" t="str">
        <f>IF(ISBLANK(Term4_Day_8[[#This Row],[Activity]]),"",IF(_xlfn.XLOOKUP(Term4_Day_8[[#This Row],[Activity]],Types_of_Activity[Type of Activity],Types_of_Activity[Classification])=1,Term4_Day_8[[#This Row],[Elapsed]],0))</f>
        <v/>
      </c>
      <c r="BD45" s="106" t="str">
        <f>IF(ISBLANK(Term4_Day_8[[#This Row],[Activity]]),"",IF(_xlfn.XLOOKUP(Term4_Day_8[[#This Row],[Activity]],Types_of_Activity[Type of Activity],Types_of_Activity[Classification])=2,Term4_Day_8[[#This Row],[Elapsed]],0))</f>
        <v/>
      </c>
      <c r="BE45" s="107"/>
      <c r="BF45" s="136"/>
      <c r="BG45" s="136"/>
      <c r="BH45" s="103"/>
      <c r="BI45" s="106" t="str">
        <f>IF(OR(ISBLANK(Term4_Day_9[[#This Row],[Start]]),ISBLANK(Term4_Day_9[[#This Row],[End]])),"",(Term4_Day_9[[#This Row],[End]]-Term4_Day_9[[#This Row],[Start]])*1440)</f>
        <v/>
      </c>
      <c r="BJ45" s="106" t="str">
        <f>IF(ISBLANK(Term4_Day_9[[#This Row],[Activity]]),"",IF(_xlfn.XLOOKUP(Term4_Day_9[[#This Row],[Activity]],Types_of_Activity[Type of Activity],Types_of_Activity[Classification])=1,Term4_Day_9[[#This Row],[Elapsed]],0))</f>
        <v/>
      </c>
      <c r="BK45" s="106" t="str">
        <f>IF(ISBLANK(Term4_Day_9[[#This Row],[Activity]]),"",IF(_xlfn.XLOOKUP(Term4_Day_9[[#This Row],[Activity]],Types_of_Activity[Type of Activity],Types_of_Activity[Classification])=2,Term4_Day_9[[#This Row],[Elapsed]],0))</f>
        <v/>
      </c>
      <c r="BL45" s="107"/>
      <c r="BM45" s="136"/>
      <c r="BN45" s="136"/>
      <c r="BO45" s="103"/>
      <c r="BP45" s="106" t="str">
        <f>IF(OR(ISBLANK(Term4_Day_10[[#This Row],[Start]]),ISBLANK(Term4_Day_10[[#This Row],[End]])),"",(Term4_Day_10[[#This Row],[End]]-Term4_Day_10[[#This Row],[Start]])*1440)</f>
        <v/>
      </c>
      <c r="BQ45" s="106" t="str">
        <f>IF(ISBLANK(Term4_Day_10[[#This Row],[Activity]]),"",IF(_xlfn.XLOOKUP(Term4_Day_10[[#This Row],[Activity]],Types_of_Activity[Type of Activity],Types_of_Activity[Classification])=1,Term4_Day_10[[#This Row],[Elapsed]],0))</f>
        <v/>
      </c>
      <c r="BR45" s="106" t="str">
        <f>IF(ISBLANK(Term4_Day_10[[#This Row],[Activity]]),"",IF(_xlfn.XLOOKUP(Term4_Day_10[[#This Row],[Activity]],Types_of_Activity[Type of Activity],Types_of_Activity[Classification])=2,Term4_Day_10[[#This Row],[Elapsed]],0))</f>
        <v/>
      </c>
      <c r="BS45" s="107"/>
    </row>
    <row r="46" spans="2:71" x14ac:dyDescent="0.3">
      <c r="B46" s="136"/>
      <c r="C46" s="136"/>
      <c r="D46" s="103"/>
      <c r="E46" s="106" t="str">
        <f>IF(OR(ISBLANK(Term4_Day_1[[#This Row],[Start]]),ISBLANK(Term4_Day_1[[#This Row],[End]])),"",(Term4_Day_1[[#This Row],[End]]-Term4_Day_1[[#This Row],[Start]])*1440)</f>
        <v/>
      </c>
      <c r="F46" s="106" t="str">
        <f>IF(ISBLANK(Term4_Day_1[[#This Row],[Activity]]),"",IF(_xlfn.XLOOKUP(Term4_Day_1[[#This Row],[Activity]],Types_of_Activity[Type of Activity],Types_of_Activity[Classification])=1,Term4_Day_1[[#This Row],[Elapsed]],0))</f>
        <v/>
      </c>
      <c r="G46" s="106" t="str">
        <f>IF(ISBLANK(Term4_Day_1[[#This Row],[Activity]]),"",IF(_xlfn.XLOOKUP(Term4_Day_1[[#This Row],[Activity]],Types_of_Activity[Type of Activity],Types_of_Activity[Classification])=2,Term4_Day_1[[#This Row],[Elapsed]],0))</f>
        <v/>
      </c>
      <c r="I46" s="136"/>
      <c r="J46" s="136"/>
      <c r="K46" s="103"/>
      <c r="L46" s="106" t="str">
        <f>IF(OR(ISBLANK(Term4_Day_2[[#This Row],[Start]]),ISBLANK(Term4_Day_2[[#This Row],[End]])),"",(Term4_Day_2[[#This Row],[End]]-Term4_Day_2[[#This Row],[Start]])*1440)</f>
        <v/>
      </c>
      <c r="M46" s="106" t="str">
        <f>IF(ISBLANK(Term4_Day_2[[#This Row],[Activity]]),"",IF(_xlfn.XLOOKUP(Term4_Day_2[[#This Row],[Activity]],Types_of_Activity[Type of Activity],Types_of_Activity[Classification])=1,Term4_Day_2[[#This Row],[Elapsed]],0))</f>
        <v/>
      </c>
      <c r="N46" s="106" t="str">
        <f>IF(ISBLANK(Term4_Day_2[[#This Row],[Activity]]),"",IF(_xlfn.XLOOKUP(Term4_Day_2[[#This Row],[Activity]],Types_of_Activity[Type of Activity],Types_of_Activity[Classification])=2,Term4_Day_2[[#This Row],[Elapsed]],0))</f>
        <v/>
      </c>
      <c r="P46" s="136"/>
      <c r="Q46" s="136"/>
      <c r="R46" s="103"/>
      <c r="S46" s="106" t="str">
        <f>IF(OR(ISBLANK(Term4_Day_3[[#This Row],[Start]]),ISBLANK(Term4_Day_3[[#This Row],[End]])),"",(Term4_Day_3[[#This Row],[End]]-Term4_Day_3[[#This Row],[Start]])*1440)</f>
        <v/>
      </c>
      <c r="T46" s="106" t="str">
        <f>IF(ISBLANK(Term4_Day_3[[#This Row],[Activity]]),"",IF(_xlfn.XLOOKUP(Term4_Day_3[[#This Row],[Activity]],Types_of_Activity[Type of Activity],Types_of_Activity[Classification])=1,Term4_Day_3[[#This Row],[Elapsed]],0))</f>
        <v/>
      </c>
      <c r="U46" s="106" t="str">
        <f>IF(ISBLANK(Term4_Day_3[[#This Row],[Activity]]),"",IF(_xlfn.XLOOKUP(Term4_Day_3[[#This Row],[Activity]],Types_of_Activity[Type of Activity],Types_of_Activity[Classification])=2,Term4_Day_3[[#This Row],[Elapsed]],0))</f>
        <v/>
      </c>
      <c r="W46" s="136"/>
      <c r="X46" s="136"/>
      <c r="Y46" s="103"/>
      <c r="Z46" s="106" t="str">
        <f>IF(OR(ISBLANK(Term4_Day_4[[#This Row],[Start]]),ISBLANK(Term4_Day_4[[#This Row],[End]])),"",(Term4_Day_4[[#This Row],[End]]-Term4_Day_4[[#This Row],[Start]])*1440)</f>
        <v/>
      </c>
      <c r="AA46" s="106" t="str">
        <f>IF(ISBLANK(Term4_Day_4[[#This Row],[Activity]]),"",IF(_xlfn.XLOOKUP(Term4_Day_4[[#This Row],[Activity]],Types_of_Activity[Type of Activity],Types_of_Activity[Classification])=1,Term4_Day_4[[#This Row],[Elapsed]],0))</f>
        <v/>
      </c>
      <c r="AB46" s="106" t="str">
        <f>IF(ISBLANK(Term4_Day_4[[#This Row],[Activity]]),"",IF(_xlfn.XLOOKUP(Term4_Day_4[[#This Row],[Activity]],Types_of_Activity[Type of Activity],Types_of_Activity[Classification])=2,Term4_Day_4[[#This Row],[Elapsed]],0))</f>
        <v/>
      </c>
      <c r="AD46" s="136"/>
      <c r="AE46" s="136"/>
      <c r="AF46" s="103"/>
      <c r="AG46" s="106" t="str">
        <f>IF(OR(ISBLANK(Term4_Day_5[[#This Row],[Start]]),ISBLANK(Term4_Day_5[[#This Row],[End]])),"",(Term4_Day_5[[#This Row],[End]]-Term4_Day_5[[#This Row],[Start]])*1440)</f>
        <v/>
      </c>
      <c r="AH46" s="106" t="str">
        <f>IF(ISBLANK(Term4_Day_5[[#This Row],[Activity]]),"",IF(_xlfn.XLOOKUP(Term4_Day_5[[#This Row],[Activity]],Types_of_Activity[Type of Activity],Types_of_Activity[Classification])=1,Term4_Day_5[[#This Row],[Elapsed]],0))</f>
        <v/>
      </c>
      <c r="AI46" s="106" t="str">
        <f>IF(ISBLANK(Term4_Day_5[[#This Row],[Activity]]),"",IF(_xlfn.XLOOKUP(Term4_Day_5[[#This Row],[Activity]],Types_of_Activity[Type of Activity],Types_of_Activity[Classification])=2,Term4_Day_5[[#This Row],[Elapsed]],0))</f>
        <v/>
      </c>
      <c r="AJ46" s="107"/>
      <c r="AK46" s="136"/>
      <c r="AL46" s="136"/>
      <c r="AM46" s="103"/>
      <c r="AN46" s="106" t="str">
        <f>IF(OR(ISBLANK(Term4_Day_6[[#This Row],[Start]]),ISBLANK(Term4_Day_6[[#This Row],[End]])),"",(Term4_Day_6[[#This Row],[End]]-Term4_Day_6[[#This Row],[Start]])*1440)</f>
        <v/>
      </c>
      <c r="AO46" s="106" t="str">
        <f>IF(ISBLANK(Term4_Day_6[[#This Row],[Activity]]),"",IF(_xlfn.XLOOKUP(Term4_Day_6[[#This Row],[Activity]],Types_of_Activity[Type of Activity],Types_of_Activity[Classification])=1,Term4_Day_6[[#This Row],[Elapsed]],0))</f>
        <v/>
      </c>
      <c r="AP46" s="106" t="str">
        <f>IF(ISBLANK(Term4_Day_6[[#This Row],[Activity]]),"",IF(_xlfn.XLOOKUP(Term4_Day_6[[#This Row],[Activity]],Types_of_Activity[Type of Activity],Types_of_Activity[Classification])=2,Term4_Day_6[[#This Row],[Elapsed]],0))</f>
        <v/>
      </c>
      <c r="AQ46" s="107"/>
      <c r="AR46" s="136"/>
      <c r="AS46" s="136"/>
      <c r="AT46" s="103"/>
      <c r="AU46" s="106" t="str">
        <f>IF(OR(ISBLANK(Term4_Day_7[[#This Row],[Start]]),ISBLANK(Term4_Day_7[[#This Row],[End]])),"",(Term4_Day_7[[#This Row],[End]]-Term4_Day_7[[#This Row],[Start]])*1440)</f>
        <v/>
      </c>
      <c r="AV46" s="106" t="str">
        <f>IF(ISBLANK(Term4_Day_7[[#This Row],[Activity]]),"",IF(_xlfn.XLOOKUP(Term4_Day_7[[#This Row],[Activity]],Types_of_Activity[Type of Activity],Types_of_Activity[Classification])=1,Term4_Day_7[[#This Row],[Elapsed]],0))</f>
        <v/>
      </c>
      <c r="AW46" s="106" t="str">
        <f>IF(ISBLANK(Term4_Day_7[[#This Row],[Activity]]),"",IF(_xlfn.XLOOKUP(Term4_Day_7[[#This Row],[Activity]],Types_of_Activity[Type of Activity],Types_of_Activity[Classification])=2,Term4_Day_7[[#This Row],[Elapsed]],0))</f>
        <v/>
      </c>
      <c r="AX46" s="107"/>
      <c r="AY46" s="136"/>
      <c r="AZ46" s="136"/>
      <c r="BA46" s="103"/>
      <c r="BB46" s="106" t="str">
        <f>IF(OR(ISBLANK(Term4_Day_8[[#This Row],[Start]]),ISBLANK(Term4_Day_8[[#This Row],[End]])),"",(Term4_Day_8[[#This Row],[End]]-Term4_Day_8[[#This Row],[Start]])*1440)</f>
        <v/>
      </c>
      <c r="BC46" s="106" t="str">
        <f>IF(ISBLANK(Term4_Day_8[[#This Row],[Activity]]),"",IF(_xlfn.XLOOKUP(Term4_Day_8[[#This Row],[Activity]],Types_of_Activity[Type of Activity],Types_of_Activity[Classification])=1,Term4_Day_8[[#This Row],[Elapsed]],0))</f>
        <v/>
      </c>
      <c r="BD46" s="106" t="str">
        <f>IF(ISBLANK(Term4_Day_8[[#This Row],[Activity]]),"",IF(_xlfn.XLOOKUP(Term4_Day_8[[#This Row],[Activity]],Types_of_Activity[Type of Activity],Types_of_Activity[Classification])=2,Term4_Day_8[[#This Row],[Elapsed]],0))</f>
        <v/>
      </c>
      <c r="BE46" s="107"/>
      <c r="BF46" s="136"/>
      <c r="BG46" s="136"/>
      <c r="BH46" s="103"/>
      <c r="BI46" s="106" t="str">
        <f>IF(OR(ISBLANK(Term4_Day_9[[#This Row],[Start]]),ISBLANK(Term4_Day_9[[#This Row],[End]])),"",(Term4_Day_9[[#This Row],[End]]-Term4_Day_9[[#This Row],[Start]])*1440)</f>
        <v/>
      </c>
      <c r="BJ46" s="106" t="str">
        <f>IF(ISBLANK(Term4_Day_9[[#This Row],[Activity]]),"",IF(_xlfn.XLOOKUP(Term4_Day_9[[#This Row],[Activity]],Types_of_Activity[Type of Activity],Types_of_Activity[Classification])=1,Term4_Day_9[[#This Row],[Elapsed]],0))</f>
        <v/>
      </c>
      <c r="BK46" s="106" t="str">
        <f>IF(ISBLANK(Term4_Day_9[[#This Row],[Activity]]),"",IF(_xlfn.XLOOKUP(Term4_Day_9[[#This Row],[Activity]],Types_of_Activity[Type of Activity],Types_of_Activity[Classification])=2,Term4_Day_9[[#This Row],[Elapsed]],0))</f>
        <v/>
      </c>
      <c r="BL46" s="107"/>
      <c r="BM46" s="136"/>
      <c r="BN46" s="136"/>
      <c r="BO46" s="103"/>
      <c r="BP46" s="106" t="str">
        <f>IF(OR(ISBLANK(Term4_Day_10[[#This Row],[Start]]),ISBLANK(Term4_Day_10[[#This Row],[End]])),"",(Term4_Day_10[[#This Row],[End]]-Term4_Day_10[[#This Row],[Start]])*1440)</f>
        <v/>
      </c>
      <c r="BQ46" s="106" t="str">
        <f>IF(ISBLANK(Term4_Day_10[[#This Row],[Activity]]),"",IF(_xlfn.XLOOKUP(Term4_Day_10[[#This Row],[Activity]],Types_of_Activity[Type of Activity],Types_of_Activity[Classification])=1,Term4_Day_10[[#This Row],[Elapsed]],0))</f>
        <v/>
      </c>
      <c r="BR46" s="106" t="str">
        <f>IF(ISBLANK(Term4_Day_10[[#This Row],[Activity]]),"",IF(_xlfn.XLOOKUP(Term4_Day_10[[#This Row],[Activity]],Types_of_Activity[Type of Activity],Types_of_Activity[Classification])=2,Term4_Day_10[[#This Row],[Elapsed]],0))</f>
        <v/>
      </c>
      <c r="BS46" s="107"/>
    </row>
    <row r="47" spans="2:71" x14ac:dyDescent="0.3">
      <c r="B47" s="136"/>
      <c r="C47" s="136"/>
      <c r="D47" s="103"/>
      <c r="E47" s="106" t="str">
        <f>IF(OR(ISBLANK(Term4_Day_1[[#This Row],[Start]]),ISBLANK(Term4_Day_1[[#This Row],[End]])),"",(Term4_Day_1[[#This Row],[End]]-Term4_Day_1[[#This Row],[Start]])*1440)</f>
        <v/>
      </c>
      <c r="F47" s="106" t="str">
        <f>IF(ISBLANK(Term4_Day_1[[#This Row],[Activity]]),"",IF(_xlfn.XLOOKUP(Term4_Day_1[[#This Row],[Activity]],Types_of_Activity[Type of Activity],Types_of_Activity[Classification])=1,Term4_Day_1[[#This Row],[Elapsed]],0))</f>
        <v/>
      </c>
      <c r="G47" s="106" t="str">
        <f>IF(ISBLANK(Term4_Day_1[[#This Row],[Activity]]),"",IF(_xlfn.XLOOKUP(Term4_Day_1[[#This Row],[Activity]],Types_of_Activity[Type of Activity],Types_of_Activity[Classification])=2,Term4_Day_1[[#This Row],[Elapsed]],0))</f>
        <v/>
      </c>
      <c r="I47" s="136"/>
      <c r="J47" s="136"/>
      <c r="K47" s="103"/>
      <c r="L47" s="106" t="str">
        <f>IF(OR(ISBLANK(Term4_Day_2[[#This Row],[Start]]),ISBLANK(Term4_Day_2[[#This Row],[End]])),"",(Term4_Day_2[[#This Row],[End]]-Term4_Day_2[[#This Row],[Start]])*1440)</f>
        <v/>
      </c>
      <c r="M47" s="106" t="str">
        <f>IF(ISBLANK(Term4_Day_2[[#This Row],[Activity]]),"",IF(_xlfn.XLOOKUP(Term4_Day_2[[#This Row],[Activity]],Types_of_Activity[Type of Activity],Types_of_Activity[Classification])=1,Term4_Day_2[[#This Row],[Elapsed]],0))</f>
        <v/>
      </c>
      <c r="N47" s="106" t="str">
        <f>IF(ISBLANK(Term4_Day_2[[#This Row],[Activity]]),"",IF(_xlfn.XLOOKUP(Term4_Day_2[[#This Row],[Activity]],Types_of_Activity[Type of Activity],Types_of_Activity[Classification])=2,Term4_Day_2[[#This Row],[Elapsed]],0))</f>
        <v/>
      </c>
      <c r="P47" s="136"/>
      <c r="Q47" s="136"/>
      <c r="R47" s="103"/>
      <c r="S47" s="106" t="str">
        <f>IF(OR(ISBLANK(Term4_Day_3[[#This Row],[Start]]),ISBLANK(Term4_Day_3[[#This Row],[End]])),"",(Term4_Day_3[[#This Row],[End]]-Term4_Day_3[[#This Row],[Start]])*1440)</f>
        <v/>
      </c>
      <c r="T47" s="106" t="str">
        <f>IF(ISBLANK(Term4_Day_3[[#This Row],[Activity]]),"",IF(_xlfn.XLOOKUP(Term4_Day_3[[#This Row],[Activity]],Types_of_Activity[Type of Activity],Types_of_Activity[Classification])=1,Term4_Day_3[[#This Row],[Elapsed]],0))</f>
        <v/>
      </c>
      <c r="U47" s="106" t="str">
        <f>IF(ISBLANK(Term4_Day_3[[#This Row],[Activity]]),"",IF(_xlfn.XLOOKUP(Term4_Day_3[[#This Row],[Activity]],Types_of_Activity[Type of Activity],Types_of_Activity[Classification])=2,Term4_Day_3[[#This Row],[Elapsed]],0))</f>
        <v/>
      </c>
      <c r="W47" s="136"/>
      <c r="X47" s="136"/>
      <c r="Y47" s="103"/>
      <c r="Z47" s="106" t="str">
        <f>IF(OR(ISBLANK(Term4_Day_4[[#This Row],[Start]]),ISBLANK(Term4_Day_4[[#This Row],[End]])),"",(Term4_Day_4[[#This Row],[End]]-Term4_Day_4[[#This Row],[Start]])*1440)</f>
        <v/>
      </c>
      <c r="AA47" s="106" t="str">
        <f>IF(ISBLANK(Term4_Day_4[[#This Row],[Activity]]),"",IF(_xlfn.XLOOKUP(Term4_Day_4[[#This Row],[Activity]],Types_of_Activity[Type of Activity],Types_of_Activity[Classification])=1,Term4_Day_4[[#This Row],[Elapsed]],0))</f>
        <v/>
      </c>
      <c r="AB47" s="106" t="str">
        <f>IF(ISBLANK(Term4_Day_4[[#This Row],[Activity]]),"",IF(_xlfn.XLOOKUP(Term4_Day_4[[#This Row],[Activity]],Types_of_Activity[Type of Activity],Types_of_Activity[Classification])=2,Term4_Day_4[[#This Row],[Elapsed]],0))</f>
        <v/>
      </c>
      <c r="AD47" s="136"/>
      <c r="AE47" s="136"/>
      <c r="AF47" s="103"/>
      <c r="AG47" s="106" t="str">
        <f>IF(OR(ISBLANK(Term4_Day_5[[#This Row],[Start]]),ISBLANK(Term4_Day_5[[#This Row],[End]])),"",(Term4_Day_5[[#This Row],[End]]-Term4_Day_5[[#This Row],[Start]])*1440)</f>
        <v/>
      </c>
      <c r="AH47" s="106" t="str">
        <f>IF(ISBLANK(Term4_Day_5[[#This Row],[Activity]]),"",IF(_xlfn.XLOOKUP(Term4_Day_5[[#This Row],[Activity]],Types_of_Activity[Type of Activity],Types_of_Activity[Classification])=1,Term4_Day_5[[#This Row],[Elapsed]],0))</f>
        <v/>
      </c>
      <c r="AI47" s="106" t="str">
        <f>IF(ISBLANK(Term4_Day_5[[#This Row],[Activity]]),"",IF(_xlfn.XLOOKUP(Term4_Day_5[[#This Row],[Activity]],Types_of_Activity[Type of Activity],Types_of_Activity[Classification])=2,Term4_Day_5[[#This Row],[Elapsed]],0))</f>
        <v/>
      </c>
      <c r="AJ47" s="107"/>
      <c r="AK47" s="136"/>
      <c r="AL47" s="136"/>
      <c r="AM47" s="103"/>
      <c r="AN47" s="106" t="str">
        <f>IF(OR(ISBLANK(Term4_Day_6[[#This Row],[Start]]),ISBLANK(Term4_Day_6[[#This Row],[End]])),"",(Term4_Day_6[[#This Row],[End]]-Term4_Day_6[[#This Row],[Start]])*1440)</f>
        <v/>
      </c>
      <c r="AO47" s="106" t="str">
        <f>IF(ISBLANK(Term4_Day_6[[#This Row],[Activity]]),"",IF(_xlfn.XLOOKUP(Term4_Day_6[[#This Row],[Activity]],Types_of_Activity[Type of Activity],Types_of_Activity[Classification])=1,Term4_Day_6[[#This Row],[Elapsed]],0))</f>
        <v/>
      </c>
      <c r="AP47" s="106" t="str">
        <f>IF(ISBLANK(Term4_Day_6[[#This Row],[Activity]]),"",IF(_xlfn.XLOOKUP(Term4_Day_6[[#This Row],[Activity]],Types_of_Activity[Type of Activity],Types_of_Activity[Classification])=2,Term4_Day_6[[#This Row],[Elapsed]],0))</f>
        <v/>
      </c>
      <c r="AQ47" s="107"/>
      <c r="AR47" s="136"/>
      <c r="AS47" s="136"/>
      <c r="AT47" s="103"/>
      <c r="AU47" s="106" t="str">
        <f>IF(OR(ISBLANK(Term4_Day_7[[#This Row],[Start]]),ISBLANK(Term4_Day_7[[#This Row],[End]])),"",(Term4_Day_7[[#This Row],[End]]-Term4_Day_7[[#This Row],[Start]])*1440)</f>
        <v/>
      </c>
      <c r="AV47" s="106" t="str">
        <f>IF(ISBLANK(Term4_Day_7[[#This Row],[Activity]]),"",IF(_xlfn.XLOOKUP(Term4_Day_7[[#This Row],[Activity]],Types_of_Activity[Type of Activity],Types_of_Activity[Classification])=1,Term4_Day_7[[#This Row],[Elapsed]],0))</f>
        <v/>
      </c>
      <c r="AW47" s="106" t="str">
        <f>IF(ISBLANK(Term4_Day_7[[#This Row],[Activity]]),"",IF(_xlfn.XLOOKUP(Term4_Day_7[[#This Row],[Activity]],Types_of_Activity[Type of Activity],Types_of_Activity[Classification])=2,Term4_Day_7[[#This Row],[Elapsed]],0))</f>
        <v/>
      </c>
      <c r="AX47" s="107"/>
      <c r="AY47" s="136"/>
      <c r="AZ47" s="136"/>
      <c r="BA47" s="103"/>
      <c r="BB47" s="106" t="str">
        <f>IF(OR(ISBLANK(Term4_Day_8[[#This Row],[Start]]),ISBLANK(Term4_Day_8[[#This Row],[End]])),"",(Term4_Day_8[[#This Row],[End]]-Term4_Day_8[[#This Row],[Start]])*1440)</f>
        <v/>
      </c>
      <c r="BC47" s="106" t="str">
        <f>IF(ISBLANK(Term4_Day_8[[#This Row],[Activity]]),"",IF(_xlfn.XLOOKUP(Term4_Day_8[[#This Row],[Activity]],Types_of_Activity[Type of Activity],Types_of_Activity[Classification])=1,Term4_Day_8[[#This Row],[Elapsed]],0))</f>
        <v/>
      </c>
      <c r="BD47" s="106" t="str">
        <f>IF(ISBLANK(Term4_Day_8[[#This Row],[Activity]]),"",IF(_xlfn.XLOOKUP(Term4_Day_8[[#This Row],[Activity]],Types_of_Activity[Type of Activity],Types_of_Activity[Classification])=2,Term4_Day_8[[#This Row],[Elapsed]],0))</f>
        <v/>
      </c>
      <c r="BE47" s="107"/>
      <c r="BF47" s="136"/>
      <c r="BG47" s="136"/>
      <c r="BH47" s="103"/>
      <c r="BI47" s="106" t="str">
        <f>IF(OR(ISBLANK(Term4_Day_9[[#This Row],[Start]]),ISBLANK(Term4_Day_9[[#This Row],[End]])),"",(Term4_Day_9[[#This Row],[End]]-Term4_Day_9[[#This Row],[Start]])*1440)</f>
        <v/>
      </c>
      <c r="BJ47" s="106" t="str">
        <f>IF(ISBLANK(Term4_Day_9[[#This Row],[Activity]]),"",IF(_xlfn.XLOOKUP(Term4_Day_9[[#This Row],[Activity]],Types_of_Activity[Type of Activity],Types_of_Activity[Classification])=1,Term4_Day_9[[#This Row],[Elapsed]],0))</f>
        <v/>
      </c>
      <c r="BK47" s="106" t="str">
        <f>IF(ISBLANK(Term4_Day_9[[#This Row],[Activity]]),"",IF(_xlfn.XLOOKUP(Term4_Day_9[[#This Row],[Activity]],Types_of_Activity[Type of Activity],Types_of_Activity[Classification])=2,Term4_Day_9[[#This Row],[Elapsed]],0))</f>
        <v/>
      </c>
      <c r="BL47" s="107"/>
      <c r="BM47" s="136"/>
      <c r="BN47" s="136"/>
      <c r="BO47" s="103"/>
      <c r="BP47" s="106" t="str">
        <f>IF(OR(ISBLANK(Term4_Day_10[[#This Row],[Start]]),ISBLANK(Term4_Day_10[[#This Row],[End]])),"",(Term4_Day_10[[#This Row],[End]]-Term4_Day_10[[#This Row],[Start]])*1440)</f>
        <v/>
      </c>
      <c r="BQ47" s="106" t="str">
        <f>IF(ISBLANK(Term4_Day_10[[#This Row],[Activity]]),"",IF(_xlfn.XLOOKUP(Term4_Day_10[[#This Row],[Activity]],Types_of_Activity[Type of Activity],Types_of_Activity[Classification])=1,Term4_Day_10[[#This Row],[Elapsed]],0))</f>
        <v/>
      </c>
      <c r="BR47" s="106" t="str">
        <f>IF(ISBLANK(Term4_Day_10[[#This Row],[Activity]]),"",IF(_xlfn.XLOOKUP(Term4_Day_10[[#This Row],[Activity]],Types_of_Activity[Type of Activity],Types_of_Activity[Classification])=2,Term4_Day_10[[#This Row],[Elapsed]],0))</f>
        <v/>
      </c>
      <c r="BS47" s="107"/>
    </row>
    <row r="48" spans="2:71" x14ac:dyDescent="0.3">
      <c r="B48" s="136"/>
      <c r="C48" s="136"/>
      <c r="D48" s="103"/>
      <c r="E48" s="106" t="str">
        <f>IF(OR(ISBLANK(Term4_Day_1[[#This Row],[Start]]),ISBLANK(Term4_Day_1[[#This Row],[End]])),"",(Term4_Day_1[[#This Row],[End]]-Term4_Day_1[[#This Row],[Start]])*1440)</f>
        <v/>
      </c>
      <c r="F48" s="106" t="str">
        <f>IF(ISBLANK(Term4_Day_1[[#This Row],[Activity]]),"",IF(_xlfn.XLOOKUP(Term4_Day_1[[#This Row],[Activity]],Types_of_Activity[Type of Activity],Types_of_Activity[Classification])=1,Term4_Day_1[[#This Row],[Elapsed]],0))</f>
        <v/>
      </c>
      <c r="G48" s="106" t="str">
        <f>IF(ISBLANK(Term4_Day_1[[#This Row],[Activity]]),"",IF(_xlfn.XLOOKUP(Term4_Day_1[[#This Row],[Activity]],Types_of_Activity[Type of Activity],Types_of_Activity[Classification])=2,Term4_Day_1[[#This Row],[Elapsed]],0))</f>
        <v/>
      </c>
      <c r="I48" s="136"/>
      <c r="J48" s="136"/>
      <c r="K48" s="103"/>
      <c r="L48" s="106" t="str">
        <f>IF(OR(ISBLANK(Term4_Day_2[[#This Row],[Start]]),ISBLANK(Term4_Day_2[[#This Row],[End]])),"",(Term4_Day_2[[#This Row],[End]]-Term4_Day_2[[#This Row],[Start]])*1440)</f>
        <v/>
      </c>
      <c r="M48" s="106" t="str">
        <f>IF(ISBLANK(Term4_Day_2[[#This Row],[Activity]]),"",IF(_xlfn.XLOOKUP(Term4_Day_2[[#This Row],[Activity]],Types_of_Activity[Type of Activity],Types_of_Activity[Classification])=1,Term4_Day_2[[#This Row],[Elapsed]],0))</f>
        <v/>
      </c>
      <c r="N48" s="106" t="str">
        <f>IF(ISBLANK(Term4_Day_2[[#This Row],[Activity]]),"",IF(_xlfn.XLOOKUP(Term4_Day_2[[#This Row],[Activity]],Types_of_Activity[Type of Activity],Types_of_Activity[Classification])=2,Term4_Day_2[[#This Row],[Elapsed]],0))</f>
        <v/>
      </c>
      <c r="P48" s="136"/>
      <c r="Q48" s="136"/>
      <c r="R48" s="103"/>
      <c r="S48" s="106" t="str">
        <f>IF(OR(ISBLANK(Term4_Day_3[[#This Row],[Start]]),ISBLANK(Term4_Day_3[[#This Row],[End]])),"",(Term4_Day_3[[#This Row],[End]]-Term4_Day_3[[#This Row],[Start]])*1440)</f>
        <v/>
      </c>
      <c r="T48" s="106" t="str">
        <f>IF(ISBLANK(Term4_Day_3[[#This Row],[Activity]]),"",IF(_xlfn.XLOOKUP(Term4_Day_3[[#This Row],[Activity]],Types_of_Activity[Type of Activity],Types_of_Activity[Classification])=1,Term4_Day_3[[#This Row],[Elapsed]],0))</f>
        <v/>
      </c>
      <c r="U48" s="106" t="str">
        <f>IF(ISBLANK(Term4_Day_3[[#This Row],[Activity]]),"",IF(_xlfn.XLOOKUP(Term4_Day_3[[#This Row],[Activity]],Types_of_Activity[Type of Activity],Types_of_Activity[Classification])=2,Term4_Day_3[[#This Row],[Elapsed]],0))</f>
        <v/>
      </c>
      <c r="W48" s="136"/>
      <c r="X48" s="136"/>
      <c r="Y48" s="103"/>
      <c r="Z48" s="106" t="str">
        <f>IF(OR(ISBLANK(Term4_Day_4[[#This Row],[Start]]),ISBLANK(Term4_Day_4[[#This Row],[End]])),"",(Term4_Day_4[[#This Row],[End]]-Term4_Day_4[[#This Row],[Start]])*1440)</f>
        <v/>
      </c>
      <c r="AA48" s="106" t="str">
        <f>IF(ISBLANK(Term4_Day_4[[#This Row],[Activity]]),"",IF(_xlfn.XLOOKUP(Term4_Day_4[[#This Row],[Activity]],Types_of_Activity[Type of Activity],Types_of_Activity[Classification])=1,Term4_Day_4[[#This Row],[Elapsed]],0))</f>
        <v/>
      </c>
      <c r="AB48" s="106" t="str">
        <f>IF(ISBLANK(Term4_Day_4[[#This Row],[Activity]]),"",IF(_xlfn.XLOOKUP(Term4_Day_4[[#This Row],[Activity]],Types_of_Activity[Type of Activity],Types_of_Activity[Classification])=2,Term4_Day_4[[#This Row],[Elapsed]],0))</f>
        <v/>
      </c>
      <c r="AD48" s="136"/>
      <c r="AE48" s="136"/>
      <c r="AF48" s="103"/>
      <c r="AG48" s="106" t="str">
        <f>IF(OR(ISBLANK(Term4_Day_5[[#This Row],[Start]]),ISBLANK(Term4_Day_5[[#This Row],[End]])),"",(Term4_Day_5[[#This Row],[End]]-Term4_Day_5[[#This Row],[Start]])*1440)</f>
        <v/>
      </c>
      <c r="AH48" s="106" t="str">
        <f>IF(ISBLANK(Term4_Day_5[[#This Row],[Activity]]),"",IF(_xlfn.XLOOKUP(Term4_Day_5[[#This Row],[Activity]],Types_of_Activity[Type of Activity],Types_of_Activity[Classification])=1,Term4_Day_5[[#This Row],[Elapsed]],0))</f>
        <v/>
      </c>
      <c r="AI48" s="106" t="str">
        <f>IF(ISBLANK(Term4_Day_5[[#This Row],[Activity]]),"",IF(_xlfn.XLOOKUP(Term4_Day_5[[#This Row],[Activity]],Types_of_Activity[Type of Activity],Types_of_Activity[Classification])=2,Term4_Day_5[[#This Row],[Elapsed]],0))</f>
        <v/>
      </c>
      <c r="AJ48" s="107"/>
      <c r="AK48" s="136"/>
      <c r="AL48" s="136"/>
      <c r="AM48" s="103"/>
      <c r="AN48" s="106" t="str">
        <f>IF(OR(ISBLANK(Term4_Day_6[[#This Row],[Start]]),ISBLANK(Term4_Day_6[[#This Row],[End]])),"",(Term4_Day_6[[#This Row],[End]]-Term4_Day_6[[#This Row],[Start]])*1440)</f>
        <v/>
      </c>
      <c r="AO48" s="106" t="str">
        <f>IF(ISBLANK(Term4_Day_6[[#This Row],[Activity]]),"",IF(_xlfn.XLOOKUP(Term4_Day_6[[#This Row],[Activity]],Types_of_Activity[Type of Activity],Types_of_Activity[Classification])=1,Term4_Day_6[[#This Row],[Elapsed]],0))</f>
        <v/>
      </c>
      <c r="AP48" s="106" t="str">
        <f>IF(ISBLANK(Term4_Day_6[[#This Row],[Activity]]),"",IF(_xlfn.XLOOKUP(Term4_Day_6[[#This Row],[Activity]],Types_of_Activity[Type of Activity],Types_of_Activity[Classification])=2,Term4_Day_6[[#This Row],[Elapsed]],0))</f>
        <v/>
      </c>
      <c r="AQ48" s="107"/>
      <c r="AR48" s="136"/>
      <c r="AS48" s="136"/>
      <c r="AT48" s="103"/>
      <c r="AU48" s="106" t="str">
        <f>IF(OR(ISBLANK(Term4_Day_7[[#This Row],[Start]]),ISBLANK(Term4_Day_7[[#This Row],[End]])),"",(Term4_Day_7[[#This Row],[End]]-Term4_Day_7[[#This Row],[Start]])*1440)</f>
        <v/>
      </c>
      <c r="AV48" s="106" t="str">
        <f>IF(ISBLANK(Term4_Day_7[[#This Row],[Activity]]),"",IF(_xlfn.XLOOKUP(Term4_Day_7[[#This Row],[Activity]],Types_of_Activity[Type of Activity],Types_of_Activity[Classification])=1,Term4_Day_7[[#This Row],[Elapsed]],0))</f>
        <v/>
      </c>
      <c r="AW48" s="106" t="str">
        <f>IF(ISBLANK(Term4_Day_7[[#This Row],[Activity]]),"",IF(_xlfn.XLOOKUP(Term4_Day_7[[#This Row],[Activity]],Types_of_Activity[Type of Activity],Types_of_Activity[Classification])=2,Term4_Day_7[[#This Row],[Elapsed]],0))</f>
        <v/>
      </c>
      <c r="AX48" s="107"/>
      <c r="AY48" s="136"/>
      <c r="AZ48" s="136"/>
      <c r="BA48" s="103"/>
      <c r="BB48" s="106" t="str">
        <f>IF(OR(ISBLANK(Term4_Day_8[[#This Row],[Start]]),ISBLANK(Term4_Day_8[[#This Row],[End]])),"",(Term4_Day_8[[#This Row],[End]]-Term4_Day_8[[#This Row],[Start]])*1440)</f>
        <v/>
      </c>
      <c r="BC48" s="106" t="str">
        <f>IF(ISBLANK(Term4_Day_8[[#This Row],[Activity]]),"",IF(_xlfn.XLOOKUP(Term4_Day_8[[#This Row],[Activity]],Types_of_Activity[Type of Activity],Types_of_Activity[Classification])=1,Term4_Day_8[[#This Row],[Elapsed]],0))</f>
        <v/>
      </c>
      <c r="BD48" s="106" t="str">
        <f>IF(ISBLANK(Term4_Day_8[[#This Row],[Activity]]),"",IF(_xlfn.XLOOKUP(Term4_Day_8[[#This Row],[Activity]],Types_of_Activity[Type of Activity],Types_of_Activity[Classification])=2,Term4_Day_8[[#This Row],[Elapsed]],0))</f>
        <v/>
      </c>
      <c r="BE48" s="107"/>
      <c r="BF48" s="136"/>
      <c r="BG48" s="136"/>
      <c r="BH48" s="103"/>
      <c r="BI48" s="106" t="str">
        <f>IF(OR(ISBLANK(Term4_Day_9[[#This Row],[Start]]),ISBLANK(Term4_Day_9[[#This Row],[End]])),"",(Term4_Day_9[[#This Row],[End]]-Term4_Day_9[[#This Row],[Start]])*1440)</f>
        <v/>
      </c>
      <c r="BJ48" s="106" t="str">
        <f>IF(ISBLANK(Term4_Day_9[[#This Row],[Activity]]),"",IF(_xlfn.XLOOKUP(Term4_Day_9[[#This Row],[Activity]],Types_of_Activity[Type of Activity],Types_of_Activity[Classification])=1,Term4_Day_9[[#This Row],[Elapsed]],0))</f>
        <v/>
      </c>
      <c r="BK48" s="106" t="str">
        <f>IF(ISBLANK(Term4_Day_9[[#This Row],[Activity]]),"",IF(_xlfn.XLOOKUP(Term4_Day_9[[#This Row],[Activity]],Types_of_Activity[Type of Activity],Types_of_Activity[Classification])=2,Term4_Day_9[[#This Row],[Elapsed]],0))</f>
        <v/>
      </c>
      <c r="BL48" s="107"/>
      <c r="BM48" s="136"/>
      <c r="BN48" s="136"/>
      <c r="BO48" s="103"/>
      <c r="BP48" s="106" t="str">
        <f>IF(OR(ISBLANK(Term4_Day_10[[#This Row],[Start]]),ISBLANK(Term4_Day_10[[#This Row],[End]])),"",(Term4_Day_10[[#This Row],[End]]-Term4_Day_10[[#This Row],[Start]])*1440)</f>
        <v/>
      </c>
      <c r="BQ48" s="106" t="str">
        <f>IF(ISBLANK(Term4_Day_10[[#This Row],[Activity]]),"",IF(_xlfn.XLOOKUP(Term4_Day_10[[#This Row],[Activity]],Types_of_Activity[Type of Activity],Types_of_Activity[Classification])=1,Term4_Day_10[[#This Row],[Elapsed]],0))</f>
        <v/>
      </c>
      <c r="BR48" s="106" t="str">
        <f>IF(ISBLANK(Term4_Day_10[[#This Row],[Activity]]),"",IF(_xlfn.XLOOKUP(Term4_Day_10[[#This Row],[Activity]],Types_of_Activity[Type of Activity],Types_of_Activity[Classification])=2,Term4_Day_10[[#This Row],[Elapsed]],0))</f>
        <v/>
      </c>
      <c r="BS48" s="107"/>
    </row>
    <row r="49" spans="2:71" x14ac:dyDescent="0.3">
      <c r="B49" s="136"/>
      <c r="C49" s="136"/>
      <c r="D49" s="103"/>
      <c r="E49" s="106" t="str">
        <f>IF(OR(ISBLANK(Term4_Day_1[[#This Row],[Start]]),ISBLANK(Term4_Day_1[[#This Row],[End]])),"",(Term4_Day_1[[#This Row],[End]]-Term4_Day_1[[#This Row],[Start]])*1440)</f>
        <v/>
      </c>
      <c r="F49" s="106" t="str">
        <f>IF(ISBLANK(Term4_Day_1[[#This Row],[Activity]]),"",IF(_xlfn.XLOOKUP(Term4_Day_1[[#This Row],[Activity]],Types_of_Activity[Type of Activity],Types_of_Activity[Classification])=1,Term4_Day_1[[#This Row],[Elapsed]],0))</f>
        <v/>
      </c>
      <c r="G49" s="106" t="str">
        <f>IF(ISBLANK(Term4_Day_1[[#This Row],[Activity]]),"",IF(_xlfn.XLOOKUP(Term4_Day_1[[#This Row],[Activity]],Types_of_Activity[Type of Activity],Types_of_Activity[Classification])=2,Term4_Day_1[[#This Row],[Elapsed]],0))</f>
        <v/>
      </c>
      <c r="I49" s="136"/>
      <c r="J49" s="136"/>
      <c r="K49" s="103"/>
      <c r="L49" s="106" t="str">
        <f>IF(OR(ISBLANK(Term4_Day_2[[#This Row],[Start]]),ISBLANK(Term4_Day_2[[#This Row],[End]])),"",(Term4_Day_2[[#This Row],[End]]-Term4_Day_2[[#This Row],[Start]])*1440)</f>
        <v/>
      </c>
      <c r="M49" s="106" t="str">
        <f>IF(ISBLANK(Term4_Day_2[[#This Row],[Activity]]),"",IF(_xlfn.XLOOKUP(Term4_Day_2[[#This Row],[Activity]],Types_of_Activity[Type of Activity],Types_of_Activity[Classification])=1,Term4_Day_2[[#This Row],[Elapsed]],0))</f>
        <v/>
      </c>
      <c r="N49" s="106" t="str">
        <f>IF(ISBLANK(Term4_Day_2[[#This Row],[Activity]]),"",IF(_xlfn.XLOOKUP(Term4_Day_2[[#This Row],[Activity]],Types_of_Activity[Type of Activity],Types_of_Activity[Classification])=2,Term4_Day_2[[#This Row],[Elapsed]],0))</f>
        <v/>
      </c>
      <c r="P49" s="136"/>
      <c r="Q49" s="136"/>
      <c r="R49" s="103"/>
      <c r="S49" s="106" t="str">
        <f>IF(OR(ISBLANK(Term4_Day_3[[#This Row],[Start]]),ISBLANK(Term4_Day_3[[#This Row],[End]])),"",(Term4_Day_3[[#This Row],[End]]-Term4_Day_3[[#This Row],[Start]])*1440)</f>
        <v/>
      </c>
      <c r="T49" s="106" t="str">
        <f>IF(ISBLANK(Term4_Day_3[[#This Row],[Activity]]),"",IF(_xlfn.XLOOKUP(Term4_Day_3[[#This Row],[Activity]],Types_of_Activity[Type of Activity],Types_of_Activity[Classification])=1,Term4_Day_3[[#This Row],[Elapsed]],0))</f>
        <v/>
      </c>
      <c r="U49" s="106" t="str">
        <f>IF(ISBLANK(Term4_Day_3[[#This Row],[Activity]]),"",IF(_xlfn.XLOOKUP(Term4_Day_3[[#This Row],[Activity]],Types_of_Activity[Type of Activity],Types_of_Activity[Classification])=2,Term4_Day_3[[#This Row],[Elapsed]],0))</f>
        <v/>
      </c>
      <c r="W49" s="136"/>
      <c r="X49" s="136"/>
      <c r="Y49" s="103"/>
      <c r="Z49" s="106" t="str">
        <f>IF(OR(ISBLANK(Term4_Day_4[[#This Row],[Start]]),ISBLANK(Term4_Day_4[[#This Row],[End]])),"",(Term4_Day_4[[#This Row],[End]]-Term4_Day_4[[#This Row],[Start]])*1440)</f>
        <v/>
      </c>
      <c r="AA49" s="106" t="str">
        <f>IF(ISBLANK(Term4_Day_4[[#This Row],[Activity]]),"",IF(_xlfn.XLOOKUP(Term4_Day_4[[#This Row],[Activity]],Types_of_Activity[Type of Activity],Types_of_Activity[Classification])=1,Term4_Day_4[[#This Row],[Elapsed]],0))</f>
        <v/>
      </c>
      <c r="AB49" s="106" t="str">
        <f>IF(ISBLANK(Term4_Day_4[[#This Row],[Activity]]),"",IF(_xlfn.XLOOKUP(Term4_Day_4[[#This Row],[Activity]],Types_of_Activity[Type of Activity],Types_of_Activity[Classification])=2,Term4_Day_4[[#This Row],[Elapsed]],0))</f>
        <v/>
      </c>
      <c r="AD49" s="136"/>
      <c r="AE49" s="136"/>
      <c r="AF49" s="103"/>
      <c r="AG49" s="106" t="str">
        <f>IF(OR(ISBLANK(Term4_Day_5[[#This Row],[Start]]),ISBLANK(Term4_Day_5[[#This Row],[End]])),"",(Term4_Day_5[[#This Row],[End]]-Term4_Day_5[[#This Row],[Start]])*1440)</f>
        <v/>
      </c>
      <c r="AH49" s="106" t="str">
        <f>IF(ISBLANK(Term4_Day_5[[#This Row],[Activity]]),"",IF(_xlfn.XLOOKUP(Term4_Day_5[[#This Row],[Activity]],Types_of_Activity[Type of Activity],Types_of_Activity[Classification])=1,Term4_Day_5[[#This Row],[Elapsed]],0))</f>
        <v/>
      </c>
      <c r="AI49" s="106" t="str">
        <f>IF(ISBLANK(Term4_Day_5[[#This Row],[Activity]]),"",IF(_xlfn.XLOOKUP(Term4_Day_5[[#This Row],[Activity]],Types_of_Activity[Type of Activity],Types_of_Activity[Classification])=2,Term4_Day_5[[#This Row],[Elapsed]],0))</f>
        <v/>
      </c>
      <c r="AJ49" s="107"/>
      <c r="AK49" s="136"/>
      <c r="AL49" s="136"/>
      <c r="AM49" s="103"/>
      <c r="AN49" s="106" t="str">
        <f>IF(OR(ISBLANK(Term4_Day_6[[#This Row],[Start]]),ISBLANK(Term4_Day_6[[#This Row],[End]])),"",(Term4_Day_6[[#This Row],[End]]-Term4_Day_6[[#This Row],[Start]])*1440)</f>
        <v/>
      </c>
      <c r="AO49" s="106" t="str">
        <f>IF(ISBLANK(Term4_Day_6[[#This Row],[Activity]]),"",IF(_xlfn.XLOOKUP(Term4_Day_6[[#This Row],[Activity]],Types_of_Activity[Type of Activity],Types_of_Activity[Classification])=1,Term4_Day_6[[#This Row],[Elapsed]],0))</f>
        <v/>
      </c>
      <c r="AP49" s="106" t="str">
        <f>IF(ISBLANK(Term4_Day_6[[#This Row],[Activity]]),"",IF(_xlfn.XLOOKUP(Term4_Day_6[[#This Row],[Activity]],Types_of_Activity[Type of Activity],Types_of_Activity[Classification])=2,Term4_Day_6[[#This Row],[Elapsed]],0))</f>
        <v/>
      </c>
      <c r="AQ49" s="107"/>
      <c r="AR49" s="136"/>
      <c r="AS49" s="136"/>
      <c r="AT49" s="103"/>
      <c r="AU49" s="106" t="str">
        <f>IF(OR(ISBLANK(Term4_Day_7[[#This Row],[Start]]),ISBLANK(Term4_Day_7[[#This Row],[End]])),"",(Term4_Day_7[[#This Row],[End]]-Term4_Day_7[[#This Row],[Start]])*1440)</f>
        <v/>
      </c>
      <c r="AV49" s="106" t="str">
        <f>IF(ISBLANK(Term4_Day_7[[#This Row],[Activity]]),"",IF(_xlfn.XLOOKUP(Term4_Day_7[[#This Row],[Activity]],Types_of_Activity[Type of Activity],Types_of_Activity[Classification])=1,Term4_Day_7[[#This Row],[Elapsed]],0))</f>
        <v/>
      </c>
      <c r="AW49" s="106" t="str">
        <f>IF(ISBLANK(Term4_Day_7[[#This Row],[Activity]]),"",IF(_xlfn.XLOOKUP(Term4_Day_7[[#This Row],[Activity]],Types_of_Activity[Type of Activity],Types_of_Activity[Classification])=2,Term4_Day_7[[#This Row],[Elapsed]],0))</f>
        <v/>
      </c>
      <c r="AX49" s="107"/>
      <c r="AY49" s="136"/>
      <c r="AZ49" s="136"/>
      <c r="BA49" s="103"/>
      <c r="BB49" s="106" t="str">
        <f>IF(OR(ISBLANK(Term4_Day_8[[#This Row],[Start]]),ISBLANK(Term4_Day_8[[#This Row],[End]])),"",(Term4_Day_8[[#This Row],[End]]-Term4_Day_8[[#This Row],[Start]])*1440)</f>
        <v/>
      </c>
      <c r="BC49" s="106" t="str">
        <f>IF(ISBLANK(Term4_Day_8[[#This Row],[Activity]]),"",IF(_xlfn.XLOOKUP(Term4_Day_8[[#This Row],[Activity]],Types_of_Activity[Type of Activity],Types_of_Activity[Classification])=1,Term4_Day_8[[#This Row],[Elapsed]],0))</f>
        <v/>
      </c>
      <c r="BD49" s="106" t="str">
        <f>IF(ISBLANK(Term4_Day_8[[#This Row],[Activity]]),"",IF(_xlfn.XLOOKUP(Term4_Day_8[[#This Row],[Activity]],Types_of_Activity[Type of Activity],Types_of_Activity[Classification])=2,Term4_Day_8[[#This Row],[Elapsed]],0))</f>
        <v/>
      </c>
      <c r="BE49" s="107"/>
      <c r="BF49" s="136"/>
      <c r="BG49" s="136"/>
      <c r="BH49" s="103"/>
      <c r="BI49" s="106" t="str">
        <f>IF(OR(ISBLANK(Term4_Day_9[[#This Row],[Start]]),ISBLANK(Term4_Day_9[[#This Row],[End]])),"",(Term4_Day_9[[#This Row],[End]]-Term4_Day_9[[#This Row],[Start]])*1440)</f>
        <v/>
      </c>
      <c r="BJ49" s="106" t="str">
        <f>IF(ISBLANK(Term4_Day_9[[#This Row],[Activity]]),"",IF(_xlfn.XLOOKUP(Term4_Day_9[[#This Row],[Activity]],Types_of_Activity[Type of Activity],Types_of_Activity[Classification])=1,Term4_Day_9[[#This Row],[Elapsed]],0))</f>
        <v/>
      </c>
      <c r="BK49" s="106" t="str">
        <f>IF(ISBLANK(Term4_Day_9[[#This Row],[Activity]]),"",IF(_xlfn.XLOOKUP(Term4_Day_9[[#This Row],[Activity]],Types_of_Activity[Type of Activity],Types_of_Activity[Classification])=2,Term4_Day_9[[#This Row],[Elapsed]],0))</f>
        <v/>
      </c>
      <c r="BL49" s="107"/>
      <c r="BM49" s="136"/>
      <c r="BN49" s="136"/>
      <c r="BO49" s="103"/>
      <c r="BP49" s="106" t="str">
        <f>IF(OR(ISBLANK(Term4_Day_10[[#This Row],[Start]]),ISBLANK(Term4_Day_10[[#This Row],[End]])),"",(Term4_Day_10[[#This Row],[End]]-Term4_Day_10[[#This Row],[Start]])*1440)</f>
        <v/>
      </c>
      <c r="BQ49" s="106" t="str">
        <f>IF(ISBLANK(Term4_Day_10[[#This Row],[Activity]]),"",IF(_xlfn.XLOOKUP(Term4_Day_10[[#This Row],[Activity]],Types_of_Activity[Type of Activity],Types_of_Activity[Classification])=1,Term4_Day_10[[#This Row],[Elapsed]],0))</f>
        <v/>
      </c>
      <c r="BR49" s="106" t="str">
        <f>IF(ISBLANK(Term4_Day_10[[#This Row],[Activity]]),"",IF(_xlfn.XLOOKUP(Term4_Day_10[[#This Row],[Activity]],Types_of_Activity[Type of Activity],Types_of_Activity[Classification])=2,Term4_Day_10[[#This Row],[Elapsed]],0))</f>
        <v/>
      </c>
      <c r="BS49" s="107"/>
    </row>
    <row r="50" spans="2:71" x14ac:dyDescent="0.3">
      <c r="B50" s="136"/>
      <c r="C50" s="136"/>
      <c r="D50" s="103"/>
      <c r="E50" s="106" t="str">
        <f>IF(OR(ISBLANK(Term4_Day_1[[#This Row],[Start]]),ISBLANK(Term4_Day_1[[#This Row],[End]])),"",(Term4_Day_1[[#This Row],[End]]-Term4_Day_1[[#This Row],[Start]])*1440)</f>
        <v/>
      </c>
      <c r="F50" s="106" t="str">
        <f>IF(ISBLANK(Term4_Day_1[[#This Row],[Activity]]),"",IF(_xlfn.XLOOKUP(Term4_Day_1[[#This Row],[Activity]],Types_of_Activity[Type of Activity],Types_of_Activity[Classification])=1,Term4_Day_1[[#This Row],[Elapsed]],0))</f>
        <v/>
      </c>
      <c r="G50" s="106" t="str">
        <f>IF(ISBLANK(Term4_Day_1[[#This Row],[Activity]]),"",IF(_xlfn.XLOOKUP(Term4_Day_1[[#This Row],[Activity]],Types_of_Activity[Type of Activity],Types_of_Activity[Classification])=2,Term4_Day_1[[#This Row],[Elapsed]],0))</f>
        <v/>
      </c>
      <c r="I50" s="136"/>
      <c r="J50" s="136"/>
      <c r="K50" s="103"/>
      <c r="L50" s="106" t="str">
        <f>IF(OR(ISBLANK(Term4_Day_2[[#This Row],[Start]]),ISBLANK(Term4_Day_2[[#This Row],[End]])),"",(Term4_Day_2[[#This Row],[End]]-Term4_Day_2[[#This Row],[Start]])*1440)</f>
        <v/>
      </c>
      <c r="M50" s="106" t="str">
        <f>IF(ISBLANK(Term4_Day_2[[#This Row],[Activity]]),"",IF(_xlfn.XLOOKUP(Term4_Day_2[[#This Row],[Activity]],Types_of_Activity[Type of Activity],Types_of_Activity[Classification])=1,Term4_Day_2[[#This Row],[Elapsed]],0))</f>
        <v/>
      </c>
      <c r="N50" s="106" t="str">
        <f>IF(ISBLANK(Term4_Day_2[[#This Row],[Activity]]),"",IF(_xlfn.XLOOKUP(Term4_Day_2[[#This Row],[Activity]],Types_of_Activity[Type of Activity],Types_of_Activity[Classification])=2,Term4_Day_2[[#This Row],[Elapsed]],0))</f>
        <v/>
      </c>
      <c r="P50" s="136"/>
      <c r="Q50" s="136"/>
      <c r="R50" s="103"/>
      <c r="S50" s="106" t="str">
        <f>IF(OR(ISBLANK(Term4_Day_3[[#This Row],[Start]]),ISBLANK(Term4_Day_3[[#This Row],[End]])),"",(Term4_Day_3[[#This Row],[End]]-Term4_Day_3[[#This Row],[Start]])*1440)</f>
        <v/>
      </c>
      <c r="T50" s="106" t="str">
        <f>IF(ISBLANK(Term4_Day_3[[#This Row],[Activity]]),"",IF(_xlfn.XLOOKUP(Term4_Day_3[[#This Row],[Activity]],Types_of_Activity[Type of Activity],Types_of_Activity[Classification])=1,Term4_Day_3[[#This Row],[Elapsed]],0))</f>
        <v/>
      </c>
      <c r="U50" s="106" t="str">
        <f>IF(ISBLANK(Term4_Day_3[[#This Row],[Activity]]),"",IF(_xlfn.XLOOKUP(Term4_Day_3[[#This Row],[Activity]],Types_of_Activity[Type of Activity],Types_of_Activity[Classification])=2,Term4_Day_3[[#This Row],[Elapsed]],0))</f>
        <v/>
      </c>
      <c r="W50" s="136"/>
      <c r="X50" s="136"/>
      <c r="Y50" s="103"/>
      <c r="Z50" s="106" t="str">
        <f>IF(OR(ISBLANK(Term4_Day_4[[#This Row],[Start]]),ISBLANK(Term4_Day_4[[#This Row],[End]])),"",(Term4_Day_4[[#This Row],[End]]-Term4_Day_4[[#This Row],[Start]])*1440)</f>
        <v/>
      </c>
      <c r="AA50" s="106" t="str">
        <f>IF(ISBLANK(Term4_Day_4[[#This Row],[Activity]]),"",IF(_xlfn.XLOOKUP(Term4_Day_4[[#This Row],[Activity]],Types_of_Activity[Type of Activity],Types_of_Activity[Classification])=1,Term4_Day_4[[#This Row],[Elapsed]],0))</f>
        <v/>
      </c>
      <c r="AB50" s="106" t="str">
        <f>IF(ISBLANK(Term4_Day_4[[#This Row],[Activity]]),"",IF(_xlfn.XLOOKUP(Term4_Day_4[[#This Row],[Activity]],Types_of_Activity[Type of Activity],Types_of_Activity[Classification])=2,Term4_Day_4[[#This Row],[Elapsed]],0))</f>
        <v/>
      </c>
      <c r="AD50" s="136"/>
      <c r="AE50" s="136"/>
      <c r="AF50" s="103"/>
      <c r="AG50" s="106" t="str">
        <f>IF(OR(ISBLANK(Term4_Day_5[[#This Row],[Start]]),ISBLANK(Term4_Day_5[[#This Row],[End]])),"",(Term4_Day_5[[#This Row],[End]]-Term4_Day_5[[#This Row],[Start]])*1440)</f>
        <v/>
      </c>
      <c r="AH50" s="106" t="str">
        <f>IF(ISBLANK(Term4_Day_5[[#This Row],[Activity]]),"",IF(_xlfn.XLOOKUP(Term4_Day_5[[#This Row],[Activity]],Types_of_Activity[Type of Activity],Types_of_Activity[Classification])=1,Term4_Day_5[[#This Row],[Elapsed]],0))</f>
        <v/>
      </c>
      <c r="AI50" s="106" t="str">
        <f>IF(ISBLANK(Term4_Day_5[[#This Row],[Activity]]),"",IF(_xlfn.XLOOKUP(Term4_Day_5[[#This Row],[Activity]],Types_of_Activity[Type of Activity],Types_of_Activity[Classification])=2,Term4_Day_5[[#This Row],[Elapsed]],0))</f>
        <v/>
      </c>
      <c r="AJ50" s="107"/>
      <c r="AK50" s="136"/>
      <c r="AL50" s="136"/>
      <c r="AM50" s="103"/>
      <c r="AN50" s="106" t="str">
        <f>IF(OR(ISBLANK(Term4_Day_6[[#This Row],[Start]]),ISBLANK(Term4_Day_6[[#This Row],[End]])),"",(Term4_Day_6[[#This Row],[End]]-Term4_Day_6[[#This Row],[Start]])*1440)</f>
        <v/>
      </c>
      <c r="AO50" s="106" t="str">
        <f>IF(ISBLANK(Term4_Day_6[[#This Row],[Activity]]),"",IF(_xlfn.XLOOKUP(Term4_Day_6[[#This Row],[Activity]],Types_of_Activity[Type of Activity],Types_of_Activity[Classification])=1,Term4_Day_6[[#This Row],[Elapsed]],0))</f>
        <v/>
      </c>
      <c r="AP50" s="106" t="str">
        <f>IF(ISBLANK(Term4_Day_6[[#This Row],[Activity]]),"",IF(_xlfn.XLOOKUP(Term4_Day_6[[#This Row],[Activity]],Types_of_Activity[Type of Activity],Types_of_Activity[Classification])=2,Term4_Day_6[[#This Row],[Elapsed]],0))</f>
        <v/>
      </c>
      <c r="AQ50" s="107"/>
      <c r="AR50" s="136"/>
      <c r="AS50" s="136"/>
      <c r="AT50" s="103"/>
      <c r="AU50" s="106" t="str">
        <f>IF(OR(ISBLANK(Term4_Day_7[[#This Row],[Start]]),ISBLANK(Term4_Day_7[[#This Row],[End]])),"",(Term4_Day_7[[#This Row],[End]]-Term4_Day_7[[#This Row],[Start]])*1440)</f>
        <v/>
      </c>
      <c r="AV50" s="106" t="str">
        <f>IF(ISBLANK(Term4_Day_7[[#This Row],[Activity]]),"",IF(_xlfn.XLOOKUP(Term4_Day_7[[#This Row],[Activity]],Types_of_Activity[Type of Activity],Types_of_Activity[Classification])=1,Term4_Day_7[[#This Row],[Elapsed]],0))</f>
        <v/>
      </c>
      <c r="AW50" s="106" t="str">
        <f>IF(ISBLANK(Term4_Day_7[[#This Row],[Activity]]),"",IF(_xlfn.XLOOKUP(Term4_Day_7[[#This Row],[Activity]],Types_of_Activity[Type of Activity],Types_of_Activity[Classification])=2,Term4_Day_7[[#This Row],[Elapsed]],0))</f>
        <v/>
      </c>
      <c r="AX50" s="107"/>
      <c r="AY50" s="136"/>
      <c r="AZ50" s="136"/>
      <c r="BA50" s="103"/>
      <c r="BB50" s="106" t="str">
        <f>IF(OR(ISBLANK(Term4_Day_8[[#This Row],[Start]]),ISBLANK(Term4_Day_8[[#This Row],[End]])),"",(Term4_Day_8[[#This Row],[End]]-Term4_Day_8[[#This Row],[Start]])*1440)</f>
        <v/>
      </c>
      <c r="BC50" s="106" t="str">
        <f>IF(ISBLANK(Term4_Day_8[[#This Row],[Activity]]),"",IF(_xlfn.XLOOKUP(Term4_Day_8[[#This Row],[Activity]],Types_of_Activity[Type of Activity],Types_of_Activity[Classification])=1,Term4_Day_8[[#This Row],[Elapsed]],0))</f>
        <v/>
      </c>
      <c r="BD50" s="106" t="str">
        <f>IF(ISBLANK(Term4_Day_8[[#This Row],[Activity]]),"",IF(_xlfn.XLOOKUP(Term4_Day_8[[#This Row],[Activity]],Types_of_Activity[Type of Activity],Types_of_Activity[Classification])=2,Term4_Day_8[[#This Row],[Elapsed]],0))</f>
        <v/>
      </c>
      <c r="BE50" s="107"/>
      <c r="BF50" s="136"/>
      <c r="BG50" s="136"/>
      <c r="BH50" s="103"/>
      <c r="BI50" s="106" t="str">
        <f>IF(OR(ISBLANK(Term4_Day_9[[#This Row],[Start]]),ISBLANK(Term4_Day_9[[#This Row],[End]])),"",(Term4_Day_9[[#This Row],[End]]-Term4_Day_9[[#This Row],[Start]])*1440)</f>
        <v/>
      </c>
      <c r="BJ50" s="106" t="str">
        <f>IF(ISBLANK(Term4_Day_9[[#This Row],[Activity]]),"",IF(_xlfn.XLOOKUP(Term4_Day_9[[#This Row],[Activity]],Types_of_Activity[Type of Activity],Types_of_Activity[Classification])=1,Term4_Day_9[[#This Row],[Elapsed]],0))</f>
        <v/>
      </c>
      <c r="BK50" s="106" t="str">
        <f>IF(ISBLANK(Term4_Day_9[[#This Row],[Activity]]),"",IF(_xlfn.XLOOKUP(Term4_Day_9[[#This Row],[Activity]],Types_of_Activity[Type of Activity],Types_of_Activity[Classification])=2,Term4_Day_9[[#This Row],[Elapsed]],0))</f>
        <v/>
      </c>
      <c r="BL50" s="107"/>
      <c r="BM50" s="136"/>
      <c r="BN50" s="136"/>
      <c r="BO50" s="103"/>
      <c r="BP50" s="106" t="str">
        <f>IF(OR(ISBLANK(Term4_Day_10[[#This Row],[Start]]),ISBLANK(Term4_Day_10[[#This Row],[End]])),"",(Term4_Day_10[[#This Row],[End]]-Term4_Day_10[[#This Row],[Start]])*1440)</f>
        <v/>
      </c>
      <c r="BQ50" s="106" t="str">
        <f>IF(ISBLANK(Term4_Day_10[[#This Row],[Activity]]),"",IF(_xlfn.XLOOKUP(Term4_Day_10[[#This Row],[Activity]],Types_of_Activity[Type of Activity],Types_of_Activity[Classification])=1,Term4_Day_10[[#This Row],[Elapsed]],0))</f>
        <v/>
      </c>
      <c r="BR50" s="106" t="str">
        <f>IF(ISBLANK(Term4_Day_10[[#This Row],[Activity]]),"",IF(_xlfn.XLOOKUP(Term4_Day_10[[#This Row],[Activity]],Types_of_Activity[Type of Activity],Types_of_Activity[Classification])=2,Term4_Day_10[[#This Row],[Elapsed]],0))</f>
        <v/>
      </c>
      <c r="BS50" s="107"/>
    </row>
    <row r="55" spans="2:71" ht="30.75" x14ac:dyDescent="0.45">
      <c r="B55" s="105" t="s">
        <v>22</v>
      </c>
      <c r="F55" s="106"/>
      <c r="G55" s="106"/>
      <c r="H55"/>
      <c r="I55" s="105" t="s">
        <v>23</v>
      </c>
      <c r="M55" s="106"/>
      <c r="N55" s="106"/>
      <c r="P55" s="105" t="s">
        <v>24</v>
      </c>
      <c r="S55" s="106"/>
      <c r="T55" s="106"/>
      <c r="W55" s="105" t="s">
        <v>4133</v>
      </c>
      <c r="AA55" s="106"/>
      <c r="AB55" s="106"/>
      <c r="AD55" s="105" t="s">
        <v>4134</v>
      </c>
      <c r="AH55" s="106"/>
      <c r="AI55" s="106"/>
      <c r="AK55" s="105" t="s">
        <v>4135</v>
      </c>
      <c r="AO55" s="106"/>
      <c r="AP55" s="106"/>
    </row>
    <row r="56" spans="2:71" ht="33" x14ac:dyDescent="0.3">
      <c r="B56" s="120" t="s">
        <v>16</v>
      </c>
      <c r="C56" s="120" t="s">
        <v>17</v>
      </c>
      <c r="D56" s="120" t="s">
        <v>19</v>
      </c>
      <c r="E56" s="120" t="s">
        <v>18</v>
      </c>
      <c r="F56" s="120" t="s">
        <v>20</v>
      </c>
      <c r="G56" s="121" t="s">
        <v>4100</v>
      </c>
      <c r="H56"/>
      <c r="I56" s="120" t="s">
        <v>16</v>
      </c>
      <c r="J56" s="120" t="s">
        <v>17</v>
      </c>
      <c r="K56" s="120" t="s">
        <v>19</v>
      </c>
      <c r="L56" s="120" t="s">
        <v>18</v>
      </c>
      <c r="M56" s="120" t="s">
        <v>20</v>
      </c>
      <c r="N56" s="121" t="s">
        <v>4100</v>
      </c>
      <c r="O56"/>
      <c r="P56" s="120" t="s">
        <v>16</v>
      </c>
      <c r="Q56" s="120" t="s">
        <v>17</v>
      </c>
      <c r="R56" s="120" t="s">
        <v>19</v>
      </c>
      <c r="S56" s="120" t="s">
        <v>18</v>
      </c>
      <c r="T56" s="120" t="s">
        <v>20</v>
      </c>
      <c r="U56" s="121" t="s">
        <v>4100</v>
      </c>
      <c r="W56" s="120" t="s">
        <v>16</v>
      </c>
      <c r="X56" s="120" t="s">
        <v>17</v>
      </c>
      <c r="Y56" s="120" t="s">
        <v>19</v>
      </c>
      <c r="Z56" s="120" t="s">
        <v>18</v>
      </c>
      <c r="AA56" s="120" t="s">
        <v>20</v>
      </c>
      <c r="AB56" s="121" t="s">
        <v>4100</v>
      </c>
      <c r="AD56" s="120" t="s">
        <v>16</v>
      </c>
      <c r="AE56" s="120" t="s">
        <v>17</v>
      </c>
      <c r="AF56" s="120" t="s">
        <v>19</v>
      </c>
      <c r="AG56" s="120" t="s">
        <v>18</v>
      </c>
      <c r="AH56" s="120" t="s">
        <v>20</v>
      </c>
      <c r="AI56" s="121" t="s">
        <v>4100</v>
      </c>
      <c r="AK56" s="120" t="s">
        <v>16</v>
      </c>
      <c r="AL56" s="120" t="s">
        <v>17</v>
      </c>
      <c r="AM56" s="120" t="s">
        <v>19</v>
      </c>
      <c r="AN56" s="120" t="s">
        <v>18</v>
      </c>
      <c r="AO56" s="120" t="s">
        <v>20</v>
      </c>
      <c r="AP56" s="121" t="s">
        <v>4100</v>
      </c>
    </row>
    <row r="57" spans="2:71" x14ac:dyDescent="0.3">
      <c r="B57" s="136"/>
      <c r="C57" s="136"/>
      <c r="D57" s="103"/>
      <c r="E57" s="106" t="str">
        <f>IF(OR(ISBLANK(Term4_Early_Dismissal_1[[#This Row],[Start]]),ISBLANK(Term4_Early_Dismissal_1[[#This Row],[End]])),"",(Term4_Early_Dismissal_1[[#This Row],[End]]-Term4_Early_Dismissal_1[[#This Row],[Start]])*1440)</f>
        <v/>
      </c>
      <c r="F57" s="106" t="str">
        <f>IF(ISBLANK(Term4_Early_Dismissal_1[[#This Row],[Activity]]),"",IF(_xlfn.XLOOKUP(Term4_Early_Dismissal_1[[#This Row],[Activity]],Types_of_Activity[Type of Activity],Types_of_Activity[Classification])=1,Term4_Early_Dismissal_1[[#This Row],[Elapsed]],0))</f>
        <v/>
      </c>
      <c r="G57" s="106" t="str">
        <f>IF(ISBLANK(Term4_Early_Dismissal_1[[#This Row],[Activity]]),"",IF(_xlfn.XLOOKUP(Term4_Early_Dismissal_1[[#This Row],[Activity]],Types_of_Activity[Type of Activity],Types_of_Activity[Classification])=2,Term4_Early_Dismissal_1[[#This Row],[Elapsed]],0))</f>
        <v/>
      </c>
      <c r="H57"/>
      <c r="I57" s="136"/>
      <c r="J57" s="136"/>
      <c r="K57" s="103"/>
      <c r="L57" s="106" t="str">
        <f>IF(OR(ISBLANK(Term4_Early_Dismissal_2[[#This Row],[Start]]),ISBLANK(Term4_Early_Dismissal_2[[#This Row],[End]])),"",(Term4_Early_Dismissal_2[[#This Row],[End]]-Term4_Early_Dismissal_2[[#This Row],[Start]])*1440)</f>
        <v/>
      </c>
      <c r="M57" s="106" t="str">
        <f>IF(ISBLANK(Term4_Early_Dismissal_2[[#This Row],[Activity]]),"",IF(_xlfn.XLOOKUP(Term4_Early_Dismissal_2[[#This Row],[Activity]],Types_of_Activity[Type of Activity],Types_of_Activity[Classification])=1,Term4_Early_Dismissal_2[[#This Row],[Elapsed]],0))</f>
        <v/>
      </c>
      <c r="N57" s="106" t="str">
        <f>IF(ISBLANK(Term4_Early_Dismissal_2[[#This Row],[Activity]]),"",IF(_xlfn.XLOOKUP(Term4_Early_Dismissal_2[[#This Row],[Activity]],Types_of_Activity[Type of Activity],Types_of_Activity[Classification])=2,Term4_Early_Dismissal_2[[#This Row],[Elapsed]],0))</f>
        <v/>
      </c>
      <c r="O57"/>
      <c r="P57" s="136"/>
      <c r="Q57" s="136"/>
      <c r="R57" s="103"/>
      <c r="S57" s="106" t="str">
        <f>IF(OR(ISBLANK(Term4_Early_Dismissal_3[[#This Row],[Start]]),ISBLANK(Term4_Early_Dismissal_3[[#This Row],[End]])),"",(Term4_Early_Dismissal_3[[#This Row],[End]]-Term4_Early_Dismissal_3[[#This Row],[Start]])*1440)</f>
        <v/>
      </c>
      <c r="T57" s="106" t="str">
        <f>IF(ISBLANK(Term4_Early_Dismissal_3[[#This Row],[Activity]]),"",IF(_xlfn.XLOOKUP(Term4_Early_Dismissal_3[[#This Row],[Activity]],Types_of_Activity[Type of Activity],Types_of_Activity[Classification])=1,Term4_Early_Dismissal_3[[#This Row],[Elapsed]],0))</f>
        <v/>
      </c>
      <c r="U57" s="106" t="str">
        <f>IF(ISBLANK(Term4_Early_Dismissal_3[[#This Row],[Activity]]),"",IF(_xlfn.XLOOKUP(Term4_Early_Dismissal_3[[#This Row],[Activity]],Types_of_Activity[Type of Activity],Types_of_Activity[Classification])=2,Term4_Early_Dismissal_3[[#This Row],[Elapsed]],0))</f>
        <v/>
      </c>
      <c r="W57" s="136"/>
      <c r="X57" s="136"/>
      <c r="Y57" s="103"/>
      <c r="Z57" s="106" t="str">
        <f>IF(OR(ISBLANK(Term4_Early_Dismissal_4[[#This Row],[Start]]),ISBLANK(Term4_Early_Dismissal_4[[#This Row],[End]])),"",(Term4_Early_Dismissal_4[[#This Row],[End]]-Term4_Early_Dismissal_4[[#This Row],[Start]])*1440)</f>
        <v/>
      </c>
      <c r="AA57" s="106" t="str">
        <f>IF(ISBLANK(Term4_Early_Dismissal_4[[#This Row],[Activity]]),"",IF(_xlfn.XLOOKUP(Term4_Early_Dismissal_4[[#This Row],[Activity]],Types_of_Activity[Type of Activity],Types_of_Activity[Classification])=1,Term4_Early_Dismissal_4[[#This Row],[Elapsed]],0))</f>
        <v/>
      </c>
      <c r="AB57" s="106" t="str">
        <f>IF(ISBLANK(Term4_Early_Dismissal_4[[#This Row],[Activity]]),"",IF(_xlfn.XLOOKUP(Term4_Early_Dismissal_4[[#This Row],[Activity]],Types_of_Activity[Type of Activity],Types_of_Activity[Classification])=2,Term4_Early_Dismissal_4[[#This Row],[Elapsed]],0))</f>
        <v/>
      </c>
      <c r="AD57" s="136"/>
      <c r="AE57" s="136"/>
      <c r="AF57" s="103"/>
      <c r="AG57" s="106" t="str">
        <f>IF(OR(ISBLANK(Term4_Early_Dismissal_5[[#This Row],[Start]]),ISBLANK(Term4_Early_Dismissal_5[[#This Row],[End]])),"",(Term4_Early_Dismissal_5[[#This Row],[End]]-Term4_Early_Dismissal_5[[#This Row],[Start]])*1440)</f>
        <v/>
      </c>
      <c r="AH57" s="106" t="str">
        <f>IF(ISBLANK(Term4_Early_Dismissal_5[[#This Row],[Activity]]),"",IF(_xlfn.XLOOKUP(Term4_Early_Dismissal_5[[#This Row],[Activity]],Types_of_Activity[Type of Activity],Types_of_Activity[Classification])=1,Term4_Early_Dismissal_5[[#This Row],[Elapsed]],0))</f>
        <v/>
      </c>
      <c r="AI57" s="106" t="str">
        <f>IF(ISBLANK(Term4_Early_Dismissal_5[[#This Row],[Activity]]),"",IF(_xlfn.XLOOKUP(Term4_Early_Dismissal_5[[#This Row],[Activity]],Types_of_Activity[Type of Activity],Types_of_Activity[Classification])=2,Term4_Early_Dismissal_5[[#This Row],[Elapsed]],0))</f>
        <v/>
      </c>
      <c r="AK57" s="136"/>
      <c r="AL57" s="136"/>
      <c r="AM57" s="103"/>
      <c r="AN57" s="106" t="str">
        <f>IF(OR(ISBLANK(Term4_Early_Dismissal_6[[#This Row],[Start]]),ISBLANK(Term4_Early_Dismissal_6[[#This Row],[End]])),"",(Term4_Early_Dismissal_6[[#This Row],[End]]-Term4_Early_Dismissal_6[[#This Row],[Start]])*1440)</f>
        <v/>
      </c>
      <c r="AO57" s="106" t="str">
        <f>IF(ISBLANK(Term4_Early_Dismissal_6[[#This Row],[Activity]]),"",IF(_xlfn.XLOOKUP(Term4_Early_Dismissal_6[[#This Row],[Activity]],Types_of_Activity[Type of Activity],Types_of_Activity[Classification])=1,Term4_Early_Dismissal_6[[#This Row],[Elapsed]],0))</f>
        <v/>
      </c>
      <c r="AP57" s="106" t="str">
        <f>IF(ISBLANK(Term4_Early_Dismissal_6[[#This Row],[Activity]]),"",IF(_xlfn.XLOOKUP(Term4_Early_Dismissal_6[[#This Row],[Activity]],Types_of_Activity[Type of Activity],Types_of_Activity[Classification])=2,Term4_Early_Dismissal_6[[#This Row],[Elapsed]],0))</f>
        <v/>
      </c>
    </row>
    <row r="58" spans="2:71" x14ac:dyDescent="0.3">
      <c r="B58" s="136"/>
      <c r="C58" s="136"/>
      <c r="D58" s="103"/>
      <c r="E58" s="106" t="str">
        <f>IF(OR(ISBLANK(Term4_Early_Dismissal_1[[#This Row],[Start]]),ISBLANK(Term4_Early_Dismissal_1[[#This Row],[End]])),"",(Term4_Early_Dismissal_1[[#This Row],[End]]-Term4_Early_Dismissal_1[[#This Row],[Start]])*1440)</f>
        <v/>
      </c>
      <c r="F58" s="106" t="str">
        <f>IF(ISBLANK(Term4_Early_Dismissal_1[[#This Row],[Activity]]),"",IF(_xlfn.XLOOKUP(Term4_Early_Dismissal_1[[#This Row],[Activity]],Types_of_Activity[Type of Activity],Types_of_Activity[Classification])=1,Term4_Early_Dismissal_1[[#This Row],[Elapsed]],0))</f>
        <v/>
      </c>
      <c r="G58" s="106" t="str">
        <f>IF(ISBLANK(Term4_Early_Dismissal_1[[#This Row],[Activity]]),"",IF(_xlfn.XLOOKUP(Term4_Early_Dismissal_1[[#This Row],[Activity]],Types_of_Activity[Type of Activity],Types_of_Activity[Classification])=2,Term4_Early_Dismissal_1[[#This Row],[Elapsed]],0))</f>
        <v/>
      </c>
      <c r="H58"/>
      <c r="I58" s="136"/>
      <c r="J58" s="136"/>
      <c r="K58" s="103"/>
      <c r="L58" s="106" t="str">
        <f>IF(OR(ISBLANK(Term4_Early_Dismissal_2[[#This Row],[Start]]),ISBLANK(Term4_Early_Dismissal_2[[#This Row],[End]])),"",(Term4_Early_Dismissal_2[[#This Row],[End]]-Term4_Early_Dismissal_2[[#This Row],[Start]])*1440)</f>
        <v/>
      </c>
      <c r="M58" s="106" t="str">
        <f>IF(ISBLANK(Term4_Early_Dismissal_2[[#This Row],[Activity]]),"",IF(_xlfn.XLOOKUP(Term4_Early_Dismissal_2[[#This Row],[Activity]],Types_of_Activity[Type of Activity],Types_of_Activity[Classification])=1,Term4_Early_Dismissal_2[[#This Row],[Elapsed]],0))</f>
        <v/>
      </c>
      <c r="N58" s="106" t="str">
        <f>IF(ISBLANK(Term4_Early_Dismissal_2[[#This Row],[Activity]]),"",IF(_xlfn.XLOOKUP(Term4_Early_Dismissal_2[[#This Row],[Activity]],Types_of_Activity[Type of Activity],Types_of_Activity[Classification])=2,Term4_Early_Dismissal_2[[#This Row],[Elapsed]],0))</f>
        <v/>
      </c>
      <c r="O58"/>
      <c r="P58" s="136"/>
      <c r="Q58" s="136"/>
      <c r="R58" s="103"/>
      <c r="S58" s="106" t="str">
        <f>IF(OR(ISBLANK(Term4_Early_Dismissal_3[[#This Row],[Start]]),ISBLANK(Term4_Early_Dismissal_3[[#This Row],[End]])),"",(Term4_Early_Dismissal_3[[#This Row],[End]]-Term4_Early_Dismissal_3[[#This Row],[Start]])*1440)</f>
        <v/>
      </c>
      <c r="T58" s="106" t="str">
        <f>IF(ISBLANK(Term4_Early_Dismissal_3[[#This Row],[Activity]]),"",IF(_xlfn.XLOOKUP(Term4_Early_Dismissal_3[[#This Row],[Activity]],Types_of_Activity[Type of Activity],Types_of_Activity[Classification])=1,Term4_Early_Dismissal_3[[#This Row],[Elapsed]],0))</f>
        <v/>
      </c>
      <c r="U58" s="106" t="str">
        <f>IF(ISBLANK(Term4_Early_Dismissal_3[[#This Row],[Activity]]),"",IF(_xlfn.XLOOKUP(Term4_Early_Dismissal_3[[#This Row],[Activity]],Types_of_Activity[Type of Activity],Types_of_Activity[Classification])=2,Term4_Early_Dismissal_3[[#This Row],[Elapsed]],0))</f>
        <v/>
      </c>
      <c r="W58" s="136"/>
      <c r="X58" s="136"/>
      <c r="Y58" s="103"/>
      <c r="Z58" s="106" t="str">
        <f>IF(OR(ISBLANK(Term4_Early_Dismissal_4[[#This Row],[Start]]),ISBLANK(Term4_Early_Dismissal_4[[#This Row],[End]])),"",(Term4_Early_Dismissal_4[[#This Row],[End]]-Term4_Early_Dismissal_4[[#This Row],[Start]])*1440)</f>
        <v/>
      </c>
      <c r="AA58" s="106" t="str">
        <f>IF(ISBLANK(Term4_Early_Dismissal_4[[#This Row],[Activity]]),"",IF(_xlfn.XLOOKUP(Term4_Early_Dismissal_4[[#This Row],[Activity]],Types_of_Activity[Type of Activity],Types_of_Activity[Classification])=1,Term4_Early_Dismissal_4[[#This Row],[Elapsed]],0))</f>
        <v/>
      </c>
      <c r="AB58" s="106" t="str">
        <f>IF(ISBLANK(Term4_Early_Dismissal_4[[#This Row],[Activity]]),"",IF(_xlfn.XLOOKUP(Term4_Early_Dismissal_4[[#This Row],[Activity]],Types_of_Activity[Type of Activity],Types_of_Activity[Classification])=2,Term4_Early_Dismissal_4[[#This Row],[Elapsed]],0))</f>
        <v/>
      </c>
      <c r="AD58" s="136"/>
      <c r="AE58" s="136"/>
      <c r="AF58" s="103"/>
      <c r="AG58" s="106" t="str">
        <f>IF(OR(ISBLANK(Term4_Early_Dismissal_5[[#This Row],[Start]]),ISBLANK(Term4_Early_Dismissal_5[[#This Row],[End]])),"",(Term4_Early_Dismissal_5[[#This Row],[End]]-Term4_Early_Dismissal_5[[#This Row],[Start]])*1440)</f>
        <v/>
      </c>
      <c r="AH58" s="106" t="str">
        <f>IF(ISBLANK(Term4_Early_Dismissal_5[[#This Row],[Activity]]),"",IF(_xlfn.XLOOKUP(Term4_Early_Dismissal_5[[#This Row],[Activity]],Types_of_Activity[Type of Activity],Types_of_Activity[Classification])=1,Term4_Early_Dismissal_5[[#This Row],[Elapsed]],0))</f>
        <v/>
      </c>
      <c r="AI58" s="106" t="str">
        <f>IF(ISBLANK(Term4_Early_Dismissal_5[[#This Row],[Activity]]),"",IF(_xlfn.XLOOKUP(Term4_Early_Dismissal_5[[#This Row],[Activity]],Types_of_Activity[Type of Activity],Types_of_Activity[Classification])=2,Term4_Early_Dismissal_5[[#This Row],[Elapsed]],0))</f>
        <v/>
      </c>
      <c r="AK58" s="136"/>
      <c r="AL58" s="136"/>
      <c r="AM58" s="103"/>
      <c r="AN58" s="106" t="str">
        <f>IF(OR(ISBLANK(Term4_Early_Dismissal_6[[#This Row],[Start]]),ISBLANK(Term4_Early_Dismissal_6[[#This Row],[End]])),"",(Term4_Early_Dismissal_6[[#This Row],[End]]-Term4_Early_Dismissal_6[[#This Row],[Start]])*1440)</f>
        <v/>
      </c>
      <c r="AO58" s="106" t="str">
        <f>IF(ISBLANK(Term4_Early_Dismissal_6[[#This Row],[Activity]]),"",IF(_xlfn.XLOOKUP(Term4_Early_Dismissal_6[[#This Row],[Activity]],Types_of_Activity[Type of Activity],Types_of_Activity[Classification])=1,Term4_Early_Dismissal_6[[#This Row],[Elapsed]],0))</f>
        <v/>
      </c>
      <c r="AP58" s="106" t="str">
        <f>IF(ISBLANK(Term4_Early_Dismissal_6[[#This Row],[Activity]]),"",IF(_xlfn.XLOOKUP(Term4_Early_Dismissal_6[[#This Row],[Activity]],Types_of_Activity[Type of Activity],Types_of_Activity[Classification])=2,Term4_Early_Dismissal_6[[#This Row],[Elapsed]],0))</f>
        <v/>
      </c>
    </row>
    <row r="59" spans="2:71" x14ac:dyDescent="0.3">
      <c r="B59" s="136"/>
      <c r="C59" s="136"/>
      <c r="D59" s="103"/>
      <c r="E59" s="106" t="str">
        <f>IF(OR(ISBLANK(Term4_Early_Dismissal_1[[#This Row],[Start]]),ISBLANK(Term4_Early_Dismissal_1[[#This Row],[End]])),"",(Term4_Early_Dismissal_1[[#This Row],[End]]-Term4_Early_Dismissal_1[[#This Row],[Start]])*1440)</f>
        <v/>
      </c>
      <c r="F59" s="106" t="str">
        <f>IF(ISBLANK(Term4_Early_Dismissal_1[[#This Row],[Activity]]),"",IF(_xlfn.XLOOKUP(Term4_Early_Dismissal_1[[#This Row],[Activity]],Types_of_Activity[Type of Activity],Types_of_Activity[Classification])=1,Term4_Early_Dismissal_1[[#This Row],[Elapsed]],0))</f>
        <v/>
      </c>
      <c r="G59" s="106" t="str">
        <f>IF(ISBLANK(Term4_Early_Dismissal_1[[#This Row],[Activity]]),"",IF(_xlfn.XLOOKUP(Term4_Early_Dismissal_1[[#This Row],[Activity]],Types_of_Activity[Type of Activity],Types_of_Activity[Classification])=2,Term4_Early_Dismissal_1[[#This Row],[Elapsed]],0))</f>
        <v/>
      </c>
      <c r="H59"/>
      <c r="I59" s="136"/>
      <c r="J59" s="136"/>
      <c r="K59" s="103"/>
      <c r="L59" s="106" t="str">
        <f>IF(OR(ISBLANK(Term4_Early_Dismissal_2[[#This Row],[Start]]),ISBLANK(Term4_Early_Dismissal_2[[#This Row],[End]])),"",(Term4_Early_Dismissal_2[[#This Row],[End]]-Term4_Early_Dismissal_2[[#This Row],[Start]])*1440)</f>
        <v/>
      </c>
      <c r="M59" s="106" t="str">
        <f>IF(ISBLANK(Term4_Early_Dismissal_2[[#This Row],[Activity]]),"",IF(_xlfn.XLOOKUP(Term4_Early_Dismissal_2[[#This Row],[Activity]],Types_of_Activity[Type of Activity],Types_of_Activity[Classification])=1,Term4_Early_Dismissal_2[[#This Row],[Elapsed]],0))</f>
        <v/>
      </c>
      <c r="N59" s="106" t="str">
        <f>IF(ISBLANK(Term4_Early_Dismissal_2[[#This Row],[Activity]]),"",IF(_xlfn.XLOOKUP(Term4_Early_Dismissal_2[[#This Row],[Activity]],Types_of_Activity[Type of Activity],Types_of_Activity[Classification])=2,Term4_Early_Dismissal_2[[#This Row],[Elapsed]],0))</f>
        <v/>
      </c>
      <c r="O59"/>
      <c r="P59" s="136"/>
      <c r="Q59" s="136"/>
      <c r="R59" s="103"/>
      <c r="S59" s="106" t="str">
        <f>IF(OR(ISBLANK(Term4_Early_Dismissal_3[[#This Row],[Start]]),ISBLANK(Term4_Early_Dismissal_3[[#This Row],[End]])),"",(Term4_Early_Dismissal_3[[#This Row],[End]]-Term4_Early_Dismissal_3[[#This Row],[Start]])*1440)</f>
        <v/>
      </c>
      <c r="T59" s="106" t="str">
        <f>IF(ISBLANK(Term4_Early_Dismissal_3[[#This Row],[Activity]]),"",IF(_xlfn.XLOOKUP(Term4_Early_Dismissal_3[[#This Row],[Activity]],Types_of_Activity[Type of Activity],Types_of_Activity[Classification])=1,Term4_Early_Dismissal_3[[#This Row],[Elapsed]],0))</f>
        <v/>
      </c>
      <c r="U59" s="106" t="str">
        <f>IF(ISBLANK(Term4_Early_Dismissal_3[[#This Row],[Activity]]),"",IF(_xlfn.XLOOKUP(Term4_Early_Dismissal_3[[#This Row],[Activity]],Types_of_Activity[Type of Activity],Types_of_Activity[Classification])=2,Term4_Early_Dismissal_3[[#This Row],[Elapsed]],0))</f>
        <v/>
      </c>
      <c r="W59" s="136"/>
      <c r="X59" s="136"/>
      <c r="Y59" s="103"/>
      <c r="Z59" s="106" t="str">
        <f>IF(OR(ISBLANK(Term4_Early_Dismissal_4[[#This Row],[Start]]),ISBLANK(Term4_Early_Dismissal_4[[#This Row],[End]])),"",(Term4_Early_Dismissal_4[[#This Row],[End]]-Term4_Early_Dismissal_4[[#This Row],[Start]])*1440)</f>
        <v/>
      </c>
      <c r="AA59" s="106" t="str">
        <f>IF(ISBLANK(Term4_Early_Dismissal_4[[#This Row],[Activity]]),"",IF(_xlfn.XLOOKUP(Term4_Early_Dismissal_4[[#This Row],[Activity]],Types_of_Activity[Type of Activity],Types_of_Activity[Classification])=1,Term4_Early_Dismissal_4[[#This Row],[Elapsed]],0))</f>
        <v/>
      </c>
      <c r="AB59" s="106" t="str">
        <f>IF(ISBLANK(Term4_Early_Dismissal_4[[#This Row],[Activity]]),"",IF(_xlfn.XLOOKUP(Term4_Early_Dismissal_4[[#This Row],[Activity]],Types_of_Activity[Type of Activity],Types_of_Activity[Classification])=2,Term4_Early_Dismissal_4[[#This Row],[Elapsed]],0))</f>
        <v/>
      </c>
      <c r="AD59" s="136"/>
      <c r="AE59" s="136"/>
      <c r="AF59" s="103"/>
      <c r="AG59" s="106" t="str">
        <f>IF(OR(ISBLANK(Term4_Early_Dismissal_5[[#This Row],[Start]]),ISBLANK(Term4_Early_Dismissal_5[[#This Row],[End]])),"",(Term4_Early_Dismissal_5[[#This Row],[End]]-Term4_Early_Dismissal_5[[#This Row],[Start]])*1440)</f>
        <v/>
      </c>
      <c r="AH59" s="106" t="str">
        <f>IF(ISBLANK(Term4_Early_Dismissal_5[[#This Row],[Activity]]),"",IF(_xlfn.XLOOKUP(Term4_Early_Dismissal_5[[#This Row],[Activity]],Types_of_Activity[Type of Activity],Types_of_Activity[Classification])=1,Term4_Early_Dismissal_5[[#This Row],[Elapsed]],0))</f>
        <v/>
      </c>
      <c r="AI59" s="106" t="str">
        <f>IF(ISBLANK(Term4_Early_Dismissal_5[[#This Row],[Activity]]),"",IF(_xlfn.XLOOKUP(Term4_Early_Dismissal_5[[#This Row],[Activity]],Types_of_Activity[Type of Activity],Types_of_Activity[Classification])=2,Term4_Early_Dismissal_5[[#This Row],[Elapsed]],0))</f>
        <v/>
      </c>
      <c r="AK59" s="136"/>
      <c r="AL59" s="136"/>
      <c r="AM59" s="103"/>
      <c r="AN59" s="106" t="str">
        <f>IF(OR(ISBLANK(Term4_Early_Dismissal_6[[#This Row],[Start]]),ISBLANK(Term4_Early_Dismissal_6[[#This Row],[End]])),"",(Term4_Early_Dismissal_6[[#This Row],[End]]-Term4_Early_Dismissal_6[[#This Row],[Start]])*1440)</f>
        <v/>
      </c>
      <c r="AO59" s="106" t="str">
        <f>IF(ISBLANK(Term4_Early_Dismissal_6[[#This Row],[Activity]]),"",IF(_xlfn.XLOOKUP(Term4_Early_Dismissal_6[[#This Row],[Activity]],Types_of_Activity[Type of Activity],Types_of_Activity[Classification])=1,Term4_Early_Dismissal_6[[#This Row],[Elapsed]],0))</f>
        <v/>
      </c>
      <c r="AP59" s="106" t="str">
        <f>IF(ISBLANK(Term4_Early_Dismissal_6[[#This Row],[Activity]]),"",IF(_xlfn.XLOOKUP(Term4_Early_Dismissal_6[[#This Row],[Activity]],Types_of_Activity[Type of Activity],Types_of_Activity[Classification])=2,Term4_Early_Dismissal_6[[#This Row],[Elapsed]],0))</f>
        <v/>
      </c>
    </row>
    <row r="60" spans="2:71" x14ac:dyDescent="0.3">
      <c r="B60" s="136"/>
      <c r="C60" s="136"/>
      <c r="D60" s="103"/>
      <c r="E60" s="106" t="str">
        <f>IF(OR(ISBLANK(Term4_Early_Dismissal_1[[#This Row],[Start]]),ISBLANK(Term4_Early_Dismissal_1[[#This Row],[End]])),"",(Term4_Early_Dismissal_1[[#This Row],[End]]-Term4_Early_Dismissal_1[[#This Row],[Start]])*1440)</f>
        <v/>
      </c>
      <c r="F60" s="106" t="str">
        <f>IF(ISBLANK(Term4_Early_Dismissal_1[[#This Row],[Activity]]),"",IF(_xlfn.XLOOKUP(Term4_Early_Dismissal_1[[#This Row],[Activity]],Types_of_Activity[Type of Activity],Types_of_Activity[Classification])=1,Term4_Early_Dismissal_1[[#This Row],[Elapsed]],0))</f>
        <v/>
      </c>
      <c r="G60" s="106" t="str">
        <f>IF(ISBLANK(Term4_Early_Dismissal_1[[#This Row],[Activity]]),"",IF(_xlfn.XLOOKUP(Term4_Early_Dismissal_1[[#This Row],[Activity]],Types_of_Activity[Type of Activity],Types_of_Activity[Classification])=2,Term4_Early_Dismissal_1[[#This Row],[Elapsed]],0))</f>
        <v/>
      </c>
      <c r="H60"/>
      <c r="I60" s="136"/>
      <c r="J60" s="136"/>
      <c r="K60" s="103"/>
      <c r="L60" s="106" t="str">
        <f>IF(OR(ISBLANK(Term4_Early_Dismissal_2[[#This Row],[Start]]),ISBLANK(Term4_Early_Dismissal_2[[#This Row],[End]])),"",(Term4_Early_Dismissal_2[[#This Row],[End]]-Term4_Early_Dismissal_2[[#This Row],[Start]])*1440)</f>
        <v/>
      </c>
      <c r="M60" s="106" t="str">
        <f>IF(ISBLANK(Term4_Early_Dismissal_2[[#This Row],[Activity]]),"",IF(_xlfn.XLOOKUP(Term4_Early_Dismissal_2[[#This Row],[Activity]],Types_of_Activity[Type of Activity],Types_of_Activity[Classification])=1,Term4_Early_Dismissal_2[[#This Row],[Elapsed]],0))</f>
        <v/>
      </c>
      <c r="N60" s="106" t="str">
        <f>IF(ISBLANK(Term4_Early_Dismissal_2[[#This Row],[Activity]]),"",IF(_xlfn.XLOOKUP(Term4_Early_Dismissal_2[[#This Row],[Activity]],Types_of_Activity[Type of Activity],Types_of_Activity[Classification])=2,Term4_Early_Dismissal_2[[#This Row],[Elapsed]],0))</f>
        <v/>
      </c>
      <c r="O60"/>
      <c r="P60" s="136"/>
      <c r="Q60" s="136"/>
      <c r="R60" s="103"/>
      <c r="S60" s="106" t="str">
        <f>IF(OR(ISBLANK(Term4_Early_Dismissal_3[[#This Row],[Start]]),ISBLANK(Term4_Early_Dismissal_3[[#This Row],[End]])),"",(Term4_Early_Dismissal_3[[#This Row],[End]]-Term4_Early_Dismissal_3[[#This Row],[Start]])*1440)</f>
        <v/>
      </c>
      <c r="T60" s="106" t="str">
        <f>IF(ISBLANK(Term4_Early_Dismissal_3[[#This Row],[Activity]]),"",IF(_xlfn.XLOOKUP(Term4_Early_Dismissal_3[[#This Row],[Activity]],Types_of_Activity[Type of Activity],Types_of_Activity[Classification])=1,Term4_Early_Dismissal_3[[#This Row],[Elapsed]],0))</f>
        <v/>
      </c>
      <c r="U60" s="106" t="str">
        <f>IF(ISBLANK(Term4_Early_Dismissal_3[[#This Row],[Activity]]),"",IF(_xlfn.XLOOKUP(Term4_Early_Dismissal_3[[#This Row],[Activity]],Types_of_Activity[Type of Activity],Types_of_Activity[Classification])=2,Term4_Early_Dismissal_3[[#This Row],[Elapsed]],0))</f>
        <v/>
      </c>
      <c r="W60" s="136"/>
      <c r="X60" s="136"/>
      <c r="Y60" s="103"/>
      <c r="Z60" s="106" t="str">
        <f>IF(OR(ISBLANK(Term4_Early_Dismissal_4[[#This Row],[Start]]),ISBLANK(Term4_Early_Dismissal_4[[#This Row],[End]])),"",(Term4_Early_Dismissal_4[[#This Row],[End]]-Term4_Early_Dismissal_4[[#This Row],[Start]])*1440)</f>
        <v/>
      </c>
      <c r="AA60" s="106" t="str">
        <f>IF(ISBLANK(Term4_Early_Dismissal_4[[#This Row],[Activity]]),"",IF(_xlfn.XLOOKUP(Term4_Early_Dismissal_4[[#This Row],[Activity]],Types_of_Activity[Type of Activity],Types_of_Activity[Classification])=1,Term4_Early_Dismissal_4[[#This Row],[Elapsed]],0))</f>
        <v/>
      </c>
      <c r="AB60" s="106" t="str">
        <f>IF(ISBLANK(Term4_Early_Dismissal_4[[#This Row],[Activity]]),"",IF(_xlfn.XLOOKUP(Term4_Early_Dismissal_4[[#This Row],[Activity]],Types_of_Activity[Type of Activity],Types_of_Activity[Classification])=2,Term4_Early_Dismissal_4[[#This Row],[Elapsed]],0))</f>
        <v/>
      </c>
      <c r="AD60" s="136"/>
      <c r="AE60" s="136"/>
      <c r="AF60" s="103"/>
      <c r="AG60" s="106" t="str">
        <f>IF(OR(ISBLANK(Term4_Early_Dismissal_5[[#This Row],[Start]]),ISBLANK(Term4_Early_Dismissal_5[[#This Row],[End]])),"",(Term4_Early_Dismissal_5[[#This Row],[End]]-Term4_Early_Dismissal_5[[#This Row],[Start]])*1440)</f>
        <v/>
      </c>
      <c r="AH60" s="106" t="str">
        <f>IF(ISBLANK(Term4_Early_Dismissal_5[[#This Row],[Activity]]),"",IF(_xlfn.XLOOKUP(Term4_Early_Dismissal_5[[#This Row],[Activity]],Types_of_Activity[Type of Activity],Types_of_Activity[Classification])=1,Term4_Early_Dismissal_5[[#This Row],[Elapsed]],0))</f>
        <v/>
      </c>
      <c r="AI60" s="106" t="str">
        <f>IF(ISBLANK(Term4_Early_Dismissal_5[[#This Row],[Activity]]),"",IF(_xlfn.XLOOKUP(Term4_Early_Dismissal_5[[#This Row],[Activity]],Types_of_Activity[Type of Activity],Types_of_Activity[Classification])=2,Term4_Early_Dismissal_5[[#This Row],[Elapsed]],0))</f>
        <v/>
      </c>
      <c r="AK60" s="136"/>
      <c r="AL60" s="136"/>
      <c r="AM60" s="103"/>
      <c r="AN60" s="106" t="str">
        <f>IF(OR(ISBLANK(Term4_Early_Dismissal_6[[#This Row],[Start]]),ISBLANK(Term4_Early_Dismissal_6[[#This Row],[End]])),"",(Term4_Early_Dismissal_6[[#This Row],[End]]-Term4_Early_Dismissal_6[[#This Row],[Start]])*1440)</f>
        <v/>
      </c>
      <c r="AO60" s="106" t="str">
        <f>IF(ISBLANK(Term4_Early_Dismissal_6[[#This Row],[Activity]]),"",IF(_xlfn.XLOOKUP(Term4_Early_Dismissal_6[[#This Row],[Activity]],Types_of_Activity[Type of Activity],Types_of_Activity[Classification])=1,Term4_Early_Dismissal_6[[#This Row],[Elapsed]],0))</f>
        <v/>
      </c>
      <c r="AP60" s="106" t="str">
        <f>IF(ISBLANK(Term4_Early_Dismissal_6[[#This Row],[Activity]]),"",IF(_xlfn.XLOOKUP(Term4_Early_Dismissal_6[[#This Row],[Activity]],Types_of_Activity[Type of Activity],Types_of_Activity[Classification])=2,Term4_Early_Dismissal_6[[#This Row],[Elapsed]],0))</f>
        <v/>
      </c>
    </row>
    <row r="61" spans="2:71" x14ac:dyDescent="0.3">
      <c r="B61" s="136"/>
      <c r="C61" s="136"/>
      <c r="D61" s="103"/>
      <c r="E61" s="106" t="str">
        <f>IF(OR(ISBLANK(Term4_Early_Dismissal_1[[#This Row],[Start]]),ISBLANK(Term4_Early_Dismissal_1[[#This Row],[End]])),"",(Term4_Early_Dismissal_1[[#This Row],[End]]-Term4_Early_Dismissal_1[[#This Row],[Start]])*1440)</f>
        <v/>
      </c>
      <c r="F61" s="106" t="str">
        <f>IF(ISBLANK(Term4_Early_Dismissal_1[[#This Row],[Activity]]),"",IF(_xlfn.XLOOKUP(Term4_Early_Dismissal_1[[#This Row],[Activity]],Types_of_Activity[Type of Activity],Types_of_Activity[Classification])=1,Term4_Early_Dismissal_1[[#This Row],[Elapsed]],0))</f>
        <v/>
      </c>
      <c r="G61" s="106" t="str">
        <f>IF(ISBLANK(Term4_Early_Dismissal_1[[#This Row],[Activity]]),"",IF(_xlfn.XLOOKUP(Term4_Early_Dismissal_1[[#This Row],[Activity]],Types_of_Activity[Type of Activity],Types_of_Activity[Classification])=2,Term4_Early_Dismissal_1[[#This Row],[Elapsed]],0))</f>
        <v/>
      </c>
      <c r="H61"/>
      <c r="I61" s="136"/>
      <c r="J61" s="136"/>
      <c r="K61" s="103"/>
      <c r="L61" s="106" t="str">
        <f>IF(OR(ISBLANK(Term4_Early_Dismissal_2[[#This Row],[Start]]),ISBLANK(Term4_Early_Dismissal_2[[#This Row],[End]])),"",(Term4_Early_Dismissal_2[[#This Row],[End]]-Term4_Early_Dismissal_2[[#This Row],[Start]])*1440)</f>
        <v/>
      </c>
      <c r="M61" s="106" t="str">
        <f>IF(ISBLANK(Term4_Early_Dismissal_2[[#This Row],[Activity]]),"",IF(_xlfn.XLOOKUP(Term4_Early_Dismissal_2[[#This Row],[Activity]],Types_of_Activity[Type of Activity],Types_of_Activity[Classification])=1,Term4_Early_Dismissal_2[[#This Row],[Elapsed]],0))</f>
        <v/>
      </c>
      <c r="N61" s="106" t="str">
        <f>IF(ISBLANK(Term4_Early_Dismissal_2[[#This Row],[Activity]]),"",IF(_xlfn.XLOOKUP(Term4_Early_Dismissal_2[[#This Row],[Activity]],Types_of_Activity[Type of Activity],Types_of_Activity[Classification])=2,Term4_Early_Dismissal_2[[#This Row],[Elapsed]],0))</f>
        <v/>
      </c>
      <c r="O61"/>
      <c r="P61" s="136"/>
      <c r="Q61" s="136"/>
      <c r="R61" s="103"/>
      <c r="S61" s="106" t="str">
        <f>IF(OR(ISBLANK(Term4_Early_Dismissal_3[[#This Row],[Start]]),ISBLANK(Term4_Early_Dismissal_3[[#This Row],[End]])),"",(Term4_Early_Dismissal_3[[#This Row],[End]]-Term4_Early_Dismissal_3[[#This Row],[Start]])*1440)</f>
        <v/>
      </c>
      <c r="T61" s="106" t="str">
        <f>IF(ISBLANK(Term4_Early_Dismissal_3[[#This Row],[Activity]]),"",IF(_xlfn.XLOOKUP(Term4_Early_Dismissal_3[[#This Row],[Activity]],Types_of_Activity[Type of Activity],Types_of_Activity[Classification])=1,Term4_Early_Dismissal_3[[#This Row],[Elapsed]],0))</f>
        <v/>
      </c>
      <c r="U61" s="106" t="str">
        <f>IF(ISBLANK(Term4_Early_Dismissal_3[[#This Row],[Activity]]),"",IF(_xlfn.XLOOKUP(Term4_Early_Dismissal_3[[#This Row],[Activity]],Types_of_Activity[Type of Activity],Types_of_Activity[Classification])=2,Term4_Early_Dismissal_3[[#This Row],[Elapsed]],0))</f>
        <v/>
      </c>
      <c r="W61" s="136"/>
      <c r="X61" s="136"/>
      <c r="Y61" s="103"/>
      <c r="Z61" s="106" t="str">
        <f>IF(OR(ISBLANK(Term4_Early_Dismissal_4[[#This Row],[Start]]),ISBLANK(Term4_Early_Dismissal_4[[#This Row],[End]])),"",(Term4_Early_Dismissal_4[[#This Row],[End]]-Term4_Early_Dismissal_4[[#This Row],[Start]])*1440)</f>
        <v/>
      </c>
      <c r="AA61" s="106" t="str">
        <f>IF(ISBLANK(Term4_Early_Dismissal_4[[#This Row],[Activity]]),"",IF(_xlfn.XLOOKUP(Term4_Early_Dismissal_4[[#This Row],[Activity]],Types_of_Activity[Type of Activity],Types_of_Activity[Classification])=1,Term4_Early_Dismissal_4[[#This Row],[Elapsed]],0))</f>
        <v/>
      </c>
      <c r="AB61" s="106" t="str">
        <f>IF(ISBLANK(Term4_Early_Dismissal_4[[#This Row],[Activity]]),"",IF(_xlfn.XLOOKUP(Term4_Early_Dismissal_4[[#This Row],[Activity]],Types_of_Activity[Type of Activity],Types_of_Activity[Classification])=2,Term4_Early_Dismissal_4[[#This Row],[Elapsed]],0))</f>
        <v/>
      </c>
      <c r="AD61" s="136"/>
      <c r="AE61" s="136"/>
      <c r="AF61" s="103"/>
      <c r="AG61" s="106" t="str">
        <f>IF(OR(ISBLANK(Term4_Early_Dismissal_5[[#This Row],[Start]]),ISBLANK(Term4_Early_Dismissal_5[[#This Row],[End]])),"",(Term4_Early_Dismissal_5[[#This Row],[End]]-Term4_Early_Dismissal_5[[#This Row],[Start]])*1440)</f>
        <v/>
      </c>
      <c r="AH61" s="106" t="str">
        <f>IF(ISBLANK(Term4_Early_Dismissal_5[[#This Row],[Activity]]),"",IF(_xlfn.XLOOKUP(Term4_Early_Dismissal_5[[#This Row],[Activity]],Types_of_Activity[Type of Activity],Types_of_Activity[Classification])=1,Term4_Early_Dismissal_5[[#This Row],[Elapsed]],0))</f>
        <v/>
      </c>
      <c r="AI61" s="106" t="str">
        <f>IF(ISBLANK(Term4_Early_Dismissal_5[[#This Row],[Activity]]),"",IF(_xlfn.XLOOKUP(Term4_Early_Dismissal_5[[#This Row],[Activity]],Types_of_Activity[Type of Activity],Types_of_Activity[Classification])=2,Term4_Early_Dismissal_5[[#This Row],[Elapsed]],0))</f>
        <v/>
      </c>
      <c r="AK61" s="136"/>
      <c r="AL61" s="136"/>
      <c r="AM61" s="103"/>
      <c r="AN61" s="106" t="str">
        <f>IF(OR(ISBLANK(Term4_Early_Dismissal_6[[#This Row],[Start]]),ISBLANK(Term4_Early_Dismissal_6[[#This Row],[End]])),"",(Term4_Early_Dismissal_6[[#This Row],[End]]-Term4_Early_Dismissal_6[[#This Row],[Start]])*1440)</f>
        <v/>
      </c>
      <c r="AO61" s="106" t="str">
        <f>IF(ISBLANK(Term4_Early_Dismissal_6[[#This Row],[Activity]]),"",IF(_xlfn.XLOOKUP(Term4_Early_Dismissal_6[[#This Row],[Activity]],Types_of_Activity[Type of Activity],Types_of_Activity[Classification])=1,Term4_Early_Dismissal_6[[#This Row],[Elapsed]],0))</f>
        <v/>
      </c>
      <c r="AP61" s="106" t="str">
        <f>IF(ISBLANK(Term4_Early_Dismissal_6[[#This Row],[Activity]]),"",IF(_xlfn.XLOOKUP(Term4_Early_Dismissal_6[[#This Row],[Activity]],Types_of_Activity[Type of Activity],Types_of_Activity[Classification])=2,Term4_Early_Dismissal_6[[#This Row],[Elapsed]],0))</f>
        <v/>
      </c>
    </row>
    <row r="62" spans="2:71" x14ac:dyDescent="0.3">
      <c r="B62" s="136"/>
      <c r="C62" s="136"/>
      <c r="D62" s="103"/>
      <c r="E62" s="106" t="str">
        <f>IF(OR(ISBLANK(Term4_Early_Dismissal_1[[#This Row],[Start]]),ISBLANK(Term4_Early_Dismissal_1[[#This Row],[End]])),"",(Term4_Early_Dismissal_1[[#This Row],[End]]-Term4_Early_Dismissal_1[[#This Row],[Start]])*1440)</f>
        <v/>
      </c>
      <c r="F62" s="106" t="str">
        <f>IF(ISBLANK(Term4_Early_Dismissal_1[[#This Row],[Activity]]),"",IF(_xlfn.XLOOKUP(Term4_Early_Dismissal_1[[#This Row],[Activity]],Types_of_Activity[Type of Activity],Types_of_Activity[Classification])=1,Term4_Early_Dismissal_1[[#This Row],[Elapsed]],0))</f>
        <v/>
      </c>
      <c r="G62" s="106" t="str">
        <f>IF(ISBLANK(Term4_Early_Dismissal_1[[#This Row],[Activity]]),"",IF(_xlfn.XLOOKUP(Term4_Early_Dismissal_1[[#This Row],[Activity]],Types_of_Activity[Type of Activity],Types_of_Activity[Classification])=2,Term4_Early_Dismissal_1[[#This Row],[Elapsed]],0))</f>
        <v/>
      </c>
      <c r="H62"/>
      <c r="I62" s="136"/>
      <c r="J62" s="136"/>
      <c r="K62" s="103"/>
      <c r="L62" s="106" t="str">
        <f>IF(OR(ISBLANK(Term4_Early_Dismissal_2[[#This Row],[Start]]),ISBLANK(Term4_Early_Dismissal_2[[#This Row],[End]])),"",(Term4_Early_Dismissal_2[[#This Row],[End]]-Term4_Early_Dismissal_2[[#This Row],[Start]])*1440)</f>
        <v/>
      </c>
      <c r="M62" s="106" t="str">
        <f>IF(ISBLANK(Term4_Early_Dismissal_2[[#This Row],[Activity]]),"",IF(_xlfn.XLOOKUP(Term4_Early_Dismissal_2[[#This Row],[Activity]],Types_of_Activity[Type of Activity],Types_of_Activity[Classification])=1,Term4_Early_Dismissal_2[[#This Row],[Elapsed]],0))</f>
        <v/>
      </c>
      <c r="N62" s="106" t="str">
        <f>IF(ISBLANK(Term4_Early_Dismissal_2[[#This Row],[Activity]]),"",IF(_xlfn.XLOOKUP(Term4_Early_Dismissal_2[[#This Row],[Activity]],Types_of_Activity[Type of Activity],Types_of_Activity[Classification])=2,Term4_Early_Dismissal_2[[#This Row],[Elapsed]],0))</f>
        <v/>
      </c>
      <c r="O62"/>
      <c r="P62" s="136"/>
      <c r="Q62" s="136"/>
      <c r="R62" s="103"/>
      <c r="S62" s="106" t="str">
        <f>IF(OR(ISBLANK(Term4_Early_Dismissal_3[[#This Row],[Start]]),ISBLANK(Term4_Early_Dismissal_3[[#This Row],[End]])),"",(Term4_Early_Dismissal_3[[#This Row],[End]]-Term4_Early_Dismissal_3[[#This Row],[Start]])*1440)</f>
        <v/>
      </c>
      <c r="T62" s="106" t="str">
        <f>IF(ISBLANK(Term4_Early_Dismissal_3[[#This Row],[Activity]]),"",IF(_xlfn.XLOOKUP(Term4_Early_Dismissal_3[[#This Row],[Activity]],Types_of_Activity[Type of Activity],Types_of_Activity[Classification])=1,Term4_Early_Dismissal_3[[#This Row],[Elapsed]],0))</f>
        <v/>
      </c>
      <c r="U62" s="106" t="str">
        <f>IF(ISBLANK(Term4_Early_Dismissal_3[[#This Row],[Activity]]),"",IF(_xlfn.XLOOKUP(Term4_Early_Dismissal_3[[#This Row],[Activity]],Types_of_Activity[Type of Activity],Types_of_Activity[Classification])=2,Term4_Early_Dismissal_3[[#This Row],[Elapsed]],0))</f>
        <v/>
      </c>
      <c r="W62" s="136"/>
      <c r="X62" s="136"/>
      <c r="Y62" s="103"/>
      <c r="Z62" s="106" t="str">
        <f>IF(OR(ISBLANK(Term4_Early_Dismissal_4[[#This Row],[Start]]),ISBLANK(Term4_Early_Dismissal_4[[#This Row],[End]])),"",(Term4_Early_Dismissal_4[[#This Row],[End]]-Term4_Early_Dismissal_4[[#This Row],[Start]])*1440)</f>
        <v/>
      </c>
      <c r="AA62" s="106" t="str">
        <f>IF(ISBLANK(Term4_Early_Dismissal_4[[#This Row],[Activity]]),"",IF(_xlfn.XLOOKUP(Term4_Early_Dismissal_4[[#This Row],[Activity]],Types_of_Activity[Type of Activity],Types_of_Activity[Classification])=1,Term4_Early_Dismissal_4[[#This Row],[Elapsed]],0))</f>
        <v/>
      </c>
      <c r="AB62" s="106" t="str">
        <f>IF(ISBLANK(Term4_Early_Dismissal_4[[#This Row],[Activity]]),"",IF(_xlfn.XLOOKUP(Term4_Early_Dismissal_4[[#This Row],[Activity]],Types_of_Activity[Type of Activity],Types_of_Activity[Classification])=2,Term4_Early_Dismissal_4[[#This Row],[Elapsed]],0))</f>
        <v/>
      </c>
      <c r="AD62" s="136"/>
      <c r="AE62" s="136"/>
      <c r="AF62" s="103"/>
      <c r="AG62" s="106" t="str">
        <f>IF(OR(ISBLANK(Term4_Early_Dismissal_5[[#This Row],[Start]]),ISBLANK(Term4_Early_Dismissal_5[[#This Row],[End]])),"",(Term4_Early_Dismissal_5[[#This Row],[End]]-Term4_Early_Dismissal_5[[#This Row],[Start]])*1440)</f>
        <v/>
      </c>
      <c r="AH62" s="106" t="str">
        <f>IF(ISBLANK(Term4_Early_Dismissal_5[[#This Row],[Activity]]),"",IF(_xlfn.XLOOKUP(Term4_Early_Dismissal_5[[#This Row],[Activity]],Types_of_Activity[Type of Activity],Types_of_Activity[Classification])=1,Term4_Early_Dismissal_5[[#This Row],[Elapsed]],0))</f>
        <v/>
      </c>
      <c r="AI62" s="106" t="str">
        <f>IF(ISBLANK(Term4_Early_Dismissal_5[[#This Row],[Activity]]),"",IF(_xlfn.XLOOKUP(Term4_Early_Dismissal_5[[#This Row],[Activity]],Types_of_Activity[Type of Activity],Types_of_Activity[Classification])=2,Term4_Early_Dismissal_5[[#This Row],[Elapsed]],0))</f>
        <v/>
      </c>
      <c r="AK62" s="136"/>
      <c r="AL62" s="136"/>
      <c r="AM62" s="103"/>
      <c r="AN62" s="106" t="str">
        <f>IF(OR(ISBLANK(Term4_Early_Dismissal_6[[#This Row],[Start]]),ISBLANK(Term4_Early_Dismissal_6[[#This Row],[End]])),"",(Term4_Early_Dismissal_6[[#This Row],[End]]-Term4_Early_Dismissal_6[[#This Row],[Start]])*1440)</f>
        <v/>
      </c>
      <c r="AO62" s="106" t="str">
        <f>IF(ISBLANK(Term4_Early_Dismissal_6[[#This Row],[Activity]]),"",IF(_xlfn.XLOOKUP(Term4_Early_Dismissal_6[[#This Row],[Activity]],Types_of_Activity[Type of Activity],Types_of_Activity[Classification])=1,Term4_Early_Dismissal_6[[#This Row],[Elapsed]],0))</f>
        <v/>
      </c>
      <c r="AP62" s="106" t="str">
        <f>IF(ISBLANK(Term4_Early_Dismissal_6[[#This Row],[Activity]]),"",IF(_xlfn.XLOOKUP(Term4_Early_Dismissal_6[[#This Row],[Activity]],Types_of_Activity[Type of Activity],Types_of_Activity[Classification])=2,Term4_Early_Dismissal_6[[#This Row],[Elapsed]],0))</f>
        <v/>
      </c>
    </row>
    <row r="63" spans="2:71" x14ac:dyDescent="0.3">
      <c r="B63" s="136"/>
      <c r="C63" s="136"/>
      <c r="D63" s="103"/>
      <c r="E63" s="106" t="str">
        <f>IF(OR(ISBLANK(Term4_Early_Dismissal_1[[#This Row],[Start]]),ISBLANK(Term4_Early_Dismissal_1[[#This Row],[End]])),"",(Term4_Early_Dismissal_1[[#This Row],[End]]-Term4_Early_Dismissal_1[[#This Row],[Start]])*1440)</f>
        <v/>
      </c>
      <c r="F63" s="106" t="str">
        <f>IF(ISBLANK(Term4_Early_Dismissal_1[[#This Row],[Activity]]),"",IF(_xlfn.XLOOKUP(Term4_Early_Dismissal_1[[#This Row],[Activity]],Types_of_Activity[Type of Activity],Types_of_Activity[Classification])=1,Term4_Early_Dismissal_1[[#This Row],[Elapsed]],0))</f>
        <v/>
      </c>
      <c r="G63" s="106" t="str">
        <f>IF(ISBLANK(Term4_Early_Dismissal_1[[#This Row],[Activity]]),"",IF(_xlfn.XLOOKUP(Term4_Early_Dismissal_1[[#This Row],[Activity]],Types_of_Activity[Type of Activity],Types_of_Activity[Classification])=2,Term4_Early_Dismissal_1[[#This Row],[Elapsed]],0))</f>
        <v/>
      </c>
      <c r="H63"/>
      <c r="I63" s="136"/>
      <c r="J63" s="136"/>
      <c r="K63" s="103"/>
      <c r="L63" s="106" t="str">
        <f>IF(OR(ISBLANK(Term4_Early_Dismissal_2[[#This Row],[Start]]),ISBLANK(Term4_Early_Dismissal_2[[#This Row],[End]])),"",(Term4_Early_Dismissal_2[[#This Row],[End]]-Term4_Early_Dismissal_2[[#This Row],[Start]])*1440)</f>
        <v/>
      </c>
      <c r="M63" s="106" t="str">
        <f>IF(ISBLANK(Term4_Early_Dismissal_2[[#This Row],[Activity]]),"",IF(_xlfn.XLOOKUP(Term4_Early_Dismissal_2[[#This Row],[Activity]],Types_of_Activity[Type of Activity],Types_of_Activity[Classification])=1,Term4_Early_Dismissal_2[[#This Row],[Elapsed]],0))</f>
        <v/>
      </c>
      <c r="N63" s="106" t="str">
        <f>IF(ISBLANK(Term4_Early_Dismissal_2[[#This Row],[Activity]]),"",IF(_xlfn.XLOOKUP(Term4_Early_Dismissal_2[[#This Row],[Activity]],Types_of_Activity[Type of Activity],Types_of_Activity[Classification])=2,Term4_Early_Dismissal_2[[#This Row],[Elapsed]],0))</f>
        <v/>
      </c>
      <c r="O63"/>
      <c r="P63" s="136"/>
      <c r="Q63" s="136"/>
      <c r="R63" s="103"/>
      <c r="S63" s="106" t="str">
        <f>IF(OR(ISBLANK(Term4_Early_Dismissal_3[[#This Row],[Start]]),ISBLANK(Term4_Early_Dismissal_3[[#This Row],[End]])),"",(Term4_Early_Dismissal_3[[#This Row],[End]]-Term4_Early_Dismissal_3[[#This Row],[Start]])*1440)</f>
        <v/>
      </c>
      <c r="T63" s="106" t="str">
        <f>IF(ISBLANK(Term4_Early_Dismissal_3[[#This Row],[Activity]]),"",IF(_xlfn.XLOOKUP(Term4_Early_Dismissal_3[[#This Row],[Activity]],Types_of_Activity[Type of Activity],Types_of_Activity[Classification])=1,Term4_Early_Dismissal_3[[#This Row],[Elapsed]],0))</f>
        <v/>
      </c>
      <c r="U63" s="106" t="str">
        <f>IF(ISBLANK(Term4_Early_Dismissal_3[[#This Row],[Activity]]),"",IF(_xlfn.XLOOKUP(Term4_Early_Dismissal_3[[#This Row],[Activity]],Types_of_Activity[Type of Activity],Types_of_Activity[Classification])=2,Term4_Early_Dismissal_3[[#This Row],[Elapsed]],0))</f>
        <v/>
      </c>
      <c r="W63" s="136"/>
      <c r="X63" s="136"/>
      <c r="Y63" s="103"/>
      <c r="Z63" s="106" t="str">
        <f>IF(OR(ISBLANK(Term4_Early_Dismissal_4[[#This Row],[Start]]),ISBLANK(Term4_Early_Dismissal_4[[#This Row],[End]])),"",(Term4_Early_Dismissal_4[[#This Row],[End]]-Term4_Early_Dismissal_4[[#This Row],[Start]])*1440)</f>
        <v/>
      </c>
      <c r="AA63" s="106" t="str">
        <f>IF(ISBLANK(Term4_Early_Dismissal_4[[#This Row],[Activity]]),"",IF(_xlfn.XLOOKUP(Term4_Early_Dismissal_4[[#This Row],[Activity]],Types_of_Activity[Type of Activity],Types_of_Activity[Classification])=1,Term4_Early_Dismissal_4[[#This Row],[Elapsed]],0))</f>
        <v/>
      </c>
      <c r="AB63" s="106" t="str">
        <f>IF(ISBLANK(Term4_Early_Dismissal_4[[#This Row],[Activity]]),"",IF(_xlfn.XLOOKUP(Term4_Early_Dismissal_4[[#This Row],[Activity]],Types_of_Activity[Type of Activity],Types_of_Activity[Classification])=2,Term4_Early_Dismissal_4[[#This Row],[Elapsed]],0))</f>
        <v/>
      </c>
      <c r="AD63" s="136"/>
      <c r="AE63" s="136"/>
      <c r="AF63" s="103"/>
      <c r="AG63" s="106" t="str">
        <f>IF(OR(ISBLANK(Term4_Early_Dismissal_5[[#This Row],[Start]]),ISBLANK(Term4_Early_Dismissal_5[[#This Row],[End]])),"",(Term4_Early_Dismissal_5[[#This Row],[End]]-Term4_Early_Dismissal_5[[#This Row],[Start]])*1440)</f>
        <v/>
      </c>
      <c r="AH63" s="106" t="str">
        <f>IF(ISBLANK(Term4_Early_Dismissal_5[[#This Row],[Activity]]),"",IF(_xlfn.XLOOKUP(Term4_Early_Dismissal_5[[#This Row],[Activity]],Types_of_Activity[Type of Activity],Types_of_Activity[Classification])=1,Term4_Early_Dismissal_5[[#This Row],[Elapsed]],0))</f>
        <v/>
      </c>
      <c r="AI63" s="106" t="str">
        <f>IF(ISBLANK(Term4_Early_Dismissal_5[[#This Row],[Activity]]),"",IF(_xlfn.XLOOKUP(Term4_Early_Dismissal_5[[#This Row],[Activity]],Types_of_Activity[Type of Activity],Types_of_Activity[Classification])=2,Term4_Early_Dismissal_5[[#This Row],[Elapsed]],0))</f>
        <v/>
      </c>
      <c r="AK63" s="136"/>
      <c r="AL63" s="136"/>
      <c r="AM63" s="103"/>
      <c r="AN63" s="106" t="str">
        <f>IF(OR(ISBLANK(Term4_Early_Dismissal_6[[#This Row],[Start]]),ISBLANK(Term4_Early_Dismissal_6[[#This Row],[End]])),"",(Term4_Early_Dismissal_6[[#This Row],[End]]-Term4_Early_Dismissal_6[[#This Row],[Start]])*1440)</f>
        <v/>
      </c>
      <c r="AO63" s="106" t="str">
        <f>IF(ISBLANK(Term4_Early_Dismissal_6[[#This Row],[Activity]]),"",IF(_xlfn.XLOOKUP(Term4_Early_Dismissal_6[[#This Row],[Activity]],Types_of_Activity[Type of Activity],Types_of_Activity[Classification])=1,Term4_Early_Dismissal_6[[#This Row],[Elapsed]],0))</f>
        <v/>
      </c>
      <c r="AP63" s="106" t="str">
        <f>IF(ISBLANK(Term4_Early_Dismissal_6[[#This Row],[Activity]]),"",IF(_xlfn.XLOOKUP(Term4_Early_Dismissal_6[[#This Row],[Activity]],Types_of_Activity[Type of Activity],Types_of_Activity[Classification])=2,Term4_Early_Dismissal_6[[#This Row],[Elapsed]],0))</f>
        <v/>
      </c>
    </row>
    <row r="64" spans="2:71" x14ac:dyDescent="0.3">
      <c r="B64" s="136"/>
      <c r="C64" s="136"/>
      <c r="D64" s="103"/>
      <c r="E64" s="106" t="str">
        <f>IF(OR(ISBLANK(Term4_Early_Dismissal_1[[#This Row],[Start]]),ISBLANK(Term4_Early_Dismissal_1[[#This Row],[End]])),"",(Term4_Early_Dismissal_1[[#This Row],[End]]-Term4_Early_Dismissal_1[[#This Row],[Start]])*1440)</f>
        <v/>
      </c>
      <c r="F64" s="106" t="str">
        <f>IF(ISBLANK(Term4_Early_Dismissal_1[[#This Row],[Activity]]),"",IF(_xlfn.XLOOKUP(Term4_Early_Dismissal_1[[#This Row],[Activity]],Types_of_Activity[Type of Activity],Types_of_Activity[Classification])=1,Term4_Early_Dismissal_1[[#This Row],[Elapsed]],0))</f>
        <v/>
      </c>
      <c r="G64" s="106" t="str">
        <f>IF(ISBLANK(Term4_Early_Dismissal_1[[#This Row],[Activity]]),"",IF(_xlfn.XLOOKUP(Term4_Early_Dismissal_1[[#This Row],[Activity]],Types_of_Activity[Type of Activity],Types_of_Activity[Classification])=2,Term4_Early_Dismissal_1[[#This Row],[Elapsed]],0))</f>
        <v/>
      </c>
      <c r="H64"/>
      <c r="I64" s="136"/>
      <c r="J64" s="136"/>
      <c r="K64" s="103"/>
      <c r="L64" s="106" t="str">
        <f>IF(OR(ISBLANK(Term4_Early_Dismissal_2[[#This Row],[Start]]),ISBLANK(Term4_Early_Dismissal_2[[#This Row],[End]])),"",(Term4_Early_Dismissal_2[[#This Row],[End]]-Term4_Early_Dismissal_2[[#This Row],[Start]])*1440)</f>
        <v/>
      </c>
      <c r="M64" s="106" t="str">
        <f>IF(ISBLANK(Term4_Early_Dismissal_2[[#This Row],[Activity]]),"",IF(_xlfn.XLOOKUP(Term4_Early_Dismissal_2[[#This Row],[Activity]],Types_of_Activity[Type of Activity],Types_of_Activity[Classification])=1,Term4_Early_Dismissal_2[[#This Row],[Elapsed]],0))</f>
        <v/>
      </c>
      <c r="N64" s="106" t="str">
        <f>IF(ISBLANK(Term4_Early_Dismissal_2[[#This Row],[Activity]]),"",IF(_xlfn.XLOOKUP(Term4_Early_Dismissal_2[[#This Row],[Activity]],Types_of_Activity[Type of Activity],Types_of_Activity[Classification])=2,Term4_Early_Dismissal_2[[#This Row],[Elapsed]],0))</f>
        <v/>
      </c>
      <c r="O64"/>
      <c r="P64" s="136"/>
      <c r="Q64" s="136"/>
      <c r="R64" s="103"/>
      <c r="S64" s="106" t="str">
        <f>IF(OR(ISBLANK(Term4_Early_Dismissal_3[[#This Row],[Start]]),ISBLANK(Term4_Early_Dismissal_3[[#This Row],[End]])),"",(Term4_Early_Dismissal_3[[#This Row],[End]]-Term4_Early_Dismissal_3[[#This Row],[Start]])*1440)</f>
        <v/>
      </c>
      <c r="T64" s="106" t="str">
        <f>IF(ISBLANK(Term4_Early_Dismissal_3[[#This Row],[Activity]]),"",IF(_xlfn.XLOOKUP(Term4_Early_Dismissal_3[[#This Row],[Activity]],Types_of_Activity[Type of Activity],Types_of_Activity[Classification])=1,Term4_Early_Dismissal_3[[#This Row],[Elapsed]],0))</f>
        <v/>
      </c>
      <c r="U64" s="106" t="str">
        <f>IF(ISBLANK(Term4_Early_Dismissal_3[[#This Row],[Activity]]),"",IF(_xlfn.XLOOKUP(Term4_Early_Dismissal_3[[#This Row],[Activity]],Types_of_Activity[Type of Activity],Types_of_Activity[Classification])=2,Term4_Early_Dismissal_3[[#This Row],[Elapsed]],0))</f>
        <v/>
      </c>
      <c r="W64" s="136"/>
      <c r="X64" s="136"/>
      <c r="Y64" s="103"/>
      <c r="Z64" s="106" t="str">
        <f>IF(OR(ISBLANK(Term4_Early_Dismissal_4[[#This Row],[Start]]),ISBLANK(Term4_Early_Dismissal_4[[#This Row],[End]])),"",(Term4_Early_Dismissal_4[[#This Row],[End]]-Term4_Early_Dismissal_4[[#This Row],[Start]])*1440)</f>
        <v/>
      </c>
      <c r="AA64" s="106" t="str">
        <f>IF(ISBLANK(Term4_Early_Dismissal_4[[#This Row],[Activity]]),"",IF(_xlfn.XLOOKUP(Term4_Early_Dismissal_4[[#This Row],[Activity]],Types_of_Activity[Type of Activity],Types_of_Activity[Classification])=1,Term4_Early_Dismissal_4[[#This Row],[Elapsed]],0))</f>
        <v/>
      </c>
      <c r="AB64" s="106" t="str">
        <f>IF(ISBLANK(Term4_Early_Dismissal_4[[#This Row],[Activity]]),"",IF(_xlfn.XLOOKUP(Term4_Early_Dismissal_4[[#This Row],[Activity]],Types_of_Activity[Type of Activity],Types_of_Activity[Classification])=2,Term4_Early_Dismissal_4[[#This Row],[Elapsed]],0))</f>
        <v/>
      </c>
      <c r="AD64" s="136"/>
      <c r="AE64" s="136"/>
      <c r="AF64" s="103"/>
      <c r="AG64" s="106" t="str">
        <f>IF(OR(ISBLANK(Term4_Early_Dismissal_5[[#This Row],[Start]]),ISBLANK(Term4_Early_Dismissal_5[[#This Row],[End]])),"",(Term4_Early_Dismissal_5[[#This Row],[End]]-Term4_Early_Dismissal_5[[#This Row],[Start]])*1440)</f>
        <v/>
      </c>
      <c r="AH64" s="106" t="str">
        <f>IF(ISBLANK(Term4_Early_Dismissal_5[[#This Row],[Activity]]),"",IF(_xlfn.XLOOKUP(Term4_Early_Dismissal_5[[#This Row],[Activity]],Types_of_Activity[Type of Activity],Types_of_Activity[Classification])=1,Term4_Early_Dismissal_5[[#This Row],[Elapsed]],0))</f>
        <v/>
      </c>
      <c r="AI64" s="106" t="str">
        <f>IF(ISBLANK(Term4_Early_Dismissal_5[[#This Row],[Activity]]),"",IF(_xlfn.XLOOKUP(Term4_Early_Dismissal_5[[#This Row],[Activity]],Types_of_Activity[Type of Activity],Types_of_Activity[Classification])=2,Term4_Early_Dismissal_5[[#This Row],[Elapsed]],0))</f>
        <v/>
      </c>
      <c r="AK64" s="136"/>
      <c r="AL64" s="136"/>
      <c r="AM64" s="103"/>
      <c r="AN64" s="106" t="str">
        <f>IF(OR(ISBLANK(Term4_Early_Dismissal_6[[#This Row],[Start]]),ISBLANK(Term4_Early_Dismissal_6[[#This Row],[End]])),"",(Term4_Early_Dismissal_6[[#This Row],[End]]-Term4_Early_Dismissal_6[[#This Row],[Start]])*1440)</f>
        <v/>
      </c>
      <c r="AO64" s="106" t="str">
        <f>IF(ISBLANK(Term4_Early_Dismissal_6[[#This Row],[Activity]]),"",IF(_xlfn.XLOOKUP(Term4_Early_Dismissal_6[[#This Row],[Activity]],Types_of_Activity[Type of Activity],Types_of_Activity[Classification])=1,Term4_Early_Dismissal_6[[#This Row],[Elapsed]],0))</f>
        <v/>
      </c>
      <c r="AP64" s="106" t="str">
        <f>IF(ISBLANK(Term4_Early_Dismissal_6[[#This Row],[Activity]]),"",IF(_xlfn.XLOOKUP(Term4_Early_Dismissal_6[[#This Row],[Activity]],Types_of_Activity[Type of Activity],Types_of_Activity[Classification])=2,Term4_Early_Dismissal_6[[#This Row],[Elapsed]],0))</f>
        <v/>
      </c>
    </row>
    <row r="65" spans="2:42" x14ac:dyDescent="0.3">
      <c r="B65" s="136"/>
      <c r="C65" s="136"/>
      <c r="D65" s="103"/>
      <c r="E65" s="106" t="str">
        <f>IF(OR(ISBLANK(Term4_Early_Dismissal_1[[#This Row],[Start]]),ISBLANK(Term4_Early_Dismissal_1[[#This Row],[End]])),"",(Term4_Early_Dismissal_1[[#This Row],[End]]-Term4_Early_Dismissal_1[[#This Row],[Start]])*1440)</f>
        <v/>
      </c>
      <c r="F65" s="106" t="str">
        <f>IF(ISBLANK(Term4_Early_Dismissal_1[[#This Row],[Activity]]),"",IF(_xlfn.XLOOKUP(Term4_Early_Dismissal_1[[#This Row],[Activity]],Types_of_Activity[Type of Activity],Types_of_Activity[Classification])=1,Term4_Early_Dismissal_1[[#This Row],[Elapsed]],0))</f>
        <v/>
      </c>
      <c r="G65" s="106" t="str">
        <f>IF(ISBLANK(Term4_Early_Dismissal_1[[#This Row],[Activity]]),"",IF(_xlfn.XLOOKUP(Term4_Early_Dismissal_1[[#This Row],[Activity]],Types_of_Activity[Type of Activity],Types_of_Activity[Classification])=2,Term4_Early_Dismissal_1[[#This Row],[Elapsed]],0))</f>
        <v/>
      </c>
      <c r="H65"/>
      <c r="I65" s="136"/>
      <c r="J65" s="136"/>
      <c r="K65" s="103"/>
      <c r="L65" s="106" t="str">
        <f>IF(OR(ISBLANK(Term4_Early_Dismissal_2[[#This Row],[Start]]),ISBLANK(Term4_Early_Dismissal_2[[#This Row],[End]])),"",(Term4_Early_Dismissal_2[[#This Row],[End]]-Term4_Early_Dismissal_2[[#This Row],[Start]])*1440)</f>
        <v/>
      </c>
      <c r="M65" s="106" t="str">
        <f>IF(ISBLANK(Term4_Early_Dismissal_2[[#This Row],[Activity]]),"",IF(_xlfn.XLOOKUP(Term4_Early_Dismissal_2[[#This Row],[Activity]],Types_of_Activity[Type of Activity],Types_of_Activity[Classification])=1,Term4_Early_Dismissal_2[[#This Row],[Elapsed]],0))</f>
        <v/>
      </c>
      <c r="N65" s="106" t="str">
        <f>IF(ISBLANK(Term4_Early_Dismissal_2[[#This Row],[Activity]]),"",IF(_xlfn.XLOOKUP(Term4_Early_Dismissal_2[[#This Row],[Activity]],Types_of_Activity[Type of Activity],Types_of_Activity[Classification])=2,Term4_Early_Dismissal_2[[#This Row],[Elapsed]],0))</f>
        <v/>
      </c>
      <c r="O65"/>
      <c r="P65" s="136"/>
      <c r="Q65" s="136"/>
      <c r="R65" s="103"/>
      <c r="S65" s="106" t="str">
        <f>IF(OR(ISBLANK(Term4_Early_Dismissal_3[[#This Row],[Start]]),ISBLANK(Term4_Early_Dismissal_3[[#This Row],[End]])),"",(Term4_Early_Dismissal_3[[#This Row],[End]]-Term4_Early_Dismissal_3[[#This Row],[Start]])*1440)</f>
        <v/>
      </c>
      <c r="T65" s="106" t="str">
        <f>IF(ISBLANK(Term4_Early_Dismissal_3[[#This Row],[Activity]]),"",IF(_xlfn.XLOOKUP(Term4_Early_Dismissal_3[[#This Row],[Activity]],Types_of_Activity[Type of Activity],Types_of_Activity[Classification])=1,Term4_Early_Dismissal_3[[#This Row],[Elapsed]],0))</f>
        <v/>
      </c>
      <c r="U65" s="106" t="str">
        <f>IF(ISBLANK(Term4_Early_Dismissal_3[[#This Row],[Activity]]),"",IF(_xlfn.XLOOKUP(Term4_Early_Dismissal_3[[#This Row],[Activity]],Types_of_Activity[Type of Activity],Types_of_Activity[Classification])=2,Term4_Early_Dismissal_3[[#This Row],[Elapsed]],0))</f>
        <v/>
      </c>
      <c r="W65" s="136"/>
      <c r="X65" s="136"/>
      <c r="Y65" s="103"/>
      <c r="Z65" s="106" t="str">
        <f>IF(OR(ISBLANK(Term4_Early_Dismissal_4[[#This Row],[Start]]),ISBLANK(Term4_Early_Dismissal_4[[#This Row],[End]])),"",(Term4_Early_Dismissal_4[[#This Row],[End]]-Term4_Early_Dismissal_4[[#This Row],[Start]])*1440)</f>
        <v/>
      </c>
      <c r="AA65" s="106" t="str">
        <f>IF(ISBLANK(Term4_Early_Dismissal_4[[#This Row],[Activity]]),"",IF(_xlfn.XLOOKUP(Term4_Early_Dismissal_4[[#This Row],[Activity]],Types_of_Activity[Type of Activity],Types_of_Activity[Classification])=1,Term4_Early_Dismissal_4[[#This Row],[Elapsed]],0))</f>
        <v/>
      </c>
      <c r="AB65" s="106" t="str">
        <f>IF(ISBLANK(Term4_Early_Dismissal_4[[#This Row],[Activity]]),"",IF(_xlfn.XLOOKUP(Term4_Early_Dismissal_4[[#This Row],[Activity]],Types_of_Activity[Type of Activity],Types_of_Activity[Classification])=2,Term4_Early_Dismissal_4[[#This Row],[Elapsed]],0))</f>
        <v/>
      </c>
      <c r="AD65" s="136"/>
      <c r="AE65" s="136"/>
      <c r="AF65" s="103"/>
      <c r="AG65" s="106" t="str">
        <f>IF(OR(ISBLANK(Term4_Early_Dismissal_5[[#This Row],[Start]]),ISBLANK(Term4_Early_Dismissal_5[[#This Row],[End]])),"",(Term4_Early_Dismissal_5[[#This Row],[End]]-Term4_Early_Dismissal_5[[#This Row],[Start]])*1440)</f>
        <v/>
      </c>
      <c r="AH65" s="106" t="str">
        <f>IF(ISBLANK(Term4_Early_Dismissal_5[[#This Row],[Activity]]),"",IF(_xlfn.XLOOKUP(Term4_Early_Dismissal_5[[#This Row],[Activity]],Types_of_Activity[Type of Activity],Types_of_Activity[Classification])=1,Term4_Early_Dismissal_5[[#This Row],[Elapsed]],0))</f>
        <v/>
      </c>
      <c r="AI65" s="106" t="str">
        <f>IF(ISBLANK(Term4_Early_Dismissal_5[[#This Row],[Activity]]),"",IF(_xlfn.XLOOKUP(Term4_Early_Dismissal_5[[#This Row],[Activity]],Types_of_Activity[Type of Activity],Types_of_Activity[Classification])=2,Term4_Early_Dismissal_5[[#This Row],[Elapsed]],0))</f>
        <v/>
      </c>
      <c r="AK65" s="136"/>
      <c r="AL65" s="136"/>
      <c r="AM65" s="103"/>
      <c r="AN65" s="106" t="str">
        <f>IF(OR(ISBLANK(Term4_Early_Dismissal_6[[#This Row],[Start]]),ISBLANK(Term4_Early_Dismissal_6[[#This Row],[End]])),"",(Term4_Early_Dismissal_6[[#This Row],[End]]-Term4_Early_Dismissal_6[[#This Row],[Start]])*1440)</f>
        <v/>
      </c>
      <c r="AO65" s="106" t="str">
        <f>IF(ISBLANK(Term4_Early_Dismissal_6[[#This Row],[Activity]]),"",IF(_xlfn.XLOOKUP(Term4_Early_Dismissal_6[[#This Row],[Activity]],Types_of_Activity[Type of Activity],Types_of_Activity[Classification])=1,Term4_Early_Dismissal_6[[#This Row],[Elapsed]],0))</f>
        <v/>
      </c>
      <c r="AP65" s="106" t="str">
        <f>IF(ISBLANK(Term4_Early_Dismissal_6[[#This Row],[Activity]]),"",IF(_xlfn.XLOOKUP(Term4_Early_Dismissal_6[[#This Row],[Activity]],Types_of_Activity[Type of Activity],Types_of_Activity[Classification])=2,Term4_Early_Dismissal_6[[#This Row],[Elapsed]],0))</f>
        <v/>
      </c>
    </row>
    <row r="66" spans="2:42" x14ac:dyDescent="0.3">
      <c r="B66" s="136"/>
      <c r="C66" s="136"/>
      <c r="D66" s="103"/>
      <c r="E66" s="106" t="str">
        <f>IF(OR(ISBLANK(Term4_Early_Dismissal_1[[#This Row],[Start]]),ISBLANK(Term4_Early_Dismissal_1[[#This Row],[End]])),"",(Term4_Early_Dismissal_1[[#This Row],[End]]-Term4_Early_Dismissal_1[[#This Row],[Start]])*1440)</f>
        <v/>
      </c>
      <c r="F66" s="106" t="str">
        <f>IF(ISBLANK(Term4_Early_Dismissal_1[[#This Row],[Activity]]),"",IF(_xlfn.XLOOKUP(Term4_Early_Dismissal_1[[#This Row],[Activity]],Types_of_Activity[Type of Activity],Types_of_Activity[Classification])=1,Term4_Early_Dismissal_1[[#This Row],[Elapsed]],0))</f>
        <v/>
      </c>
      <c r="G66" s="106" t="str">
        <f>IF(ISBLANK(Term4_Early_Dismissal_1[[#This Row],[Activity]]),"",IF(_xlfn.XLOOKUP(Term4_Early_Dismissal_1[[#This Row],[Activity]],Types_of_Activity[Type of Activity],Types_of_Activity[Classification])=2,Term4_Early_Dismissal_1[[#This Row],[Elapsed]],0))</f>
        <v/>
      </c>
      <c r="H66"/>
      <c r="I66" s="136"/>
      <c r="J66" s="136"/>
      <c r="K66" s="103"/>
      <c r="L66" s="106" t="str">
        <f>IF(OR(ISBLANK(Term4_Early_Dismissal_2[[#This Row],[Start]]),ISBLANK(Term4_Early_Dismissal_2[[#This Row],[End]])),"",(Term4_Early_Dismissal_2[[#This Row],[End]]-Term4_Early_Dismissal_2[[#This Row],[Start]])*1440)</f>
        <v/>
      </c>
      <c r="M66" s="106" t="str">
        <f>IF(ISBLANK(Term4_Early_Dismissal_2[[#This Row],[Activity]]),"",IF(_xlfn.XLOOKUP(Term4_Early_Dismissal_2[[#This Row],[Activity]],Types_of_Activity[Type of Activity],Types_of_Activity[Classification])=1,Term4_Early_Dismissal_2[[#This Row],[Elapsed]],0))</f>
        <v/>
      </c>
      <c r="N66" s="106" t="str">
        <f>IF(ISBLANK(Term4_Early_Dismissal_2[[#This Row],[Activity]]),"",IF(_xlfn.XLOOKUP(Term4_Early_Dismissal_2[[#This Row],[Activity]],Types_of_Activity[Type of Activity],Types_of_Activity[Classification])=2,Term4_Early_Dismissal_2[[#This Row],[Elapsed]],0))</f>
        <v/>
      </c>
      <c r="O66"/>
      <c r="P66" s="136"/>
      <c r="Q66" s="136"/>
      <c r="R66" s="103"/>
      <c r="S66" s="106" t="str">
        <f>IF(OR(ISBLANK(Term4_Early_Dismissal_3[[#This Row],[Start]]),ISBLANK(Term4_Early_Dismissal_3[[#This Row],[End]])),"",(Term4_Early_Dismissal_3[[#This Row],[End]]-Term4_Early_Dismissal_3[[#This Row],[Start]])*1440)</f>
        <v/>
      </c>
      <c r="T66" s="106" t="str">
        <f>IF(ISBLANK(Term4_Early_Dismissal_3[[#This Row],[Activity]]),"",IF(_xlfn.XLOOKUP(Term4_Early_Dismissal_3[[#This Row],[Activity]],Types_of_Activity[Type of Activity],Types_of_Activity[Classification])=1,Term4_Early_Dismissal_3[[#This Row],[Elapsed]],0))</f>
        <v/>
      </c>
      <c r="U66" s="106" t="str">
        <f>IF(ISBLANK(Term4_Early_Dismissal_3[[#This Row],[Activity]]),"",IF(_xlfn.XLOOKUP(Term4_Early_Dismissal_3[[#This Row],[Activity]],Types_of_Activity[Type of Activity],Types_of_Activity[Classification])=2,Term4_Early_Dismissal_3[[#This Row],[Elapsed]],0))</f>
        <v/>
      </c>
      <c r="W66" s="136"/>
      <c r="X66" s="136"/>
      <c r="Y66" s="103"/>
      <c r="Z66" s="106" t="str">
        <f>IF(OR(ISBLANK(Term4_Early_Dismissal_4[[#This Row],[Start]]),ISBLANK(Term4_Early_Dismissal_4[[#This Row],[End]])),"",(Term4_Early_Dismissal_4[[#This Row],[End]]-Term4_Early_Dismissal_4[[#This Row],[Start]])*1440)</f>
        <v/>
      </c>
      <c r="AA66" s="106" t="str">
        <f>IF(ISBLANK(Term4_Early_Dismissal_4[[#This Row],[Activity]]),"",IF(_xlfn.XLOOKUP(Term4_Early_Dismissal_4[[#This Row],[Activity]],Types_of_Activity[Type of Activity],Types_of_Activity[Classification])=1,Term4_Early_Dismissal_4[[#This Row],[Elapsed]],0))</f>
        <v/>
      </c>
      <c r="AB66" s="106" t="str">
        <f>IF(ISBLANK(Term4_Early_Dismissal_4[[#This Row],[Activity]]),"",IF(_xlfn.XLOOKUP(Term4_Early_Dismissal_4[[#This Row],[Activity]],Types_of_Activity[Type of Activity],Types_of_Activity[Classification])=2,Term4_Early_Dismissal_4[[#This Row],[Elapsed]],0))</f>
        <v/>
      </c>
      <c r="AD66" s="136"/>
      <c r="AE66" s="136"/>
      <c r="AF66" s="103"/>
      <c r="AG66" s="106" t="str">
        <f>IF(OR(ISBLANK(Term4_Early_Dismissal_5[[#This Row],[Start]]),ISBLANK(Term4_Early_Dismissal_5[[#This Row],[End]])),"",(Term4_Early_Dismissal_5[[#This Row],[End]]-Term4_Early_Dismissal_5[[#This Row],[Start]])*1440)</f>
        <v/>
      </c>
      <c r="AH66" s="106" t="str">
        <f>IF(ISBLANK(Term4_Early_Dismissal_5[[#This Row],[Activity]]),"",IF(_xlfn.XLOOKUP(Term4_Early_Dismissal_5[[#This Row],[Activity]],Types_of_Activity[Type of Activity],Types_of_Activity[Classification])=1,Term4_Early_Dismissal_5[[#This Row],[Elapsed]],0))</f>
        <v/>
      </c>
      <c r="AI66" s="106" t="str">
        <f>IF(ISBLANK(Term4_Early_Dismissal_5[[#This Row],[Activity]]),"",IF(_xlfn.XLOOKUP(Term4_Early_Dismissal_5[[#This Row],[Activity]],Types_of_Activity[Type of Activity],Types_of_Activity[Classification])=2,Term4_Early_Dismissal_5[[#This Row],[Elapsed]],0))</f>
        <v/>
      </c>
      <c r="AK66" s="136"/>
      <c r="AL66" s="136"/>
      <c r="AM66" s="103"/>
      <c r="AN66" s="106" t="str">
        <f>IF(OR(ISBLANK(Term4_Early_Dismissal_6[[#This Row],[Start]]),ISBLANK(Term4_Early_Dismissal_6[[#This Row],[End]])),"",(Term4_Early_Dismissal_6[[#This Row],[End]]-Term4_Early_Dismissal_6[[#This Row],[Start]])*1440)</f>
        <v/>
      </c>
      <c r="AO66" s="106" t="str">
        <f>IF(ISBLANK(Term4_Early_Dismissal_6[[#This Row],[Activity]]),"",IF(_xlfn.XLOOKUP(Term4_Early_Dismissal_6[[#This Row],[Activity]],Types_of_Activity[Type of Activity],Types_of_Activity[Classification])=1,Term4_Early_Dismissal_6[[#This Row],[Elapsed]],0))</f>
        <v/>
      </c>
      <c r="AP66" s="106" t="str">
        <f>IF(ISBLANK(Term4_Early_Dismissal_6[[#This Row],[Activity]]),"",IF(_xlfn.XLOOKUP(Term4_Early_Dismissal_6[[#This Row],[Activity]],Types_of_Activity[Type of Activity],Types_of_Activity[Classification])=2,Term4_Early_Dismissal_6[[#This Row],[Elapsed]],0))</f>
        <v/>
      </c>
    </row>
    <row r="67" spans="2:42" x14ac:dyDescent="0.3">
      <c r="B67" s="136"/>
      <c r="C67" s="136"/>
      <c r="D67" s="103"/>
      <c r="E67" s="106" t="str">
        <f>IF(OR(ISBLANK(Term4_Early_Dismissal_1[[#This Row],[Start]]),ISBLANK(Term4_Early_Dismissal_1[[#This Row],[End]])),"",(Term4_Early_Dismissal_1[[#This Row],[End]]-Term4_Early_Dismissal_1[[#This Row],[Start]])*1440)</f>
        <v/>
      </c>
      <c r="F67" s="106" t="str">
        <f>IF(ISBLANK(Term4_Early_Dismissal_1[[#This Row],[Activity]]),"",IF(_xlfn.XLOOKUP(Term4_Early_Dismissal_1[[#This Row],[Activity]],Types_of_Activity[Type of Activity],Types_of_Activity[Classification])=1,Term4_Early_Dismissal_1[[#This Row],[Elapsed]],0))</f>
        <v/>
      </c>
      <c r="G67" s="106" t="str">
        <f>IF(ISBLANK(Term4_Early_Dismissal_1[[#This Row],[Activity]]),"",IF(_xlfn.XLOOKUP(Term4_Early_Dismissal_1[[#This Row],[Activity]],Types_of_Activity[Type of Activity],Types_of_Activity[Classification])=2,Term4_Early_Dismissal_1[[#This Row],[Elapsed]],0))</f>
        <v/>
      </c>
      <c r="H67"/>
      <c r="I67" s="136"/>
      <c r="J67" s="136"/>
      <c r="K67" s="103"/>
      <c r="L67" s="106" t="str">
        <f>IF(OR(ISBLANK(Term4_Early_Dismissal_2[[#This Row],[Start]]),ISBLANK(Term4_Early_Dismissal_2[[#This Row],[End]])),"",(Term4_Early_Dismissal_2[[#This Row],[End]]-Term4_Early_Dismissal_2[[#This Row],[Start]])*1440)</f>
        <v/>
      </c>
      <c r="M67" s="106" t="str">
        <f>IF(ISBLANK(Term4_Early_Dismissal_2[[#This Row],[Activity]]),"",IF(_xlfn.XLOOKUP(Term4_Early_Dismissal_2[[#This Row],[Activity]],Types_of_Activity[Type of Activity],Types_of_Activity[Classification])=1,Term4_Early_Dismissal_2[[#This Row],[Elapsed]],0))</f>
        <v/>
      </c>
      <c r="N67" s="106" t="str">
        <f>IF(ISBLANK(Term4_Early_Dismissal_2[[#This Row],[Activity]]),"",IF(_xlfn.XLOOKUP(Term4_Early_Dismissal_2[[#This Row],[Activity]],Types_of_Activity[Type of Activity],Types_of_Activity[Classification])=2,Term4_Early_Dismissal_2[[#This Row],[Elapsed]],0))</f>
        <v/>
      </c>
      <c r="O67"/>
      <c r="P67" s="136"/>
      <c r="Q67" s="136"/>
      <c r="R67" s="103"/>
      <c r="S67" s="106" t="str">
        <f>IF(OR(ISBLANK(Term4_Early_Dismissal_3[[#This Row],[Start]]),ISBLANK(Term4_Early_Dismissal_3[[#This Row],[End]])),"",(Term4_Early_Dismissal_3[[#This Row],[End]]-Term4_Early_Dismissal_3[[#This Row],[Start]])*1440)</f>
        <v/>
      </c>
      <c r="T67" s="106" t="str">
        <f>IF(ISBLANK(Term4_Early_Dismissal_3[[#This Row],[Activity]]),"",IF(_xlfn.XLOOKUP(Term4_Early_Dismissal_3[[#This Row],[Activity]],Types_of_Activity[Type of Activity],Types_of_Activity[Classification])=1,Term4_Early_Dismissal_3[[#This Row],[Elapsed]],0))</f>
        <v/>
      </c>
      <c r="U67" s="106" t="str">
        <f>IF(ISBLANK(Term4_Early_Dismissal_3[[#This Row],[Activity]]),"",IF(_xlfn.XLOOKUP(Term4_Early_Dismissal_3[[#This Row],[Activity]],Types_of_Activity[Type of Activity],Types_of_Activity[Classification])=2,Term4_Early_Dismissal_3[[#This Row],[Elapsed]],0))</f>
        <v/>
      </c>
      <c r="W67" s="136"/>
      <c r="X67" s="136"/>
      <c r="Y67" s="103"/>
      <c r="Z67" s="106" t="str">
        <f>IF(OR(ISBLANK(Term4_Early_Dismissal_4[[#This Row],[Start]]),ISBLANK(Term4_Early_Dismissal_4[[#This Row],[End]])),"",(Term4_Early_Dismissal_4[[#This Row],[End]]-Term4_Early_Dismissal_4[[#This Row],[Start]])*1440)</f>
        <v/>
      </c>
      <c r="AA67" s="106" t="str">
        <f>IF(ISBLANK(Term4_Early_Dismissal_4[[#This Row],[Activity]]),"",IF(_xlfn.XLOOKUP(Term4_Early_Dismissal_4[[#This Row],[Activity]],Types_of_Activity[Type of Activity],Types_of_Activity[Classification])=1,Term4_Early_Dismissal_4[[#This Row],[Elapsed]],0))</f>
        <v/>
      </c>
      <c r="AB67" s="106" t="str">
        <f>IF(ISBLANK(Term4_Early_Dismissal_4[[#This Row],[Activity]]),"",IF(_xlfn.XLOOKUP(Term4_Early_Dismissal_4[[#This Row],[Activity]],Types_of_Activity[Type of Activity],Types_of_Activity[Classification])=2,Term4_Early_Dismissal_4[[#This Row],[Elapsed]],0))</f>
        <v/>
      </c>
      <c r="AD67" s="136"/>
      <c r="AE67" s="136"/>
      <c r="AF67" s="103"/>
      <c r="AG67" s="106" t="str">
        <f>IF(OR(ISBLANK(Term4_Early_Dismissal_5[[#This Row],[Start]]),ISBLANK(Term4_Early_Dismissal_5[[#This Row],[End]])),"",(Term4_Early_Dismissal_5[[#This Row],[End]]-Term4_Early_Dismissal_5[[#This Row],[Start]])*1440)</f>
        <v/>
      </c>
      <c r="AH67" s="106" t="str">
        <f>IF(ISBLANK(Term4_Early_Dismissal_5[[#This Row],[Activity]]),"",IF(_xlfn.XLOOKUP(Term4_Early_Dismissal_5[[#This Row],[Activity]],Types_of_Activity[Type of Activity],Types_of_Activity[Classification])=1,Term4_Early_Dismissal_5[[#This Row],[Elapsed]],0))</f>
        <v/>
      </c>
      <c r="AI67" s="106" t="str">
        <f>IF(ISBLANK(Term4_Early_Dismissal_5[[#This Row],[Activity]]),"",IF(_xlfn.XLOOKUP(Term4_Early_Dismissal_5[[#This Row],[Activity]],Types_of_Activity[Type of Activity],Types_of_Activity[Classification])=2,Term4_Early_Dismissal_5[[#This Row],[Elapsed]],0))</f>
        <v/>
      </c>
      <c r="AK67" s="136"/>
      <c r="AL67" s="136"/>
      <c r="AM67" s="103"/>
      <c r="AN67" s="106" t="str">
        <f>IF(OR(ISBLANK(Term4_Early_Dismissal_6[[#This Row],[Start]]),ISBLANK(Term4_Early_Dismissal_6[[#This Row],[End]])),"",(Term4_Early_Dismissal_6[[#This Row],[End]]-Term4_Early_Dismissal_6[[#This Row],[Start]])*1440)</f>
        <v/>
      </c>
      <c r="AO67" s="106" t="str">
        <f>IF(ISBLANK(Term4_Early_Dismissal_6[[#This Row],[Activity]]),"",IF(_xlfn.XLOOKUP(Term4_Early_Dismissal_6[[#This Row],[Activity]],Types_of_Activity[Type of Activity],Types_of_Activity[Classification])=1,Term4_Early_Dismissal_6[[#This Row],[Elapsed]],0))</f>
        <v/>
      </c>
      <c r="AP67" s="106" t="str">
        <f>IF(ISBLANK(Term4_Early_Dismissal_6[[#This Row],[Activity]]),"",IF(_xlfn.XLOOKUP(Term4_Early_Dismissal_6[[#This Row],[Activity]],Types_of_Activity[Type of Activity],Types_of_Activity[Classification])=2,Term4_Early_Dismissal_6[[#This Row],[Elapsed]],0))</f>
        <v/>
      </c>
    </row>
    <row r="68" spans="2:42" x14ac:dyDescent="0.3">
      <c r="B68" s="136"/>
      <c r="C68" s="136"/>
      <c r="D68" s="103"/>
      <c r="E68" s="106" t="str">
        <f>IF(OR(ISBLANK(Term4_Early_Dismissal_1[[#This Row],[Start]]),ISBLANK(Term4_Early_Dismissal_1[[#This Row],[End]])),"",(Term4_Early_Dismissal_1[[#This Row],[End]]-Term4_Early_Dismissal_1[[#This Row],[Start]])*1440)</f>
        <v/>
      </c>
      <c r="F68" s="106" t="str">
        <f>IF(ISBLANK(Term4_Early_Dismissal_1[[#This Row],[Activity]]),"",IF(_xlfn.XLOOKUP(Term4_Early_Dismissal_1[[#This Row],[Activity]],Types_of_Activity[Type of Activity],Types_of_Activity[Classification])=1,Term4_Early_Dismissal_1[[#This Row],[Elapsed]],0))</f>
        <v/>
      </c>
      <c r="G68" s="106" t="str">
        <f>IF(ISBLANK(Term4_Early_Dismissal_1[[#This Row],[Activity]]),"",IF(_xlfn.XLOOKUP(Term4_Early_Dismissal_1[[#This Row],[Activity]],Types_of_Activity[Type of Activity],Types_of_Activity[Classification])=2,Term4_Early_Dismissal_1[[#This Row],[Elapsed]],0))</f>
        <v/>
      </c>
      <c r="H68"/>
      <c r="I68" s="136"/>
      <c r="J68" s="136"/>
      <c r="K68" s="103"/>
      <c r="L68" s="106" t="str">
        <f>IF(OR(ISBLANK(Term4_Early_Dismissal_2[[#This Row],[Start]]),ISBLANK(Term4_Early_Dismissal_2[[#This Row],[End]])),"",(Term4_Early_Dismissal_2[[#This Row],[End]]-Term4_Early_Dismissal_2[[#This Row],[Start]])*1440)</f>
        <v/>
      </c>
      <c r="M68" s="106" t="str">
        <f>IF(ISBLANK(Term4_Early_Dismissal_2[[#This Row],[Activity]]),"",IF(_xlfn.XLOOKUP(Term4_Early_Dismissal_2[[#This Row],[Activity]],Types_of_Activity[Type of Activity],Types_of_Activity[Classification])=1,Term4_Early_Dismissal_2[[#This Row],[Elapsed]],0))</f>
        <v/>
      </c>
      <c r="N68" s="106" t="str">
        <f>IF(ISBLANK(Term4_Early_Dismissal_2[[#This Row],[Activity]]),"",IF(_xlfn.XLOOKUP(Term4_Early_Dismissal_2[[#This Row],[Activity]],Types_of_Activity[Type of Activity],Types_of_Activity[Classification])=2,Term4_Early_Dismissal_2[[#This Row],[Elapsed]],0))</f>
        <v/>
      </c>
      <c r="O68"/>
      <c r="P68" s="136"/>
      <c r="Q68" s="136"/>
      <c r="R68" s="103"/>
      <c r="S68" s="106" t="str">
        <f>IF(OR(ISBLANK(Term4_Early_Dismissal_3[[#This Row],[Start]]),ISBLANK(Term4_Early_Dismissal_3[[#This Row],[End]])),"",(Term4_Early_Dismissal_3[[#This Row],[End]]-Term4_Early_Dismissal_3[[#This Row],[Start]])*1440)</f>
        <v/>
      </c>
      <c r="T68" s="106" t="str">
        <f>IF(ISBLANK(Term4_Early_Dismissal_3[[#This Row],[Activity]]),"",IF(_xlfn.XLOOKUP(Term4_Early_Dismissal_3[[#This Row],[Activity]],Types_of_Activity[Type of Activity],Types_of_Activity[Classification])=1,Term4_Early_Dismissal_3[[#This Row],[Elapsed]],0))</f>
        <v/>
      </c>
      <c r="U68" s="106" t="str">
        <f>IF(ISBLANK(Term4_Early_Dismissal_3[[#This Row],[Activity]]),"",IF(_xlfn.XLOOKUP(Term4_Early_Dismissal_3[[#This Row],[Activity]],Types_of_Activity[Type of Activity],Types_of_Activity[Classification])=2,Term4_Early_Dismissal_3[[#This Row],[Elapsed]],0))</f>
        <v/>
      </c>
      <c r="W68" s="136"/>
      <c r="X68" s="136"/>
      <c r="Y68" s="103"/>
      <c r="Z68" s="106" t="str">
        <f>IF(OR(ISBLANK(Term4_Early_Dismissal_4[[#This Row],[Start]]),ISBLANK(Term4_Early_Dismissal_4[[#This Row],[End]])),"",(Term4_Early_Dismissal_4[[#This Row],[End]]-Term4_Early_Dismissal_4[[#This Row],[Start]])*1440)</f>
        <v/>
      </c>
      <c r="AA68" s="106" t="str">
        <f>IF(ISBLANK(Term4_Early_Dismissal_4[[#This Row],[Activity]]),"",IF(_xlfn.XLOOKUP(Term4_Early_Dismissal_4[[#This Row],[Activity]],Types_of_Activity[Type of Activity],Types_of_Activity[Classification])=1,Term4_Early_Dismissal_4[[#This Row],[Elapsed]],0))</f>
        <v/>
      </c>
      <c r="AB68" s="106" t="str">
        <f>IF(ISBLANK(Term4_Early_Dismissal_4[[#This Row],[Activity]]),"",IF(_xlfn.XLOOKUP(Term4_Early_Dismissal_4[[#This Row],[Activity]],Types_of_Activity[Type of Activity],Types_of_Activity[Classification])=2,Term4_Early_Dismissal_4[[#This Row],[Elapsed]],0))</f>
        <v/>
      </c>
      <c r="AD68" s="136"/>
      <c r="AE68" s="136"/>
      <c r="AF68" s="103"/>
      <c r="AG68" s="106" t="str">
        <f>IF(OR(ISBLANK(Term4_Early_Dismissal_5[[#This Row],[Start]]),ISBLANK(Term4_Early_Dismissal_5[[#This Row],[End]])),"",(Term4_Early_Dismissal_5[[#This Row],[End]]-Term4_Early_Dismissal_5[[#This Row],[Start]])*1440)</f>
        <v/>
      </c>
      <c r="AH68" s="106" t="str">
        <f>IF(ISBLANK(Term4_Early_Dismissal_5[[#This Row],[Activity]]),"",IF(_xlfn.XLOOKUP(Term4_Early_Dismissal_5[[#This Row],[Activity]],Types_of_Activity[Type of Activity],Types_of_Activity[Classification])=1,Term4_Early_Dismissal_5[[#This Row],[Elapsed]],0))</f>
        <v/>
      </c>
      <c r="AI68" s="106" t="str">
        <f>IF(ISBLANK(Term4_Early_Dismissal_5[[#This Row],[Activity]]),"",IF(_xlfn.XLOOKUP(Term4_Early_Dismissal_5[[#This Row],[Activity]],Types_of_Activity[Type of Activity],Types_of_Activity[Classification])=2,Term4_Early_Dismissal_5[[#This Row],[Elapsed]],0))</f>
        <v/>
      </c>
      <c r="AK68" s="136"/>
      <c r="AL68" s="136"/>
      <c r="AM68" s="103"/>
      <c r="AN68" s="106" t="str">
        <f>IF(OR(ISBLANK(Term4_Early_Dismissal_6[[#This Row],[Start]]),ISBLANK(Term4_Early_Dismissal_6[[#This Row],[End]])),"",(Term4_Early_Dismissal_6[[#This Row],[End]]-Term4_Early_Dismissal_6[[#This Row],[Start]])*1440)</f>
        <v/>
      </c>
      <c r="AO68" s="106" t="str">
        <f>IF(ISBLANK(Term4_Early_Dismissal_6[[#This Row],[Activity]]),"",IF(_xlfn.XLOOKUP(Term4_Early_Dismissal_6[[#This Row],[Activity]],Types_of_Activity[Type of Activity],Types_of_Activity[Classification])=1,Term4_Early_Dismissal_6[[#This Row],[Elapsed]],0))</f>
        <v/>
      </c>
      <c r="AP68" s="106" t="str">
        <f>IF(ISBLANK(Term4_Early_Dismissal_6[[#This Row],[Activity]]),"",IF(_xlfn.XLOOKUP(Term4_Early_Dismissal_6[[#This Row],[Activity]],Types_of_Activity[Type of Activity],Types_of_Activity[Classification])=2,Term4_Early_Dismissal_6[[#This Row],[Elapsed]],0))</f>
        <v/>
      </c>
    </row>
    <row r="69" spans="2:42" x14ac:dyDescent="0.3">
      <c r="B69" s="136"/>
      <c r="C69" s="136"/>
      <c r="D69" s="103"/>
      <c r="E69" s="106" t="str">
        <f>IF(OR(ISBLANK(Term4_Early_Dismissal_1[[#This Row],[Start]]),ISBLANK(Term4_Early_Dismissal_1[[#This Row],[End]])),"",(Term4_Early_Dismissal_1[[#This Row],[End]]-Term4_Early_Dismissal_1[[#This Row],[Start]])*1440)</f>
        <v/>
      </c>
      <c r="F69" s="106" t="str">
        <f>IF(ISBLANK(Term4_Early_Dismissal_1[[#This Row],[Activity]]),"",IF(_xlfn.XLOOKUP(Term4_Early_Dismissal_1[[#This Row],[Activity]],Types_of_Activity[Type of Activity],Types_of_Activity[Classification])=1,Term4_Early_Dismissal_1[[#This Row],[Elapsed]],0))</f>
        <v/>
      </c>
      <c r="G69" s="106" t="str">
        <f>IF(ISBLANK(Term4_Early_Dismissal_1[[#This Row],[Activity]]),"",IF(_xlfn.XLOOKUP(Term4_Early_Dismissal_1[[#This Row],[Activity]],Types_of_Activity[Type of Activity],Types_of_Activity[Classification])=2,Term4_Early_Dismissal_1[[#This Row],[Elapsed]],0))</f>
        <v/>
      </c>
      <c r="H69"/>
      <c r="I69" s="136"/>
      <c r="J69" s="136"/>
      <c r="K69" s="103"/>
      <c r="L69" s="106" t="str">
        <f>IF(OR(ISBLANK(Term4_Early_Dismissal_2[[#This Row],[Start]]),ISBLANK(Term4_Early_Dismissal_2[[#This Row],[End]])),"",(Term4_Early_Dismissal_2[[#This Row],[End]]-Term4_Early_Dismissal_2[[#This Row],[Start]])*1440)</f>
        <v/>
      </c>
      <c r="M69" s="106" t="str">
        <f>IF(ISBLANK(Term4_Early_Dismissal_2[[#This Row],[Activity]]),"",IF(_xlfn.XLOOKUP(Term4_Early_Dismissal_2[[#This Row],[Activity]],Types_of_Activity[Type of Activity],Types_of_Activity[Classification])=1,Term4_Early_Dismissal_2[[#This Row],[Elapsed]],0))</f>
        <v/>
      </c>
      <c r="N69" s="106" t="str">
        <f>IF(ISBLANK(Term4_Early_Dismissal_2[[#This Row],[Activity]]),"",IF(_xlfn.XLOOKUP(Term4_Early_Dismissal_2[[#This Row],[Activity]],Types_of_Activity[Type of Activity],Types_of_Activity[Classification])=2,Term4_Early_Dismissal_2[[#This Row],[Elapsed]],0))</f>
        <v/>
      </c>
      <c r="O69"/>
      <c r="P69" s="136"/>
      <c r="Q69" s="136"/>
      <c r="R69" s="103"/>
      <c r="S69" s="106" t="str">
        <f>IF(OR(ISBLANK(Term4_Early_Dismissal_3[[#This Row],[Start]]),ISBLANK(Term4_Early_Dismissal_3[[#This Row],[End]])),"",(Term4_Early_Dismissal_3[[#This Row],[End]]-Term4_Early_Dismissal_3[[#This Row],[Start]])*1440)</f>
        <v/>
      </c>
      <c r="T69" s="106" t="str">
        <f>IF(ISBLANK(Term4_Early_Dismissal_3[[#This Row],[Activity]]),"",IF(_xlfn.XLOOKUP(Term4_Early_Dismissal_3[[#This Row],[Activity]],Types_of_Activity[Type of Activity],Types_of_Activity[Classification])=1,Term4_Early_Dismissal_3[[#This Row],[Elapsed]],0))</f>
        <v/>
      </c>
      <c r="U69" s="106" t="str">
        <f>IF(ISBLANK(Term4_Early_Dismissal_3[[#This Row],[Activity]]),"",IF(_xlfn.XLOOKUP(Term4_Early_Dismissal_3[[#This Row],[Activity]],Types_of_Activity[Type of Activity],Types_of_Activity[Classification])=2,Term4_Early_Dismissal_3[[#This Row],[Elapsed]],0))</f>
        <v/>
      </c>
      <c r="W69" s="136"/>
      <c r="X69" s="136"/>
      <c r="Y69" s="103"/>
      <c r="Z69" s="106" t="str">
        <f>IF(OR(ISBLANK(Term4_Early_Dismissal_4[[#This Row],[Start]]),ISBLANK(Term4_Early_Dismissal_4[[#This Row],[End]])),"",(Term4_Early_Dismissal_4[[#This Row],[End]]-Term4_Early_Dismissal_4[[#This Row],[Start]])*1440)</f>
        <v/>
      </c>
      <c r="AA69" s="106" t="str">
        <f>IF(ISBLANK(Term4_Early_Dismissal_4[[#This Row],[Activity]]),"",IF(_xlfn.XLOOKUP(Term4_Early_Dismissal_4[[#This Row],[Activity]],Types_of_Activity[Type of Activity],Types_of_Activity[Classification])=1,Term4_Early_Dismissal_4[[#This Row],[Elapsed]],0))</f>
        <v/>
      </c>
      <c r="AB69" s="106" t="str">
        <f>IF(ISBLANK(Term4_Early_Dismissal_4[[#This Row],[Activity]]),"",IF(_xlfn.XLOOKUP(Term4_Early_Dismissal_4[[#This Row],[Activity]],Types_of_Activity[Type of Activity],Types_of_Activity[Classification])=2,Term4_Early_Dismissal_4[[#This Row],[Elapsed]],0))</f>
        <v/>
      </c>
      <c r="AD69" s="136"/>
      <c r="AE69" s="136"/>
      <c r="AF69" s="103"/>
      <c r="AG69" s="106" t="str">
        <f>IF(OR(ISBLANK(Term4_Early_Dismissal_5[[#This Row],[Start]]),ISBLANK(Term4_Early_Dismissal_5[[#This Row],[End]])),"",(Term4_Early_Dismissal_5[[#This Row],[End]]-Term4_Early_Dismissal_5[[#This Row],[Start]])*1440)</f>
        <v/>
      </c>
      <c r="AH69" s="106" t="str">
        <f>IF(ISBLANK(Term4_Early_Dismissal_5[[#This Row],[Activity]]),"",IF(_xlfn.XLOOKUP(Term4_Early_Dismissal_5[[#This Row],[Activity]],Types_of_Activity[Type of Activity],Types_of_Activity[Classification])=1,Term4_Early_Dismissal_5[[#This Row],[Elapsed]],0))</f>
        <v/>
      </c>
      <c r="AI69" s="106" t="str">
        <f>IF(ISBLANK(Term4_Early_Dismissal_5[[#This Row],[Activity]]),"",IF(_xlfn.XLOOKUP(Term4_Early_Dismissal_5[[#This Row],[Activity]],Types_of_Activity[Type of Activity],Types_of_Activity[Classification])=2,Term4_Early_Dismissal_5[[#This Row],[Elapsed]],0))</f>
        <v/>
      </c>
      <c r="AK69" s="136"/>
      <c r="AL69" s="136"/>
      <c r="AM69" s="103"/>
      <c r="AN69" s="106" t="str">
        <f>IF(OR(ISBLANK(Term4_Early_Dismissal_6[[#This Row],[Start]]),ISBLANK(Term4_Early_Dismissal_6[[#This Row],[End]])),"",(Term4_Early_Dismissal_6[[#This Row],[End]]-Term4_Early_Dismissal_6[[#This Row],[Start]])*1440)</f>
        <v/>
      </c>
      <c r="AO69" s="106" t="str">
        <f>IF(ISBLANK(Term4_Early_Dismissal_6[[#This Row],[Activity]]),"",IF(_xlfn.XLOOKUP(Term4_Early_Dismissal_6[[#This Row],[Activity]],Types_of_Activity[Type of Activity],Types_of_Activity[Classification])=1,Term4_Early_Dismissal_6[[#This Row],[Elapsed]],0))</f>
        <v/>
      </c>
      <c r="AP69" s="106" t="str">
        <f>IF(ISBLANK(Term4_Early_Dismissal_6[[#This Row],[Activity]]),"",IF(_xlfn.XLOOKUP(Term4_Early_Dismissal_6[[#This Row],[Activity]],Types_of_Activity[Type of Activity],Types_of_Activity[Classification])=2,Term4_Early_Dismissal_6[[#This Row],[Elapsed]],0))</f>
        <v/>
      </c>
    </row>
    <row r="70" spans="2:42" x14ac:dyDescent="0.3">
      <c r="B70" s="136"/>
      <c r="C70" s="136"/>
      <c r="D70" s="103"/>
      <c r="E70" s="106" t="str">
        <f>IF(OR(ISBLANK(Term4_Early_Dismissal_1[[#This Row],[Start]]),ISBLANK(Term4_Early_Dismissal_1[[#This Row],[End]])),"",(Term4_Early_Dismissal_1[[#This Row],[End]]-Term4_Early_Dismissal_1[[#This Row],[Start]])*1440)</f>
        <v/>
      </c>
      <c r="F70" s="106" t="str">
        <f>IF(ISBLANK(Term4_Early_Dismissal_1[[#This Row],[Activity]]),"",IF(_xlfn.XLOOKUP(Term4_Early_Dismissal_1[[#This Row],[Activity]],Types_of_Activity[Type of Activity],Types_of_Activity[Classification])=1,Term4_Early_Dismissal_1[[#This Row],[Elapsed]],0))</f>
        <v/>
      </c>
      <c r="G70" s="106" t="str">
        <f>IF(ISBLANK(Term4_Early_Dismissal_1[[#This Row],[Activity]]),"",IF(_xlfn.XLOOKUP(Term4_Early_Dismissal_1[[#This Row],[Activity]],Types_of_Activity[Type of Activity],Types_of_Activity[Classification])=2,Term4_Early_Dismissal_1[[#This Row],[Elapsed]],0))</f>
        <v/>
      </c>
      <c r="H70"/>
      <c r="I70" s="136"/>
      <c r="J70" s="136"/>
      <c r="K70" s="103"/>
      <c r="L70" s="106" t="str">
        <f>IF(OR(ISBLANK(Term4_Early_Dismissal_2[[#This Row],[Start]]),ISBLANK(Term4_Early_Dismissal_2[[#This Row],[End]])),"",(Term4_Early_Dismissal_2[[#This Row],[End]]-Term4_Early_Dismissal_2[[#This Row],[Start]])*1440)</f>
        <v/>
      </c>
      <c r="M70" s="106" t="str">
        <f>IF(ISBLANK(Term4_Early_Dismissal_2[[#This Row],[Activity]]),"",IF(_xlfn.XLOOKUP(Term4_Early_Dismissal_2[[#This Row],[Activity]],Types_of_Activity[Type of Activity],Types_of_Activity[Classification])=1,Term4_Early_Dismissal_2[[#This Row],[Elapsed]],0))</f>
        <v/>
      </c>
      <c r="N70" s="106" t="str">
        <f>IF(ISBLANK(Term4_Early_Dismissal_2[[#This Row],[Activity]]),"",IF(_xlfn.XLOOKUP(Term4_Early_Dismissal_2[[#This Row],[Activity]],Types_of_Activity[Type of Activity],Types_of_Activity[Classification])=2,Term4_Early_Dismissal_2[[#This Row],[Elapsed]],0))</f>
        <v/>
      </c>
      <c r="O70"/>
      <c r="P70" s="136"/>
      <c r="Q70" s="136"/>
      <c r="R70" s="103"/>
      <c r="S70" s="106" t="str">
        <f>IF(OR(ISBLANK(Term4_Early_Dismissal_3[[#This Row],[Start]]),ISBLANK(Term4_Early_Dismissal_3[[#This Row],[End]])),"",(Term4_Early_Dismissal_3[[#This Row],[End]]-Term4_Early_Dismissal_3[[#This Row],[Start]])*1440)</f>
        <v/>
      </c>
      <c r="T70" s="106" t="str">
        <f>IF(ISBLANK(Term4_Early_Dismissal_3[[#This Row],[Activity]]),"",IF(_xlfn.XLOOKUP(Term4_Early_Dismissal_3[[#This Row],[Activity]],Types_of_Activity[Type of Activity],Types_of_Activity[Classification])=1,Term4_Early_Dismissal_3[[#This Row],[Elapsed]],0))</f>
        <v/>
      </c>
      <c r="U70" s="106" t="str">
        <f>IF(ISBLANK(Term4_Early_Dismissal_3[[#This Row],[Activity]]),"",IF(_xlfn.XLOOKUP(Term4_Early_Dismissal_3[[#This Row],[Activity]],Types_of_Activity[Type of Activity],Types_of_Activity[Classification])=2,Term4_Early_Dismissal_3[[#This Row],[Elapsed]],0))</f>
        <v/>
      </c>
      <c r="W70" s="136"/>
      <c r="X70" s="136"/>
      <c r="Y70" s="103"/>
      <c r="Z70" s="106" t="str">
        <f>IF(OR(ISBLANK(Term4_Early_Dismissal_4[[#This Row],[Start]]),ISBLANK(Term4_Early_Dismissal_4[[#This Row],[End]])),"",(Term4_Early_Dismissal_4[[#This Row],[End]]-Term4_Early_Dismissal_4[[#This Row],[Start]])*1440)</f>
        <v/>
      </c>
      <c r="AA70" s="106" t="str">
        <f>IF(ISBLANK(Term4_Early_Dismissal_4[[#This Row],[Activity]]),"",IF(_xlfn.XLOOKUP(Term4_Early_Dismissal_4[[#This Row],[Activity]],Types_of_Activity[Type of Activity],Types_of_Activity[Classification])=1,Term4_Early_Dismissal_4[[#This Row],[Elapsed]],0))</f>
        <v/>
      </c>
      <c r="AB70" s="106" t="str">
        <f>IF(ISBLANK(Term4_Early_Dismissal_4[[#This Row],[Activity]]),"",IF(_xlfn.XLOOKUP(Term4_Early_Dismissal_4[[#This Row],[Activity]],Types_of_Activity[Type of Activity],Types_of_Activity[Classification])=2,Term4_Early_Dismissal_4[[#This Row],[Elapsed]],0))</f>
        <v/>
      </c>
      <c r="AD70" s="136"/>
      <c r="AE70" s="136"/>
      <c r="AF70" s="103"/>
      <c r="AG70" s="106" t="str">
        <f>IF(OR(ISBLANK(Term4_Early_Dismissal_5[[#This Row],[Start]]),ISBLANK(Term4_Early_Dismissal_5[[#This Row],[End]])),"",(Term4_Early_Dismissal_5[[#This Row],[End]]-Term4_Early_Dismissal_5[[#This Row],[Start]])*1440)</f>
        <v/>
      </c>
      <c r="AH70" s="106" t="str">
        <f>IF(ISBLANK(Term4_Early_Dismissal_5[[#This Row],[Activity]]),"",IF(_xlfn.XLOOKUP(Term4_Early_Dismissal_5[[#This Row],[Activity]],Types_of_Activity[Type of Activity],Types_of_Activity[Classification])=1,Term4_Early_Dismissal_5[[#This Row],[Elapsed]],0))</f>
        <v/>
      </c>
      <c r="AI70" s="106" t="str">
        <f>IF(ISBLANK(Term4_Early_Dismissal_5[[#This Row],[Activity]]),"",IF(_xlfn.XLOOKUP(Term4_Early_Dismissal_5[[#This Row],[Activity]],Types_of_Activity[Type of Activity],Types_of_Activity[Classification])=2,Term4_Early_Dismissal_5[[#This Row],[Elapsed]],0))</f>
        <v/>
      </c>
      <c r="AK70" s="136"/>
      <c r="AL70" s="136"/>
      <c r="AM70" s="103"/>
      <c r="AN70" s="106" t="str">
        <f>IF(OR(ISBLANK(Term4_Early_Dismissal_6[[#This Row],[Start]]),ISBLANK(Term4_Early_Dismissal_6[[#This Row],[End]])),"",(Term4_Early_Dismissal_6[[#This Row],[End]]-Term4_Early_Dismissal_6[[#This Row],[Start]])*1440)</f>
        <v/>
      </c>
      <c r="AO70" s="106" t="str">
        <f>IF(ISBLANK(Term4_Early_Dismissal_6[[#This Row],[Activity]]),"",IF(_xlfn.XLOOKUP(Term4_Early_Dismissal_6[[#This Row],[Activity]],Types_of_Activity[Type of Activity],Types_of_Activity[Classification])=1,Term4_Early_Dismissal_6[[#This Row],[Elapsed]],0))</f>
        <v/>
      </c>
      <c r="AP70" s="106" t="str">
        <f>IF(ISBLANK(Term4_Early_Dismissal_6[[#This Row],[Activity]]),"",IF(_xlfn.XLOOKUP(Term4_Early_Dismissal_6[[#This Row],[Activity]],Types_of_Activity[Type of Activity],Types_of_Activity[Classification])=2,Term4_Early_Dismissal_6[[#This Row],[Elapsed]],0))</f>
        <v/>
      </c>
    </row>
    <row r="71" spans="2:42" x14ac:dyDescent="0.3">
      <c r="B71" s="136"/>
      <c r="C71" s="136"/>
      <c r="D71" s="103"/>
      <c r="E71" s="106" t="str">
        <f>IF(OR(ISBLANK(Term4_Early_Dismissal_1[[#This Row],[Start]]),ISBLANK(Term4_Early_Dismissal_1[[#This Row],[End]])),"",(Term4_Early_Dismissal_1[[#This Row],[End]]-Term4_Early_Dismissal_1[[#This Row],[Start]])*1440)</f>
        <v/>
      </c>
      <c r="F71" s="106" t="str">
        <f>IF(ISBLANK(Term4_Early_Dismissal_1[[#This Row],[Activity]]),"",IF(_xlfn.XLOOKUP(Term4_Early_Dismissal_1[[#This Row],[Activity]],Types_of_Activity[Type of Activity],Types_of_Activity[Classification])=1,Term4_Early_Dismissal_1[[#This Row],[Elapsed]],0))</f>
        <v/>
      </c>
      <c r="G71" s="106" t="str">
        <f>IF(ISBLANK(Term4_Early_Dismissal_1[[#This Row],[Activity]]),"",IF(_xlfn.XLOOKUP(Term4_Early_Dismissal_1[[#This Row],[Activity]],Types_of_Activity[Type of Activity],Types_of_Activity[Classification])=2,Term4_Early_Dismissal_1[[#This Row],[Elapsed]],0))</f>
        <v/>
      </c>
      <c r="H71"/>
      <c r="I71" s="136"/>
      <c r="J71" s="136"/>
      <c r="K71" s="103"/>
      <c r="L71" s="106" t="str">
        <f>IF(OR(ISBLANK(Term4_Early_Dismissal_2[[#This Row],[Start]]),ISBLANK(Term4_Early_Dismissal_2[[#This Row],[End]])),"",(Term4_Early_Dismissal_2[[#This Row],[End]]-Term4_Early_Dismissal_2[[#This Row],[Start]])*1440)</f>
        <v/>
      </c>
      <c r="M71" s="106" t="str">
        <f>IF(ISBLANK(Term4_Early_Dismissal_2[[#This Row],[Activity]]),"",IF(_xlfn.XLOOKUP(Term4_Early_Dismissal_2[[#This Row],[Activity]],Types_of_Activity[Type of Activity],Types_of_Activity[Classification])=1,Term4_Early_Dismissal_2[[#This Row],[Elapsed]],0))</f>
        <v/>
      </c>
      <c r="N71" s="106" t="str">
        <f>IF(ISBLANK(Term4_Early_Dismissal_2[[#This Row],[Activity]]),"",IF(_xlfn.XLOOKUP(Term4_Early_Dismissal_2[[#This Row],[Activity]],Types_of_Activity[Type of Activity],Types_of_Activity[Classification])=2,Term4_Early_Dismissal_2[[#This Row],[Elapsed]],0))</f>
        <v/>
      </c>
      <c r="O71"/>
      <c r="P71" s="136"/>
      <c r="Q71" s="136"/>
      <c r="R71" s="103"/>
      <c r="S71" s="106" t="str">
        <f>IF(OR(ISBLANK(Term4_Early_Dismissal_3[[#This Row],[Start]]),ISBLANK(Term4_Early_Dismissal_3[[#This Row],[End]])),"",(Term4_Early_Dismissal_3[[#This Row],[End]]-Term4_Early_Dismissal_3[[#This Row],[Start]])*1440)</f>
        <v/>
      </c>
      <c r="T71" s="106" t="str">
        <f>IF(ISBLANK(Term4_Early_Dismissal_3[[#This Row],[Activity]]),"",IF(_xlfn.XLOOKUP(Term4_Early_Dismissal_3[[#This Row],[Activity]],Types_of_Activity[Type of Activity],Types_of_Activity[Classification])=1,Term4_Early_Dismissal_3[[#This Row],[Elapsed]],0))</f>
        <v/>
      </c>
      <c r="U71" s="106" t="str">
        <f>IF(ISBLANK(Term4_Early_Dismissal_3[[#This Row],[Activity]]),"",IF(_xlfn.XLOOKUP(Term4_Early_Dismissal_3[[#This Row],[Activity]],Types_of_Activity[Type of Activity],Types_of_Activity[Classification])=2,Term4_Early_Dismissal_3[[#This Row],[Elapsed]],0))</f>
        <v/>
      </c>
      <c r="W71" s="136"/>
      <c r="X71" s="136"/>
      <c r="Y71" s="103"/>
      <c r="Z71" s="106" t="str">
        <f>IF(OR(ISBLANK(Term4_Early_Dismissal_4[[#This Row],[Start]]),ISBLANK(Term4_Early_Dismissal_4[[#This Row],[End]])),"",(Term4_Early_Dismissal_4[[#This Row],[End]]-Term4_Early_Dismissal_4[[#This Row],[Start]])*1440)</f>
        <v/>
      </c>
      <c r="AA71" s="106" t="str">
        <f>IF(ISBLANK(Term4_Early_Dismissal_4[[#This Row],[Activity]]),"",IF(_xlfn.XLOOKUP(Term4_Early_Dismissal_4[[#This Row],[Activity]],Types_of_Activity[Type of Activity],Types_of_Activity[Classification])=1,Term4_Early_Dismissal_4[[#This Row],[Elapsed]],0))</f>
        <v/>
      </c>
      <c r="AB71" s="106" t="str">
        <f>IF(ISBLANK(Term4_Early_Dismissal_4[[#This Row],[Activity]]),"",IF(_xlfn.XLOOKUP(Term4_Early_Dismissal_4[[#This Row],[Activity]],Types_of_Activity[Type of Activity],Types_of_Activity[Classification])=2,Term4_Early_Dismissal_4[[#This Row],[Elapsed]],0))</f>
        <v/>
      </c>
      <c r="AD71" s="136"/>
      <c r="AE71" s="136"/>
      <c r="AF71" s="103"/>
      <c r="AG71" s="106" t="str">
        <f>IF(OR(ISBLANK(Term4_Early_Dismissal_5[[#This Row],[Start]]),ISBLANK(Term4_Early_Dismissal_5[[#This Row],[End]])),"",(Term4_Early_Dismissal_5[[#This Row],[End]]-Term4_Early_Dismissal_5[[#This Row],[Start]])*1440)</f>
        <v/>
      </c>
      <c r="AH71" s="106" t="str">
        <f>IF(ISBLANK(Term4_Early_Dismissal_5[[#This Row],[Activity]]),"",IF(_xlfn.XLOOKUP(Term4_Early_Dismissal_5[[#This Row],[Activity]],Types_of_Activity[Type of Activity],Types_of_Activity[Classification])=1,Term4_Early_Dismissal_5[[#This Row],[Elapsed]],0))</f>
        <v/>
      </c>
      <c r="AI71" s="106" t="str">
        <f>IF(ISBLANK(Term4_Early_Dismissal_5[[#This Row],[Activity]]),"",IF(_xlfn.XLOOKUP(Term4_Early_Dismissal_5[[#This Row],[Activity]],Types_of_Activity[Type of Activity],Types_of_Activity[Classification])=2,Term4_Early_Dismissal_5[[#This Row],[Elapsed]],0))</f>
        <v/>
      </c>
      <c r="AK71" s="136"/>
      <c r="AL71" s="136"/>
      <c r="AM71" s="103"/>
      <c r="AN71" s="106" t="str">
        <f>IF(OR(ISBLANK(Term4_Early_Dismissal_6[[#This Row],[Start]]),ISBLANK(Term4_Early_Dismissal_6[[#This Row],[End]])),"",(Term4_Early_Dismissal_6[[#This Row],[End]]-Term4_Early_Dismissal_6[[#This Row],[Start]])*1440)</f>
        <v/>
      </c>
      <c r="AO71" s="106" t="str">
        <f>IF(ISBLANK(Term4_Early_Dismissal_6[[#This Row],[Activity]]),"",IF(_xlfn.XLOOKUP(Term4_Early_Dismissal_6[[#This Row],[Activity]],Types_of_Activity[Type of Activity],Types_of_Activity[Classification])=1,Term4_Early_Dismissal_6[[#This Row],[Elapsed]],0))</f>
        <v/>
      </c>
      <c r="AP71" s="106" t="str">
        <f>IF(ISBLANK(Term4_Early_Dismissal_6[[#This Row],[Activity]]),"",IF(_xlfn.XLOOKUP(Term4_Early_Dismissal_6[[#This Row],[Activity]],Types_of_Activity[Type of Activity],Types_of_Activity[Classification])=2,Term4_Early_Dismissal_6[[#This Row],[Elapsed]],0))</f>
        <v/>
      </c>
    </row>
    <row r="72" spans="2:42" x14ac:dyDescent="0.3">
      <c r="B72" s="136"/>
      <c r="C72" s="136"/>
      <c r="D72" s="103"/>
      <c r="E72" s="106" t="str">
        <f>IF(OR(ISBLANK(Term4_Early_Dismissal_1[[#This Row],[Start]]),ISBLANK(Term4_Early_Dismissal_1[[#This Row],[End]])),"",(Term4_Early_Dismissal_1[[#This Row],[End]]-Term4_Early_Dismissal_1[[#This Row],[Start]])*1440)</f>
        <v/>
      </c>
      <c r="F72" s="106" t="str">
        <f>IF(ISBLANK(Term4_Early_Dismissal_1[[#This Row],[Activity]]),"",IF(_xlfn.XLOOKUP(Term4_Early_Dismissal_1[[#This Row],[Activity]],Types_of_Activity[Type of Activity],Types_of_Activity[Classification])=1,Term4_Early_Dismissal_1[[#This Row],[Elapsed]],0))</f>
        <v/>
      </c>
      <c r="G72" s="106" t="str">
        <f>IF(ISBLANK(Term4_Early_Dismissal_1[[#This Row],[Activity]]),"",IF(_xlfn.XLOOKUP(Term4_Early_Dismissal_1[[#This Row],[Activity]],Types_of_Activity[Type of Activity],Types_of_Activity[Classification])=2,Term4_Early_Dismissal_1[[#This Row],[Elapsed]],0))</f>
        <v/>
      </c>
      <c r="H72"/>
      <c r="I72" s="136"/>
      <c r="J72" s="136"/>
      <c r="K72" s="103"/>
      <c r="L72" s="106" t="str">
        <f>IF(OR(ISBLANK(Term4_Early_Dismissal_2[[#This Row],[Start]]),ISBLANK(Term4_Early_Dismissal_2[[#This Row],[End]])),"",(Term4_Early_Dismissal_2[[#This Row],[End]]-Term4_Early_Dismissal_2[[#This Row],[Start]])*1440)</f>
        <v/>
      </c>
      <c r="M72" s="106" t="str">
        <f>IF(ISBLANK(Term4_Early_Dismissal_2[[#This Row],[Activity]]),"",IF(_xlfn.XLOOKUP(Term4_Early_Dismissal_2[[#This Row],[Activity]],Types_of_Activity[Type of Activity],Types_of_Activity[Classification])=1,Term4_Early_Dismissal_2[[#This Row],[Elapsed]],0))</f>
        <v/>
      </c>
      <c r="N72" s="106" t="str">
        <f>IF(ISBLANK(Term4_Early_Dismissal_2[[#This Row],[Activity]]),"",IF(_xlfn.XLOOKUP(Term4_Early_Dismissal_2[[#This Row],[Activity]],Types_of_Activity[Type of Activity],Types_of_Activity[Classification])=2,Term4_Early_Dismissal_2[[#This Row],[Elapsed]],0))</f>
        <v/>
      </c>
      <c r="O72"/>
      <c r="P72" s="136"/>
      <c r="Q72" s="136"/>
      <c r="R72" s="103"/>
      <c r="S72" s="106" t="str">
        <f>IF(OR(ISBLANK(Term4_Early_Dismissal_3[[#This Row],[Start]]),ISBLANK(Term4_Early_Dismissal_3[[#This Row],[End]])),"",(Term4_Early_Dismissal_3[[#This Row],[End]]-Term4_Early_Dismissal_3[[#This Row],[Start]])*1440)</f>
        <v/>
      </c>
      <c r="T72" s="106" t="str">
        <f>IF(ISBLANK(Term4_Early_Dismissal_3[[#This Row],[Activity]]),"",IF(_xlfn.XLOOKUP(Term4_Early_Dismissal_3[[#This Row],[Activity]],Types_of_Activity[Type of Activity],Types_of_Activity[Classification])=1,Term4_Early_Dismissal_3[[#This Row],[Elapsed]],0))</f>
        <v/>
      </c>
      <c r="U72" s="106" t="str">
        <f>IF(ISBLANK(Term4_Early_Dismissal_3[[#This Row],[Activity]]),"",IF(_xlfn.XLOOKUP(Term4_Early_Dismissal_3[[#This Row],[Activity]],Types_of_Activity[Type of Activity],Types_of_Activity[Classification])=2,Term4_Early_Dismissal_3[[#This Row],[Elapsed]],0))</f>
        <v/>
      </c>
      <c r="W72" s="136"/>
      <c r="X72" s="136"/>
      <c r="Y72" s="103"/>
      <c r="Z72" s="106" t="str">
        <f>IF(OR(ISBLANK(Term4_Early_Dismissal_4[[#This Row],[Start]]),ISBLANK(Term4_Early_Dismissal_4[[#This Row],[End]])),"",(Term4_Early_Dismissal_4[[#This Row],[End]]-Term4_Early_Dismissal_4[[#This Row],[Start]])*1440)</f>
        <v/>
      </c>
      <c r="AA72" s="106" t="str">
        <f>IF(ISBLANK(Term4_Early_Dismissal_4[[#This Row],[Activity]]),"",IF(_xlfn.XLOOKUP(Term4_Early_Dismissal_4[[#This Row],[Activity]],Types_of_Activity[Type of Activity],Types_of_Activity[Classification])=1,Term4_Early_Dismissal_4[[#This Row],[Elapsed]],0))</f>
        <v/>
      </c>
      <c r="AB72" s="106" t="str">
        <f>IF(ISBLANK(Term4_Early_Dismissal_4[[#This Row],[Activity]]),"",IF(_xlfn.XLOOKUP(Term4_Early_Dismissal_4[[#This Row],[Activity]],Types_of_Activity[Type of Activity],Types_of_Activity[Classification])=2,Term4_Early_Dismissal_4[[#This Row],[Elapsed]],0))</f>
        <v/>
      </c>
      <c r="AD72" s="136"/>
      <c r="AE72" s="136"/>
      <c r="AF72" s="103"/>
      <c r="AG72" s="106" t="str">
        <f>IF(OR(ISBLANK(Term4_Early_Dismissal_5[[#This Row],[Start]]),ISBLANK(Term4_Early_Dismissal_5[[#This Row],[End]])),"",(Term4_Early_Dismissal_5[[#This Row],[End]]-Term4_Early_Dismissal_5[[#This Row],[Start]])*1440)</f>
        <v/>
      </c>
      <c r="AH72" s="106" t="str">
        <f>IF(ISBLANK(Term4_Early_Dismissal_5[[#This Row],[Activity]]),"",IF(_xlfn.XLOOKUP(Term4_Early_Dismissal_5[[#This Row],[Activity]],Types_of_Activity[Type of Activity],Types_of_Activity[Classification])=1,Term4_Early_Dismissal_5[[#This Row],[Elapsed]],0))</f>
        <v/>
      </c>
      <c r="AI72" s="106" t="str">
        <f>IF(ISBLANK(Term4_Early_Dismissal_5[[#This Row],[Activity]]),"",IF(_xlfn.XLOOKUP(Term4_Early_Dismissal_5[[#This Row],[Activity]],Types_of_Activity[Type of Activity],Types_of_Activity[Classification])=2,Term4_Early_Dismissal_5[[#This Row],[Elapsed]],0))</f>
        <v/>
      </c>
      <c r="AK72" s="136"/>
      <c r="AL72" s="136"/>
      <c r="AM72" s="103"/>
      <c r="AN72" s="106" t="str">
        <f>IF(OR(ISBLANK(Term4_Early_Dismissal_6[[#This Row],[Start]]),ISBLANK(Term4_Early_Dismissal_6[[#This Row],[End]])),"",(Term4_Early_Dismissal_6[[#This Row],[End]]-Term4_Early_Dismissal_6[[#This Row],[Start]])*1440)</f>
        <v/>
      </c>
      <c r="AO72" s="106" t="str">
        <f>IF(ISBLANK(Term4_Early_Dismissal_6[[#This Row],[Activity]]),"",IF(_xlfn.XLOOKUP(Term4_Early_Dismissal_6[[#This Row],[Activity]],Types_of_Activity[Type of Activity],Types_of_Activity[Classification])=1,Term4_Early_Dismissal_6[[#This Row],[Elapsed]],0))</f>
        <v/>
      </c>
      <c r="AP72" s="106" t="str">
        <f>IF(ISBLANK(Term4_Early_Dismissal_6[[#This Row],[Activity]]),"",IF(_xlfn.XLOOKUP(Term4_Early_Dismissal_6[[#This Row],[Activity]],Types_of_Activity[Type of Activity],Types_of_Activity[Classification])=2,Term4_Early_Dismissal_6[[#This Row],[Elapsed]],0))</f>
        <v/>
      </c>
    </row>
    <row r="73" spans="2:42" x14ac:dyDescent="0.3">
      <c r="B73" s="136"/>
      <c r="C73" s="136"/>
      <c r="D73" s="103"/>
      <c r="E73" s="106" t="str">
        <f>IF(OR(ISBLANK(Term4_Early_Dismissal_1[[#This Row],[Start]]),ISBLANK(Term4_Early_Dismissal_1[[#This Row],[End]])),"",(Term4_Early_Dismissal_1[[#This Row],[End]]-Term4_Early_Dismissal_1[[#This Row],[Start]])*1440)</f>
        <v/>
      </c>
      <c r="F73" s="106" t="str">
        <f>IF(ISBLANK(Term4_Early_Dismissal_1[[#This Row],[Activity]]),"",IF(_xlfn.XLOOKUP(Term4_Early_Dismissal_1[[#This Row],[Activity]],Types_of_Activity[Type of Activity],Types_of_Activity[Classification])=1,Term4_Early_Dismissal_1[[#This Row],[Elapsed]],0))</f>
        <v/>
      </c>
      <c r="G73" s="106" t="str">
        <f>IF(ISBLANK(Term4_Early_Dismissal_1[[#This Row],[Activity]]),"",IF(_xlfn.XLOOKUP(Term4_Early_Dismissal_1[[#This Row],[Activity]],Types_of_Activity[Type of Activity],Types_of_Activity[Classification])=2,Term4_Early_Dismissal_1[[#This Row],[Elapsed]],0))</f>
        <v/>
      </c>
      <c r="H73"/>
      <c r="I73" s="136"/>
      <c r="J73" s="136"/>
      <c r="K73" s="103"/>
      <c r="L73" s="106" t="str">
        <f>IF(OR(ISBLANK(Term4_Early_Dismissal_2[[#This Row],[Start]]),ISBLANK(Term4_Early_Dismissal_2[[#This Row],[End]])),"",(Term4_Early_Dismissal_2[[#This Row],[End]]-Term4_Early_Dismissal_2[[#This Row],[Start]])*1440)</f>
        <v/>
      </c>
      <c r="M73" s="106" t="str">
        <f>IF(ISBLANK(Term4_Early_Dismissal_2[[#This Row],[Activity]]),"",IF(_xlfn.XLOOKUP(Term4_Early_Dismissal_2[[#This Row],[Activity]],Types_of_Activity[Type of Activity],Types_of_Activity[Classification])=1,Term4_Early_Dismissal_2[[#This Row],[Elapsed]],0))</f>
        <v/>
      </c>
      <c r="N73" s="106" t="str">
        <f>IF(ISBLANK(Term4_Early_Dismissal_2[[#This Row],[Activity]]),"",IF(_xlfn.XLOOKUP(Term4_Early_Dismissal_2[[#This Row],[Activity]],Types_of_Activity[Type of Activity],Types_of_Activity[Classification])=2,Term4_Early_Dismissal_2[[#This Row],[Elapsed]],0))</f>
        <v/>
      </c>
      <c r="O73"/>
      <c r="P73" s="136"/>
      <c r="Q73" s="136"/>
      <c r="R73" s="103"/>
      <c r="S73" s="106" t="str">
        <f>IF(OR(ISBLANK(Term4_Early_Dismissal_3[[#This Row],[Start]]),ISBLANK(Term4_Early_Dismissal_3[[#This Row],[End]])),"",(Term4_Early_Dismissal_3[[#This Row],[End]]-Term4_Early_Dismissal_3[[#This Row],[Start]])*1440)</f>
        <v/>
      </c>
      <c r="T73" s="106" t="str">
        <f>IF(ISBLANK(Term4_Early_Dismissal_3[[#This Row],[Activity]]),"",IF(_xlfn.XLOOKUP(Term4_Early_Dismissal_3[[#This Row],[Activity]],Types_of_Activity[Type of Activity],Types_of_Activity[Classification])=1,Term4_Early_Dismissal_3[[#This Row],[Elapsed]],0))</f>
        <v/>
      </c>
      <c r="U73" s="106" t="str">
        <f>IF(ISBLANK(Term4_Early_Dismissal_3[[#This Row],[Activity]]),"",IF(_xlfn.XLOOKUP(Term4_Early_Dismissal_3[[#This Row],[Activity]],Types_of_Activity[Type of Activity],Types_of_Activity[Classification])=2,Term4_Early_Dismissal_3[[#This Row],[Elapsed]],0))</f>
        <v/>
      </c>
      <c r="W73" s="136"/>
      <c r="X73" s="136"/>
      <c r="Y73" s="103"/>
      <c r="Z73" s="106" t="str">
        <f>IF(OR(ISBLANK(Term4_Early_Dismissal_4[[#This Row],[Start]]),ISBLANK(Term4_Early_Dismissal_4[[#This Row],[End]])),"",(Term4_Early_Dismissal_4[[#This Row],[End]]-Term4_Early_Dismissal_4[[#This Row],[Start]])*1440)</f>
        <v/>
      </c>
      <c r="AA73" s="106" t="str">
        <f>IF(ISBLANK(Term4_Early_Dismissal_4[[#This Row],[Activity]]),"",IF(_xlfn.XLOOKUP(Term4_Early_Dismissal_4[[#This Row],[Activity]],Types_of_Activity[Type of Activity],Types_of_Activity[Classification])=1,Term4_Early_Dismissal_4[[#This Row],[Elapsed]],0))</f>
        <v/>
      </c>
      <c r="AB73" s="106" t="str">
        <f>IF(ISBLANK(Term4_Early_Dismissal_4[[#This Row],[Activity]]),"",IF(_xlfn.XLOOKUP(Term4_Early_Dismissal_4[[#This Row],[Activity]],Types_of_Activity[Type of Activity],Types_of_Activity[Classification])=2,Term4_Early_Dismissal_4[[#This Row],[Elapsed]],0))</f>
        <v/>
      </c>
      <c r="AD73" s="136"/>
      <c r="AE73" s="136"/>
      <c r="AF73" s="103"/>
      <c r="AG73" s="106" t="str">
        <f>IF(OR(ISBLANK(Term4_Early_Dismissal_5[[#This Row],[Start]]),ISBLANK(Term4_Early_Dismissal_5[[#This Row],[End]])),"",(Term4_Early_Dismissal_5[[#This Row],[End]]-Term4_Early_Dismissal_5[[#This Row],[Start]])*1440)</f>
        <v/>
      </c>
      <c r="AH73" s="106" t="str">
        <f>IF(ISBLANK(Term4_Early_Dismissal_5[[#This Row],[Activity]]),"",IF(_xlfn.XLOOKUP(Term4_Early_Dismissal_5[[#This Row],[Activity]],Types_of_Activity[Type of Activity],Types_of_Activity[Classification])=1,Term4_Early_Dismissal_5[[#This Row],[Elapsed]],0))</f>
        <v/>
      </c>
      <c r="AI73" s="106" t="str">
        <f>IF(ISBLANK(Term4_Early_Dismissal_5[[#This Row],[Activity]]),"",IF(_xlfn.XLOOKUP(Term4_Early_Dismissal_5[[#This Row],[Activity]],Types_of_Activity[Type of Activity],Types_of_Activity[Classification])=2,Term4_Early_Dismissal_5[[#This Row],[Elapsed]],0))</f>
        <v/>
      </c>
      <c r="AK73" s="136"/>
      <c r="AL73" s="136"/>
      <c r="AM73" s="103"/>
      <c r="AN73" s="106" t="str">
        <f>IF(OR(ISBLANK(Term4_Early_Dismissal_6[[#This Row],[Start]]),ISBLANK(Term4_Early_Dismissal_6[[#This Row],[End]])),"",(Term4_Early_Dismissal_6[[#This Row],[End]]-Term4_Early_Dismissal_6[[#This Row],[Start]])*1440)</f>
        <v/>
      </c>
      <c r="AO73" s="106" t="str">
        <f>IF(ISBLANK(Term4_Early_Dismissal_6[[#This Row],[Activity]]),"",IF(_xlfn.XLOOKUP(Term4_Early_Dismissal_6[[#This Row],[Activity]],Types_of_Activity[Type of Activity],Types_of_Activity[Classification])=1,Term4_Early_Dismissal_6[[#This Row],[Elapsed]],0))</f>
        <v/>
      </c>
      <c r="AP73" s="106" t="str">
        <f>IF(ISBLANK(Term4_Early_Dismissal_6[[#This Row],[Activity]]),"",IF(_xlfn.XLOOKUP(Term4_Early_Dismissal_6[[#This Row],[Activity]],Types_of_Activity[Type of Activity],Types_of_Activity[Classification])=2,Term4_Early_Dismissal_6[[#This Row],[Elapsed]],0))</f>
        <v/>
      </c>
    </row>
    <row r="74" spans="2:42" x14ac:dyDescent="0.3">
      <c r="B74" s="136"/>
      <c r="C74" s="136"/>
      <c r="D74" s="103"/>
      <c r="E74" s="106" t="str">
        <f>IF(OR(ISBLANK(Term4_Early_Dismissal_1[[#This Row],[Start]]),ISBLANK(Term4_Early_Dismissal_1[[#This Row],[End]])),"",(Term4_Early_Dismissal_1[[#This Row],[End]]-Term4_Early_Dismissal_1[[#This Row],[Start]])*1440)</f>
        <v/>
      </c>
      <c r="F74" s="106" t="str">
        <f>IF(ISBLANK(Term4_Early_Dismissal_1[[#This Row],[Activity]]),"",IF(_xlfn.XLOOKUP(Term4_Early_Dismissal_1[[#This Row],[Activity]],Types_of_Activity[Type of Activity],Types_of_Activity[Classification])=1,Term4_Early_Dismissal_1[[#This Row],[Elapsed]],0))</f>
        <v/>
      </c>
      <c r="G74" s="106" t="str">
        <f>IF(ISBLANK(Term4_Early_Dismissal_1[[#This Row],[Activity]]),"",IF(_xlfn.XLOOKUP(Term4_Early_Dismissal_1[[#This Row],[Activity]],Types_of_Activity[Type of Activity],Types_of_Activity[Classification])=2,Term4_Early_Dismissal_1[[#This Row],[Elapsed]],0))</f>
        <v/>
      </c>
      <c r="H74"/>
      <c r="I74" s="136"/>
      <c r="J74" s="136"/>
      <c r="K74" s="103"/>
      <c r="L74" s="106" t="str">
        <f>IF(OR(ISBLANK(Term4_Early_Dismissal_2[[#This Row],[Start]]),ISBLANK(Term4_Early_Dismissal_2[[#This Row],[End]])),"",(Term4_Early_Dismissal_2[[#This Row],[End]]-Term4_Early_Dismissal_2[[#This Row],[Start]])*1440)</f>
        <v/>
      </c>
      <c r="M74" s="106" t="str">
        <f>IF(ISBLANK(Term4_Early_Dismissal_2[[#This Row],[Activity]]),"",IF(_xlfn.XLOOKUP(Term4_Early_Dismissal_2[[#This Row],[Activity]],Types_of_Activity[Type of Activity],Types_of_Activity[Classification])=1,Term4_Early_Dismissal_2[[#This Row],[Elapsed]],0))</f>
        <v/>
      </c>
      <c r="N74" s="106" t="str">
        <f>IF(ISBLANK(Term4_Early_Dismissal_2[[#This Row],[Activity]]),"",IF(_xlfn.XLOOKUP(Term4_Early_Dismissal_2[[#This Row],[Activity]],Types_of_Activity[Type of Activity],Types_of_Activity[Classification])=2,Term4_Early_Dismissal_2[[#This Row],[Elapsed]],0))</f>
        <v/>
      </c>
      <c r="O74"/>
      <c r="P74" s="136"/>
      <c r="Q74" s="136"/>
      <c r="R74" s="103"/>
      <c r="S74" s="106" t="str">
        <f>IF(OR(ISBLANK(Term4_Early_Dismissal_3[[#This Row],[Start]]),ISBLANK(Term4_Early_Dismissal_3[[#This Row],[End]])),"",(Term4_Early_Dismissal_3[[#This Row],[End]]-Term4_Early_Dismissal_3[[#This Row],[Start]])*1440)</f>
        <v/>
      </c>
      <c r="T74" s="106" t="str">
        <f>IF(ISBLANK(Term4_Early_Dismissal_3[[#This Row],[Activity]]),"",IF(_xlfn.XLOOKUP(Term4_Early_Dismissal_3[[#This Row],[Activity]],Types_of_Activity[Type of Activity],Types_of_Activity[Classification])=1,Term4_Early_Dismissal_3[[#This Row],[Elapsed]],0))</f>
        <v/>
      </c>
      <c r="U74" s="106" t="str">
        <f>IF(ISBLANK(Term4_Early_Dismissal_3[[#This Row],[Activity]]),"",IF(_xlfn.XLOOKUP(Term4_Early_Dismissal_3[[#This Row],[Activity]],Types_of_Activity[Type of Activity],Types_of_Activity[Classification])=2,Term4_Early_Dismissal_3[[#This Row],[Elapsed]],0))</f>
        <v/>
      </c>
      <c r="W74" s="136"/>
      <c r="X74" s="136"/>
      <c r="Y74" s="103"/>
      <c r="Z74" s="106" t="str">
        <f>IF(OR(ISBLANK(Term4_Early_Dismissal_4[[#This Row],[Start]]),ISBLANK(Term4_Early_Dismissal_4[[#This Row],[End]])),"",(Term4_Early_Dismissal_4[[#This Row],[End]]-Term4_Early_Dismissal_4[[#This Row],[Start]])*1440)</f>
        <v/>
      </c>
      <c r="AA74" s="106" t="str">
        <f>IF(ISBLANK(Term4_Early_Dismissal_4[[#This Row],[Activity]]),"",IF(_xlfn.XLOOKUP(Term4_Early_Dismissal_4[[#This Row],[Activity]],Types_of_Activity[Type of Activity],Types_of_Activity[Classification])=1,Term4_Early_Dismissal_4[[#This Row],[Elapsed]],0))</f>
        <v/>
      </c>
      <c r="AB74" s="106" t="str">
        <f>IF(ISBLANK(Term4_Early_Dismissal_4[[#This Row],[Activity]]),"",IF(_xlfn.XLOOKUP(Term4_Early_Dismissal_4[[#This Row],[Activity]],Types_of_Activity[Type of Activity],Types_of_Activity[Classification])=2,Term4_Early_Dismissal_4[[#This Row],[Elapsed]],0))</f>
        <v/>
      </c>
      <c r="AD74" s="136"/>
      <c r="AE74" s="136"/>
      <c r="AF74" s="103"/>
      <c r="AG74" s="106" t="str">
        <f>IF(OR(ISBLANK(Term4_Early_Dismissal_5[[#This Row],[Start]]),ISBLANK(Term4_Early_Dismissal_5[[#This Row],[End]])),"",(Term4_Early_Dismissal_5[[#This Row],[End]]-Term4_Early_Dismissal_5[[#This Row],[Start]])*1440)</f>
        <v/>
      </c>
      <c r="AH74" s="106" t="str">
        <f>IF(ISBLANK(Term4_Early_Dismissal_5[[#This Row],[Activity]]),"",IF(_xlfn.XLOOKUP(Term4_Early_Dismissal_5[[#This Row],[Activity]],Types_of_Activity[Type of Activity],Types_of_Activity[Classification])=1,Term4_Early_Dismissal_5[[#This Row],[Elapsed]],0))</f>
        <v/>
      </c>
      <c r="AI74" s="106" t="str">
        <f>IF(ISBLANK(Term4_Early_Dismissal_5[[#This Row],[Activity]]),"",IF(_xlfn.XLOOKUP(Term4_Early_Dismissal_5[[#This Row],[Activity]],Types_of_Activity[Type of Activity],Types_of_Activity[Classification])=2,Term4_Early_Dismissal_5[[#This Row],[Elapsed]],0))</f>
        <v/>
      </c>
      <c r="AK74" s="136"/>
      <c r="AL74" s="136"/>
      <c r="AM74" s="103"/>
      <c r="AN74" s="106" t="str">
        <f>IF(OR(ISBLANK(Term4_Early_Dismissal_6[[#This Row],[Start]]),ISBLANK(Term4_Early_Dismissal_6[[#This Row],[End]])),"",(Term4_Early_Dismissal_6[[#This Row],[End]]-Term4_Early_Dismissal_6[[#This Row],[Start]])*1440)</f>
        <v/>
      </c>
      <c r="AO74" s="106" t="str">
        <f>IF(ISBLANK(Term4_Early_Dismissal_6[[#This Row],[Activity]]),"",IF(_xlfn.XLOOKUP(Term4_Early_Dismissal_6[[#This Row],[Activity]],Types_of_Activity[Type of Activity],Types_of_Activity[Classification])=1,Term4_Early_Dismissal_6[[#This Row],[Elapsed]],0))</f>
        <v/>
      </c>
      <c r="AP74" s="106" t="str">
        <f>IF(ISBLANK(Term4_Early_Dismissal_6[[#This Row],[Activity]]),"",IF(_xlfn.XLOOKUP(Term4_Early_Dismissal_6[[#This Row],[Activity]],Types_of_Activity[Type of Activity],Types_of_Activity[Classification])=2,Term4_Early_Dismissal_6[[#This Row],[Elapsed]],0))</f>
        <v/>
      </c>
    </row>
    <row r="75" spans="2:42" x14ac:dyDescent="0.3">
      <c r="B75" s="136"/>
      <c r="C75" s="136"/>
      <c r="D75" s="103"/>
      <c r="E75" s="106" t="str">
        <f>IF(OR(ISBLANK(Term4_Early_Dismissal_1[[#This Row],[Start]]),ISBLANK(Term4_Early_Dismissal_1[[#This Row],[End]])),"",(Term4_Early_Dismissal_1[[#This Row],[End]]-Term4_Early_Dismissal_1[[#This Row],[Start]])*1440)</f>
        <v/>
      </c>
      <c r="F75" s="106" t="str">
        <f>IF(ISBLANK(Term4_Early_Dismissal_1[[#This Row],[Activity]]),"",IF(_xlfn.XLOOKUP(Term4_Early_Dismissal_1[[#This Row],[Activity]],Types_of_Activity[Type of Activity],Types_of_Activity[Classification])=1,Term4_Early_Dismissal_1[[#This Row],[Elapsed]],0))</f>
        <v/>
      </c>
      <c r="G75" s="106" t="str">
        <f>IF(ISBLANK(Term4_Early_Dismissal_1[[#This Row],[Activity]]),"",IF(_xlfn.XLOOKUP(Term4_Early_Dismissal_1[[#This Row],[Activity]],Types_of_Activity[Type of Activity],Types_of_Activity[Classification])=2,Term4_Early_Dismissal_1[[#This Row],[Elapsed]],0))</f>
        <v/>
      </c>
      <c r="H75"/>
      <c r="I75" s="136"/>
      <c r="J75" s="136"/>
      <c r="K75" s="103"/>
      <c r="L75" s="106" t="str">
        <f>IF(OR(ISBLANK(Term4_Early_Dismissal_2[[#This Row],[Start]]),ISBLANK(Term4_Early_Dismissal_2[[#This Row],[End]])),"",(Term4_Early_Dismissal_2[[#This Row],[End]]-Term4_Early_Dismissal_2[[#This Row],[Start]])*1440)</f>
        <v/>
      </c>
      <c r="M75" s="106" t="str">
        <f>IF(ISBLANK(Term4_Early_Dismissal_2[[#This Row],[Activity]]),"",IF(_xlfn.XLOOKUP(Term4_Early_Dismissal_2[[#This Row],[Activity]],Types_of_Activity[Type of Activity],Types_of_Activity[Classification])=1,Term4_Early_Dismissal_2[[#This Row],[Elapsed]],0))</f>
        <v/>
      </c>
      <c r="N75" s="106" t="str">
        <f>IF(ISBLANK(Term4_Early_Dismissal_2[[#This Row],[Activity]]),"",IF(_xlfn.XLOOKUP(Term4_Early_Dismissal_2[[#This Row],[Activity]],Types_of_Activity[Type of Activity],Types_of_Activity[Classification])=2,Term4_Early_Dismissal_2[[#This Row],[Elapsed]],0))</f>
        <v/>
      </c>
      <c r="O75"/>
      <c r="P75" s="136"/>
      <c r="Q75" s="136"/>
      <c r="R75" s="103"/>
      <c r="S75" s="106" t="str">
        <f>IF(OR(ISBLANK(Term4_Early_Dismissal_3[[#This Row],[Start]]),ISBLANK(Term4_Early_Dismissal_3[[#This Row],[End]])),"",(Term4_Early_Dismissal_3[[#This Row],[End]]-Term4_Early_Dismissal_3[[#This Row],[Start]])*1440)</f>
        <v/>
      </c>
      <c r="T75" s="106" t="str">
        <f>IF(ISBLANK(Term4_Early_Dismissal_3[[#This Row],[Activity]]),"",IF(_xlfn.XLOOKUP(Term4_Early_Dismissal_3[[#This Row],[Activity]],Types_of_Activity[Type of Activity],Types_of_Activity[Classification])=1,Term4_Early_Dismissal_3[[#This Row],[Elapsed]],0))</f>
        <v/>
      </c>
      <c r="U75" s="106" t="str">
        <f>IF(ISBLANK(Term4_Early_Dismissal_3[[#This Row],[Activity]]),"",IF(_xlfn.XLOOKUP(Term4_Early_Dismissal_3[[#This Row],[Activity]],Types_of_Activity[Type of Activity],Types_of_Activity[Classification])=2,Term4_Early_Dismissal_3[[#This Row],[Elapsed]],0))</f>
        <v/>
      </c>
      <c r="W75" s="136"/>
      <c r="X75" s="136"/>
      <c r="Y75" s="103"/>
      <c r="Z75" s="106" t="str">
        <f>IF(OR(ISBLANK(Term4_Early_Dismissal_4[[#This Row],[Start]]),ISBLANK(Term4_Early_Dismissal_4[[#This Row],[End]])),"",(Term4_Early_Dismissal_4[[#This Row],[End]]-Term4_Early_Dismissal_4[[#This Row],[Start]])*1440)</f>
        <v/>
      </c>
      <c r="AA75" s="106" t="str">
        <f>IF(ISBLANK(Term4_Early_Dismissal_4[[#This Row],[Activity]]),"",IF(_xlfn.XLOOKUP(Term4_Early_Dismissal_4[[#This Row],[Activity]],Types_of_Activity[Type of Activity],Types_of_Activity[Classification])=1,Term4_Early_Dismissal_4[[#This Row],[Elapsed]],0))</f>
        <v/>
      </c>
      <c r="AB75" s="106" t="str">
        <f>IF(ISBLANK(Term4_Early_Dismissal_4[[#This Row],[Activity]]),"",IF(_xlfn.XLOOKUP(Term4_Early_Dismissal_4[[#This Row],[Activity]],Types_of_Activity[Type of Activity],Types_of_Activity[Classification])=2,Term4_Early_Dismissal_4[[#This Row],[Elapsed]],0))</f>
        <v/>
      </c>
      <c r="AD75" s="136"/>
      <c r="AE75" s="136"/>
      <c r="AF75" s="103"/>
      <c r="AG75" s="106" t="str">
        <f>IF(OR(ISBLANK(Term4_Early_Dismissal_5[[#This Row],[Start]]),ISBLANK(Term4_Early_Dismissal_5[[#This Row],[End]])),"",(Term4_Early_Dismissal_5[[#This Row],[End]]-Term4_Early_Dismissal_5[[#This Row],[Start]])*1440)</f>
        <v/>
      </c>
      <c r="AH75" s="106" t="str">
        <f>IF(ISBLANK(Term4_Early_Dismissal_5[[#This Row],[Activity]]),"",IF(_xlfn.XLOOKUP(Term4_Early_Dismissal_5[[#This Row],[Activity]],Types_of_Activity[Type of Activity],Types_of_Activity[Classification])=1,Term4_Early_Dismissal_5[[#This Row],[Elapsed]],0))</f>
        <v/>
      </c>
      <c r="AI75" s="106" t="str">
        <f>IF(ISBLANK(Term4_Early_Dismissal_5[[#This Row],[Activity]]),"",IF(_xlfn.XLOOKUP(Term4_Early_Dismissal_5[[#This Row],[Activity]],Types_of_Activity[Type of Activity],Types_of_Activity[Classification])=2,Term4_Early_Dismissal_5[[#This Row],[Elapsed]],0))</f>
        <v/>
      </c>
      <c r="AK75" s="136"/>
      <c r="AL75" s="136"/>
      <c r="AM75" s="103"/>
      <c r="AN75" s="106" t="str">
        <f>IF(OR(ISBLANK(Term4_Early_Dismissal_6[[#This Row],[Start]]),ISBLANK(Term4_Early_Dismissal_6[[#This Row],[End]])),"",(Term4_Early_Dismissal_6[[#This Row],[End]]-Term4_Early_Dismissal_6[[#This Row],[Start]])*1440)</f>
        <v/>
      </c>
      <c r="AO75" s="106" t="str">
        <f>IF(ISBLANK(Term4_Early_Dismissal_6[[#This Row],[Activity]]),"",IF(_xlfn.XLOOKUP(Term4_Early_Dismissal_6[[#This Row],[Activity]],Types_of_Activity[Type of Activity],Types_of_Activity[Classification])=1,Term4_Early_Dismissal_6[[#This Row],[Elapsed]],0))</f>
        <v/>
      </c>
      <c r="AP75" s="106" t="str">
        <f>IF(ISBLANK(Term4_Early_Dismissal_6[[#This Row],[Activity]]),"",IF(_xlfn.XLOOKUP(Term4_Early_Dismissal_6[[#This Row],[Activity]],Types_of_Activity[Type of Activity],Types_of_Activity[Classification])=2,Term4_Early_Dismissal_6[[#This Row],[Elapsed]],0))</f>
        <v/>
      </c>
    </row>
    <row r="76" spans="2:42" x14ac:dyDescent="0.3">
      <c r="B76" s="136"/>
      <c r="C76" s="136"/>
      <c r="D76" s="103"/>
      <c r="E76" s="106" t="str">
        <f>IF(OR(ISBLANK(Term4_Early_Dismissal_1[[#This Row],[Start]]),ISBLANK(Term4_Early_Dismissal_1[[#This Row],[End]])),"",(Term4_Early_Dismissal_1[[#This Row],[End]]-Term4_Early_Dismissal_1[[#This Row],[Start]])*1440)</f>
        <v/>
      </c>
      <c r="F76" s="106" t="str">
        <f>IF(ISBLANK(Term4_Early_Dismissal_1[[#This Row],[Activity]]),"",IF(_xlfn.XLOOKUP(Term4_Early_Dismissal_1[[#This Row],[Activity]],Types_of_Activity[Type of Activity],Types_of_Activity[Classification])=1,Term4_Early_Dismissal_1[[#This Row],[Elapsed]],0))</f>
        <v/>
      </c>
      <c r="G76" s="106" t="str">
        <f>IF(ISBLANK(Term4_Early_Dismissal_1[[#This Row],[Activity]]),"",IF(_xlfn.XLOOKUP(Term4_Early_Dismissal_1[[#This Row],[Activity]],Types_of_Activity[Type of Activity],Types_of_Activity[Classification])=2,Term4_Early_Dismissal_1[[#This Row],[Elapsed]],0))</f>
        <v/>
      </c>
      <c r="H76"/>
      <c r="I76" s="136"/>
      <c r="J76" s="136"/>
      <c r="K76" s="103"/>
      <c r="L76" s="106" t="str">
        <f>IF(OR(ISBLANK(Term4_Early_Dismissal_2[[#This Row],[Start]]),ISBLANK(Term4_Early_Dismissal_2[[#This Row],[End]])),"",(Term4_Early_Dismissal_2[[#This Row],[End]]-Term4_Early_Dismissal_2[[#This Row],[Start]])*1440)</f>
        <v/>
      </c>
      <c r="M76" s="106" t="str">
        <f>IF(ISBLANK(Term4_Early_Dismissal_2[[#This Row],[Activity]]),"",IF(_xlfn.XLOOKUP(Term4_Early_Dismissal_2[[#This Row],[Activity]],Types_of_Activity[Type of Activity],Types_of_Activity[Classification])=1,Term4_Early_Dismissal_2[[#This Row],[Elapsed]],0))</f>
        <v/>
      </c>
      <c r="N76" s="106" t="str">
        <f>IF(ISBLANK(Term4_Early_Dismissal_2[[#This Row],[Activity]]),"",IF(_xlfn.XLOOKUP(Term4_Early_Dismissal_2[[#This Row],[Activity]],Types_of_Activity[Type of Activity],Types_of_Activity[Classification])=2,Term4_Early_Dismissal_2[[#This Row],[Elapsed]],0))</f>
        <v/>
      </c>
      <c r="O76"/>
      <c r="P76" s="136"/>
      <c r="Q76" s="136"/>
      <c r="R76" s="103"/>
      <c r="S76" s="106" t="str">
        <f>IF(OR(ISBLANK(Term4_Early_Dismissal_3[[#This Row],[Start]]),ISBLANK(Term4_Early_Dismissal_3[[#This Row],[End]])),"",(Term4_Early_Dismissal_3[[#This Row],[End]]-Term4_Early_Dismissal_3[[#This Row],[Start]])*1440)</f>
        <v/>
      </c>
      <c r="T76" s="106" t="str">
        <f>IF(ISBLANK(Term4_Early_Dismissal_3[[#This Row],[Activity]]),"",IF(_xlfn.XLOOKUP(Term4_Early_Dismissal_3[[#This Row],[Activity]],Types_of_Activity[Type of Activity],Types_of_Activity[Classification])=1,Term4_Early_Dismissal_3[[#This Row],[Elapsed]],0))</f>
        <v/>
      </c>
      <c r="U76" s="106" t="str">
        <f>IF(ISBLANK(Term4_Early_Dismissal_3[[#This Row],[Activity]]),"",IF(_xlfn.XLOOKUP(Term4_Early_Dismissal_3[[#This Row],[Activity]],Types_of_Activity[Type of Activity],Types_of_Activity[Classification])=2,Term4_Early_Dismissal_3[[#This Row],[Elapsed]],0))</f>
        <v/>
      </c>
      <c r="W76" s="136"/>
      <c r="X76" s="136"/>
      <c r="Y76" s="103"/>
      <c r="Z76" s="106" t="str">
        <f>IF(OR(ISBLANK(Term4_Early_Dismissal_4[[#This Row],[Start]]),ISBLANK(Term4_Early_Dismissal_4[[#This Row],[End]])),"",(Term4_Early_Dismissal_4[[#This Row],[End]]-Term4_Early_Dismissal_4[[#This Row],[Start]])*1440)</f>
        <v/>
      </c>
      <c r="AA76" s="106" t="str">
        <f>IF(ISBLANK(Term4_Early_Dismissal_4[[#This Row],[Activity]]),"",IF(_xlfn.XLOOKUP(Term4_Early_Dismissal_4[[#This Row],[Activity]],Types_of_Activity[Type of Activity],Types_of_Activity[Classification])=1,Term4_Early_Dismissal_4[[#This Row],[Elapsed]],0))</f>
        <v/>
      </c>
      <c r="AB76" s="106" t="str">
        <f>IF(ISBLANK(Term4_Early_Dismissal_4[[#This Row],[Activity]]),"",IF(_xlfn.XLOOKUP(Term4_Early_Dismissal_4[[#This Row],[Activity]],Types_of_Activity[Type of Activity],Types_of_Activity[Classification])=2,Term4_Early_Dismissal_4[[#This Row],[Elapsed]],0))</f>
        <v/>
      </c>
      <c r="AD76" s="136"/>
      <c r="AE76" s="136"/>
      <c r="AF76" s="103"/>
      <c r="AG76" s="106" t="str">
        <f>IF(OR(ISBLANK(Term4_Early_Dismissal_5[[#This Row],[Start]]),ISBLANK(Term4_Early_Dismissal_5[[#This Row],[End]])),"",(Term4_Early_Dismissal_5[[#This Row],[End]]-Term4_Early_Dismissal_5[[#This Row],[Start]])*1440)</f>
        <v/>
      </c>
      <c r="AH76" s="106" t="str">
        <f>IF(ISBLANK(Term4_Early_Dismissal_5[[#This Row],[Activity]]),"",IF(_xlfn.XLOOKUP(Term4_Early_Dismissal_5[[#This Row],[Activity]],Types_of_Activity[Type of Activity],Types_of_Activity[Classification])=1,Term4_Early_Dismissal_5[[#This Row],[Elapsed]],0))</f>
        <v/>
      </c>
      <c r="AI76" s="106" t="str">
        <f>IF(ISBLANK(Term4_Early_Dismissal_5[[#This Row],[Activity]]),"",IF(_xlfn.XLOOKUP(Term4_Early_Dismissal_5[[#This Row],[Activity]],Types_of_Activity[Type of Activity],Types_of_Activity[Classification])=2,Term4_Early_Dismissal_5[[#This Row],[Elapsed]],0))</f>
        <v/>
      </c>
      <c r="AK76" s="136"/>
      <c r="AL76" s="136"/>
      <c r="AM76" s="103"/>
      <c r="AN76" s="106" t="str">
        <f>IF(OR(ISBLANK(Term4_Early_Dismissal_6[[#This Row],[Start]]),ISBLANK(Term4_Early_Dismissal_6[[#This Row],[End]])),"",(Term4_Early_Dismissal_6[[#This Row],[End]]-Term4_Early_Dismissal_6[[#This Row],[Start]])*1440)</f>
        <v/>
      </c>
      <c r="AO76" s="106" t="str">
        <f>IF(ISBLANK(Term4_Early_Dismissal_6[[#This Row],[Activity]]),"",IF(_xlfn.XLOOKUP(Term4_Early_Dismissal_6[[#This Row],[Activity]],Types_of_Activity[Type of Activity],Types_of_Activity[Classification])=1,Term4_Early_Dismissal_6[[#This Row],[Elapsed]],0))</f>
        <v/>
      </c>
      <c r="AP76" s="106" t="str">
        <f>IF(ISBLANK(Term4_Early_Dismissal_6[[#This Row],[Activity]]),"",IF(_xlfn.XLOOKUP(Term4_Early_Dismissal_6[[#This Row],[Activity]],Types_of_Activity[Type of Activity],Types_of_Activity[Classification])=2,Term4_Early_Dismissal_6[[#This Row],[Elapsed]],0))</f>
        <v/>
      </c>
    </row>
    <row r="77" spans="2:42" x14ac:dyDescent="0.3">
      <c r="B77" s="136"/>
      <c r="C77" s="136"/>
      <c r="D77" s="103"/>
      <c r="E77" s="106" t="str">
        <f>IF(OR(ISBLANK(Term4_Early_Dismissal_1[[#This Row],[Start]]),ISBLANK(Term4_Early_Dismissal_1[[#This Row],[End]])),"",(Term4_Early_Dismissal_1[[#This Row],[End]]-Term4_Early_Dismissal_1[[#This Row],[Start]])*1440)</f>
        <v/>
      </c>
      <c r="F77" s="106" t="str">
        <f>IF(ISBLANK(Term4_Early_Dismissal_1[[#This Row],[Activity]]),"",IF(_xlfn.XLOOKUP(Term4_Early_Dismissal_1[[#This Row],[Activity]],Types_of_Activity[Type of Activity],Types_of_Activity[Classification])=1,Term4_Early_Dismissal_1[[#This Row],[Elapsed]],0))</f>
        <v/>
      </c>
      <c r="G77" s="106" t="str">
        <f>IF(ISBLANK(Term4_Early_Dismissal_1[[#This Row],[Activity]]),"",IF(_xlfn.XLOOKUP(Term4_Early_Dismissal_1[[#This Row],[Activity]],Types_of_Activity[Type of Activity],Types_of_Activity[Classification])=2,Term4_Early_Dismissal_1[[#This Row],[Elapsed]],0))</f>
        <v/>
      </c>
      <c r="H77"/>
      <c r="I77" s="136"/>
      <c r="J77" s="136"/>
      <c r="K77" s="103"/>
      <c r="L77" s="106" t="str">
        <f>IF(OR(ISBLANK(Term4_Early_Dismissal_2[[#This Row],[Start]]),ISBLANK(Term4_Early_Dismissal_2[[#This Row],[End]])),"",(Term4_Early_Dismissal_2[[#This Row],[End]]-Term4_Early_Dismissal_2[[#This Row],[Start]])*1440)</f>
        <v/>
      </c>
      <c r="M77" s="106" t="str">
        <f>IF(ISBLANK(Term4_Early_Dismissal_2[[#This Row],[Activity]]),"",IF(_xlfn.XLOOKUP(Term4_Early_Dismissal_2[[#This Row],[Activity]],Types_of_Activity[Type of Activity],Types_of_Activity[Classification])=1,Term4_Early_Dismissal_2[[#This Row],[Elapsed]],0))</f>
        <v/>
      </c>
      <c r="N77" s="106" t="str">
        <f>IF(ISBLANK(Term4_Early_Dismissal_2[[#This Row],[Activity]]),"",IF(_xlfn.XLOOKUP(Term4_Early_Dismissal_2[[#This Row],[Activity]],Types_of_Activity[Type of Activity],Types_of_Activity[Classification])=2,Term4_Early_Dismissal_2[[#This Row],[Elapsed]],0))</f>
        <v/>
      </c>
      <c r="O77"/>
      <c r="P77" s="136"/>
      <c r="Q77" s="136"/>
      <c r="R77" s="103"/>
      <c r="S77" s="106" t="str">
        <f>IF(OR(ISBLANK(Term4_Early_Dismissal_3[[#This Row],[Start]]),ISBLANK(Term4_Early_Dismissal_3[[#This Row],[End]])),"",(Term4_Early_Dismissal_3[[#This Row],[End]]-Term4_Early_Dismissal_3[[#This Row],[Start]])*1440)</f>
        <v/>
      </c>
      <c r="T77" s="106" t="str">
        <f>IF(ISBLANK(Term4_Early_Dismissal_3[[#This Row],[Activity]]),"",IF(_xlfn.XLOOKUP(Term4_Early_Dismissal_3[[#This Row],[Activity]],Types_of_Activity[Type of Activity],Types_of_Activity[Classification])=1,Term4_Early_Dismissal_3[[#This Row],[Elapsed]],0))</f>
        <v/>
      </c>
      <c r="U77" s="106" t="str">
        <f>IF(ISBLANK(Term4_Early_Dismissal_3[[#This Row],[Activity]]),"",IF(_xlfn.XLOOKUP(Term4_Early_Dismissal_3[[#This Row],[Activity]],Types_of_Activity[Type of Activity],Types_of_Activity[Classification])=2,Term4_Early_Dismissal_3[[#This Row],[Elapsed]],0))</f>
        <v/>
      </c>
      <c r="W77" s="136"/>
      <c r="X77" s="136"/>
      <c r="Y77" s="103"/>
      <c r="Z77" s="106" t="str">
        <f>IF(OR(ISBLANK(Term4_Early_Dismissal_4[[#This Row],[Start]]),ISBLANK(Term4_Early_Dismissal_4[[#This Row],[End]])),"",(Term4_Early_Dismissal_4[[#This Row],[End]]-Term4_Early_Dismissal_4[[#This Row],[Start]])*1440)</f>
        <v/>
      </c>
      <c r="AA77" s="106" t="str">
        <f>IF(ISBLANK(Term4_Early_Dismissal_4[[#This Row],[Activity]]),"",IF(_xlfn.XLOOKUP(Term4_Early_Dismissal_4[[#This Row],[Activity]],Types_of_Activity[Type of Activity],Types_of_Activity[Classification])=1,Term4_Early_Dismissal_4[[#This Row],[Elapsed]],0))</f>
        <v/>
      </c>
      <c r="AB77" s="106" t="str">
        <f>IF(ISBLANK(Term4_Early_Dismissal_4[[#This Row],[Activity]]),"",IF(_xlfn.XLOOKUP(Term4_Early_Dismissal_4[[#This Row],[Activity]],Types_of_Activity[Type of Activity],Types_of_Activity[Classification])=2,Term4_Early_Dismissal_4[[#This Row],[Elapsed]],0))</f>
        <v/>
      </c>
      <c r="AD77" s="136"/>
      <c r="AE77" s="136"/>
      <c r="AF77" s="103"/>
      <c r="AG77" s="106" t="str">
        <f>IF(OR(ISBLANK(Term4_Early_Dismissal_5[[#This Row],[Start]]),ISBLANK(Term4_Early_Dismissal_5[[#This Row],[End]])),"",(Term4_Early_Dismissal_5[[#This Row],[End]]-Term4_Early_Dismissal_5[[#This Row],[Start]])*1440)</f>
        <v/>
      </c>
      <c r="AH77" s="106" t="str">
        <f>IF(ISBLANK(Term4_Early_Dismissal_5[[#This Row],[Activity]]),"",IF(_xlfn.XLOOKUP(Term4_Early_Dismissal_5[[#This Row],[Activity]],Types_of_Activity[Type of Activity],Types_of_Activity[Classification])=1,Term4_Early_Dismissal_5[[#This Row],[Elapsed]],0))</f>
        <v/>
      </c>
      <c r="AI77" s="106" t="str">
        <f>IF(ISBLANK(Term4_Early_Dismissal_5[[#This Row],[Activity]]),"",IF(_xlfn.XLOOKUP(Term4_Early_Dismissal_5[[#This Row],[Activity]],Types_of_Activity[Type of Activity],Types_of_Activity[Classification])=2,Term4_Early_Dismissal_5[[#This Row],[Elapsed]],0))</f>
        <v/>
      </c>
      <c r="AK77" s="136"/>
      <c r="AL77" s="136"/>
      <c r="AM77" s="103"/>
      <c r="AN77" s="106" t="str">
        <f>IF(OR(ISBLANK(Term4_Early_Dismissal_6[[#This Row],[Start]]),ISBLANK(Term4_Early_Dismissal_6[[#This Row],[End]])),"",(Term4_Early_Dismissal_6[[#This Row],[End]]-Term4_Early_Dismissal_6[[#This Row],[Start]])*1440)</f>
        <v/>
      </c>
      <c r="AO77" s="106" t="str">
        <f>IF(ISBLANK(Term4_Early_Dismissal_6[[#This Row],[Activity]]),"",IF(_xlfn.XLOOKUP(Term4_Early_Dismissal_6[[#This Row],[Activity]],Types_of_Activity[Type of Activity],Types_of_Activity[Classification])=1,Term4_Early_Dismissal_6[[#This Row],[Elapsed]],0))</f>
        <v/>
      </c>
      <c r="AP77" s="106" t="str">
        <f>IF(ISBLANK(Term4_Early_Dismissal_6[[#This Row],[Activity]]),"",IF(_xlfn.XLOOKUP(Term4_Early_Dismissal_6[[#This Row],[Activity]],Types_of_Activity[Type of Activity],Types_of_Activity[Classification])=2,Term4_Early_Dismissal_6[[#This Row],[Elapsed]],0))</f>
        <v/>
      </c>
    </row>
    <row r="78" spans="2:42" x14ac:dyDescent="0.3">
      <c r="B78" s="136"/>
      <c r="C78" s="136"/>
      <c r="D78" s="103"/>
      <c r="E78" s="106" t="str">
        <f>IF(OR(ISBLANK(Term4_Early_Dismissal_1[[#This Row],[Start]]),ISBLANK(Term4_Early_Dismissal_1[[#This Row],[End]])),"",(Term4_Early_Dismissal_1[[#This Row],[End]]-Term4_Early_Dismissal_1[[#This Row],[Start]])*1440)</f>
        <v/>
      </c>
      <c r="F78" s="106" t="str">
        <f>IF(ISBLANK(Term4_Early_Dismissal_1[[#This Row],[Activity]]),"",IF(_xlfn.XLOOKUP(Term4_Early_Dismissal_1[[#This Row],[Activity]],Types_of_Activity[Type of Activity],Types_of_Activity[Classification])=1,Term4_Early_Dismissal_1[[#This Row],[Elapsed]],0))</f>
        <v/>
      </c>
      <c r="G78" s="106" t="str">
        <f>IF(ISBLANK(Term4_Early_Dismissal_1[[#This Row],[Activity]]),"",IF(_xlfn.XLOOKUP(Term4_Early_Dismissal_1[[#This Row],[Activity]],Types_of_Activity[Type of Activity],Types_of_Activity[Classification])=2,Term4_Early_Dismissal_1[[#This Row],[Elapsed]],0))</f>
        <v/>
      </c>
      <c r="H78"/>
      <c r="I78" s="136"/>
      <c r="J78" s="136"/>
      <c r="K78" s="103"/>
      <c r="L78" s="106" t="str">
        <f>IF(OR(ISBLANK(Term4_Early_Dismissal_2[[#This Row],[Start]]),ISBLANK(Term4_Early_Dismissal_2[[#This Row],[End]])),"",(Term4_Early_Dismissal_2[[#This Row],[End]]-Term4_Early_Dismissal_2[[#This Row],[Start]])*1440)</f>
        <v/>
      </c>
      <c r="M78" s="106" t="str">
        <f>IF(ISBLANK(Term4_Early_Dismissal_2[[#This Row],[Activity]]),"",IF(_xlfn.XLOOKUP(Term4_Early_Dismissal_2[[#This Row],[Activity]],Types_of_Activity[Type of Activity],Types_of_Activity[Classification])=1,Term4_Early_Dismissal_2[[#This Row],[Elapsed]],0))</f>
        <v/>
      </c>
      <c r="N78" s="106" t="str">
        <f>IF(ISBLANK(Term4_Early_Dismissal_2[[#This Row],[Activity]]),"",IF(_xlfn.XLOOKUP(Term4_Early_Dismissal_2[[#This Row],[Activity]],Types_of_Activity[Type of Activity],Types_of_Activity[Classification])=2,Term4_Early_Dismissal_2[[#This Row],[Elapsed]],0))</f>
        <v/>
      </c>
      <c r="O78"/>
      <c r="P78" s="136"/>
      <c r="Q78" s="136"/>
      <c r="R78" s="103"/>
      <c r="S78" s="106" t="str">
        <f>IF(OR(ISBLANK(Term4_Early_Dismissal_3[[#This Row],[Start]]),ISBLANK(Term4_Early_Dismissal_3[[#This Row],[End]])),"",(Term4_Early_Dismissal_3[[#This Row],[End]]-Term4_Early_Dismissal_3[[#This Row],[Start]])*1440)</f>
        <v/>
      </c>
      <c r="T78" s="106" t="str">
        <f>IF(ISBLANK(Term4_Early_Dismissal_3[[#This Row],[Activity]]),"",IF(_xlfn.XLOOKUP(Term4_Early_Dismissal_3[[#This Row],[Activity]],Types_of_Activity[Type of Activity],Types_of_Activity[Classification])=1,Term4_Early_Dismissal_3[[#This Row],[Elapsed]],0))</f>
        <v/>
      </c>
      <c r="U78" s="106" t="str">
        <f>IF(ISBLANK(Term4_Early_Dismissal_3[[#This Row],[Activity]]),"",IF(_xlfn.XLOOKUP(Term4_Early_Dismissal_3[[#This Row],[Activity]],Types_of_Activity[Type of Activity],Types_of_Activity[Classification])=2,Term4_Early_Dismissal_3[[#This Row],[Elapsed]],0))</f>
        <v/>
      </c>
      <c r="W78" s="136"/>
      <c r="X78" s="136"/>
      <c r="Y78" s="103"/>
      <c r="Z78" s="106" t="str">
        <f>IF(OR(ISBLANK(Term4_Early_Dismissal_4[[#This Row],[Start]]),ISBLANK(Term4_Early_Dismissal_4[[#This Row],[End]])),"",(Term4_Early_Dismissal_4[[#This Row],[End]]-Term4_Early_Dismissal_4[[#This Row],[Start]])*1440)</f>
        <v/>
      </c>
      <c r="AA78" s="106" t="str">
        <f>IF(ISBLANK(Term4_Early_Dismissal_4[[#This Row],[Activity]]),"",IF(_xlfn.XLOOKUP(Term4_Early_Dismissal_4[[#This Row],[Activity]],Types_of_Activity[Type of Activity],Types_of_Activity[Classification])=1,Term4_Early_Dismissal_4[[#This Row],[Elapsed]],0))</f>
        <v/>
      </c>
      <c r="AB78" s="106" t="str">
        <f>IF(ISBLANK(Term4_Early_Dismissal_4[[#This Row],[Activity]]),"",IF(_xlfn.XLOOKUP(Term4_Early_Dismissal_4[[#This Row],[Activity]],Types_of_Activity[Type of Activity],Types_of_Activity[Classification])=2,Term4_Early_Dismissal_4[[#This Row],[Elapsed]],0))</f>
        <v/>
      </c>
      <c r="AD78" s="136"/>
      <c r="AE78" s="136"/>
      <c r="AF78" s="103"/>
      <c r="AG78" s="106" t="str">
        <f>IF(OR(ISBLANK(Term4_Early_Dismissal_5[[#This Row],[Start]]),ISBLANK(Term4_Early_Dismissal_5[[#This Row],[End]])),"",(Term4_Early_Dismissal_5[[#This Row],[End]]-Term4_Early_Dismissal_5[[#This Row],[Start]])*1440)</f>
        <v/>
      </c>
      <c r="AH78" s="106" t="str">
        <f>IF(ISBLANK(Term4_Early_Dismissal_5[[#This Row],[Activity]]),"",IF(_xlfn.XLOOKUP(Term4_Early_Dismissal_5[[#This Row],[Activity]],Types_of_Activity[Type of Activity],Types_of_Activity[Classification])=1,Term4_Early_Dismissal_5[[#This Row],[Elapsed]],0))</f>
        <v/>
      </c>
      <c r="AI78" s="106" t="str">
        <f>IF(ISBLANK(Term4_Early_Dismissal_5[[#This Row],[Activity]]),"",IF(_xlfn.XLOOKUP(Term4_Early_Dismissal_5[[#This Row],[Activity]],Types_of_Activity[Type of Activity],Types_of_Activity[Classification])=2,Term4_Early_Dismissal_5[[#This Row],[Elapsed]],0))</f>
        <v/>
      </c>
      <c r="AK78" s="136"/>
      <c r="AL78" s="136"/>
      <c r="AM78" s="103"/>
      <c r="AN78" s="106" t="str">
        <f>IF(OR(ISBLANK(Term4_Early_Dismissal_6[[#This Row],[Start]]),ISBLANK(Term4_Early_Dismissal_6[[#This Row],[End]])),"",(Term4_Early_Dismissal_6[[#This Row],[End]]-Term4_Early_Dismissal_6[[#This Row],[Start]])*1440)</f>
        <v/>
      </c>
      <c r="AO78" s="106" t="str">
        <f>IF(ISBLANK(Term4_Early_Dismissal_6[[#This Row],[Activity]]),"",IF(_xlfn.XLOOKUP(Term4_Early_Dismissal_6[[#This Row],[Activity]],Types_of_Activity[Type of Activity],Types_of_Activity[Classification])=1,Term4_Early_Dismissal_6[[#This Row],[Elapsed]],0))</f>
        <v/>
      </c>
      <c r="AP78" s="106" t="str">
        <f>IF(ISBLANK(Term4_Early_Dismissal_6[[#This Row],[Activity]]),"",IF(_xlfn.XLOOKUP(Term4_Early_Dismissal_6[[#This Row],[Activity]],Types_of_Activity[Type of Activity],Types_of_Activity[Classification])=2,Term4_Early_Dismissal_6[[#This Row],[Elapsed]],0))</f>
        <v/>
      </c>
    </row>
    <row r="79" spans="2:42" x14ac:dyDescent="0.3">
      <c r="B79" s="136"/>
      <c r="C79" s="136"/>
      <c r="D79" s="103"/>
      <c r="E79" s="106" t="str">
        <f>IF(OR(ISBLANK(Term4_Early_Dismissal_1[[#This Row],[Start]]),ISBLANK(Term4_Early_Dismissal_1[[#This Row],[End]])),"",(Term4_Early_Dismissal_1[[#This Row],[End]]-Term4_Early_Dismissal_1[[#This Row],[Start]])*1440)</f>
        <v/>
      </c>
      <c r="F79" s="106" t="str">
        <f>IF(ISBLANK(Term4_Early_Dismissal_1[[#This Row],[Activity]]),"",IF(_xlfn.XLOOKUP(Term4_Early_Dismissal_1[[#This Row],[Activity]],Types_of_Activity[Type of Activity],Types_of_Activity[Classification])=1,Term4_Early_Dismissal_1[[#This Row],[Elapsed]],0))</f>
        <v/>
      </c>
      <c r="G79" s="106" t="str">
        <f>IF(ISBLANK(Term4_Early_Dismissal_1[[#This Row],[Activity]]),"",IF(_xlfn.XLOOKUP(Term4_Early_Dismissal_1[[#This Row],[Activity]],Types_of_Activity[Type of Activity],Types_of_Activity[Classification])=2,Term4_Early_Dismissal_1[[#This Row],[Elapsed]],0))</f>
        <v/>
      </c>
      <c r="H79"/>
      <c r="I79" s="136"/>
      <c r="J79" s="136"/>
      <c r="K79" s="103"/>
      <c r="L79" s="106" t="str">
        <f>IF(OR(ISBLANK(Term4_Early_Dismissal_2[[#This Row],[Start]]),ISBLANK(Term4_Early_Dismissal_2[[#This Row],[End]])),"",(Term4_Early_Dismissal_2[[#This Row],[End]]-Term4_Early_Dismissal_2[[#This Row],[Start]])*1440)</f>
        <v/>
      </c>
      <c r="M79" s="106" t="str">
        <f>IF(ISBLANK(Term4_Early_Dismissal_2[[#This Row],[Activity]]),"",IF(_xlfn.XLOOKUP(Term4_Early_Dismissal_2[[#This Row],[Activity]],Types_of_Activity[Type of Activity],Types_of_Activity[Classification])=1,Term4_Early_Dismissal_2[[#This Row],[Elapsed]],0))</f>
        <v/>
      </c>
      <c r="N79" s="106" t="str">
        <f>IF(ISBLANK(Term4_Early_Dismissal_2[[#This Row],[Activity]]),"",IF(_xlfn.XLOOKUP(Term4_Early_Dismissal_2[[#This Row],[Activity]],Types_of_Activity[Type of Activity],Types_of_Activity[Classification])=2,Term4_Early_Dismissal_2[[#This Row],[Elapsed]],0))</f>
        <v/>
      </c>
      <c r="O79"/>
      <c r="P79" s="136"/>
      <c r="Q79" s="136"/>
      <c r="R79" s="103"/>
      <c r="S79" s="106" t="str">
        <f>IF(OR(ISBLANK(Term4_Early_Dismissal_3[[#This Row],[Start]]),ISBLANK(Term4_Early_Dismissal_3[[#This Row],[End]])),"",(Term4_Early_Dismissal_3[[#This Row],[End]]-Term4_Early_Dismissal_3[[#This Row],[Start]])*1440)</f>
        <v/>
      </c>
      <c r="T79" s="106" t="str">
        <f>IF(ISBLANK(Term4_Early_Dismissal_3[[#This Row],[Activity]]),"",IF(_xlfn.XLOOKUP(Term4_Early_Dismissal_3[[#This Row],[Activity]],Types_of_Activity[Type of Activity],Types_of_Activity[Classification])=1,Term4_Early_Dismissal_3[[#This Row],[Elapsed]],0))</f>
        <v/>
      </c>
      <c r="U79" s="106" t="str">
        <f>IF(ISBLANK(Term4_Early_Dismissal_3[[#This Row],[Activity]]),"",IF(_xlfn.XLOOKUP(Term4_Early_Dismissal_3[[#This Row],[Activity]],Types_of_Activity[Type of Activity],Types_of_Activity[Classification])=2,Term4_Early_Dismissal_3[[#This Row],[Elapsed]],0))</f>
        <v/>
      </c>
      <c r="W79" s="136"/>
      <c r="X79" s="136"/>
      <c r="Y79" s="103"/>
      <c r="Z79" s="106" t="str">
        <f>IF(OR(ISBLANK(Term4_Early_Dismissal_4[[#This Row],[Start]]),ISBLANK(Term4_Early_Dismissal_4[[#This Row],[End]])),"",(Term4_Early_Dismissal_4[[#This Row],[End]]-Term4_Early_Dismissal_4[[#This Row],[Start]])*1440)</f>
        <v/>
      </c>
      <c r="AA79" s="106" t="str">
        <f>IF(ISBLANK(Term4_Early_Dismissal_4[[#This Row],[Activity]]),"",IF(_xlfn.XLOOKUP(Term4_Early_Dismissal_4[[#This Row],[Activity]],Types_of_Activity[Type of Activity],Types_of_Activity[Classification])=1,Term4_Early_Dismissal_4[[#This Row],[Elapsed]],0))</f>
        <v/>
      </c>
      <c r="AB79" s="106" t="str">
        <f>IF(ISBLANK(Term4_Early_Dismissal_4[[#This Row],[Activity]]),"",IF(_xlfn.XLOOKUP(Term4_Early_Dismissal_4[[#This Row],[Activity]],Types_of_Activity[Type of Activity],Types_of_Activity[Classification])=2,Term4_Early_Dismissal_4[[#This Row],[Elapsed]],0))</f>
        <v/>
      </c>
      <c r="AD79" s="136"/>
      <c r="AE79" s="136"/>
      <c r="AF79" s="103"/>
      <c r="AG79" s="106" t="str">
        <f>IF(OR(ISBLANK(Term4_Early_Dismissal_5[[#This Row],[Start]]),ISBLANK(Term4_Early_Dismissal_5[[#This Row],[End]])),"",(Term4_Early_Dismissal_5[[#This Row],[End]]-Term4_Early_Dismissal_5[[#This Row],[Start]])*1440)</f>
        <v/>
      </c>
      <c r="AH79" s="106" t="str">
        <f>IF(ISBLANK(Term4_Early_Dismissal_5[[#This Row],[Activity]]),"",IF(_xlfn.XLOOKUP(Term4_Early_Dismissal_5[[#This Row],[Activity]],Types_of_Activity[Type of Activity],Types_of_Activity[Classification])=1,Term4_Early_Dismissal_5[[#This Row],[Elapsed]],0))</f>
        <v/>
      </c>
      <c r="AI79" s="106" t="str">
        <f>IF(ISBLANK(Term4_Early_Dismissal_5[[#This Row],[Activity]]),"",IF(_xlfn.XLOOKUP(Term4_Early_Dismissal_5[[#This Row],[Activity]],Types_of_Activity[Type of Activity],Types_of_Activity[Classification])=2,Term4_Early_Dismissal_5[[#This Row],[Elapsed]],0))</f>
        <v/>
      </c>
      <c r="AK79" s="136"/>
      <c r="AL79" s="136"/>
      <c r="AM79" s="103"/>
      <c r="AN79" s="106" t="str">
        <f>IF(OR(ISBLANK(Term4_Early_Dismissal_6[[#This Row],[Start]]),ISBLANK(Term4_Early_Dismissal_6[[#This Row],[End]])),"",(Term4_Early_Dismissal_6[[#This Row],[End]]-Term4_Early_Dismissal_6[[#This Row],[Start]])*1440)</f>
        <v/>
      </c>
      <c r="AO79" s="106" t="str">
        <f>IF(ISBLANK(Term4_Early_Dismissal_6[[#This Row],[Activity]]),"",IF(_xlfn.XLOOKUP(Term4_Early_Dismissal_6[[#This Row],[Activity]],Types_of_Activity[Type of Activity],Types_of_Activity[Classification])=1,Term4_Early_Dismissal_6[[#This Row],[Elapsed]],0))</f>
        <v/>
      </c>
      <c r="AP79" s="106" t="str">
        <f>IF(ISBLANK(Term4_Early_Dismissal_6[[#This Row],[Activity]]),"",IF(_xlfn.XLOOKUP(Term4_Early_Dismissal_6[[#This Row],[Activity]],Types_of_Activity[Type of Activity],Types_of_Activity[Classification])=2,Term4_Early_Dismissal_6[[#This Row],[Elapsed]],0))</f>
        <v/>
      </c>
    </row>
    <row r="80" spans="2:42" x14ac:dyDescent="0.3">
      <c r="B80" s="136"/>
      <c r="C80" s="136"/>
      <c r="D80" s="103"/>
      <c r="E80" s="106" t="str">
        <f>IF(OR(ISBLANK(Term4_Early_Dismissal_1[[#This Row],[Start]]),ISBLANK(Term4_Early_Dismissal_1[[#This Row],[End]])),"",(Term4_Early_Dismissal_1[[#This Row],[End]]-Term4_Early_Dismissal_1[[#This Row],[Start]])*1440)</f>
        <v/>
      </c>
      <c r="F80" s="106" t="str">
        <f>IF(ISBLANK(Term4_Early_Dismissal_1[[#This Row],[Activity]]),"",IF(_xlfn.XLOOKUP(Term4_Early_Dismissal_1[[#This Row],[Activity]],Types_of_Activity[Type of Activity],Types_of_Activity[Classification])=1,Term4_Early_Dismissal_1[[#This Row],[Elapsed]],0))</f>
        <v/>
      </c>
      <c r="G80" s="106" t="str">
        <f>IF(ISBLANK(Term4_Early_Dismissal_1[[#This Row],[Activity]]),"",IF(_xlfn.XLOOKUP(Term4_Early_Dismissal_1[[#This Row],[Activity]],Types_of_Activity[Type of Activity],Types_of_Activity[Classification])=2,Term4_Early_Dismissal_1[[#This Row],[Elapsed]],0))</f>
        <v/>
      </c>
      <c r="H80"/>
      <c r="I80" s="136"/>
      <c r="J80" s="136"/>
      <c r="K80" s="103"/>
      <c r="L80" s="106" t="str">
        <f>IF(OR(ISBLANK(Term4_Early_Dismissal_2[[#This Row],[Start]]),ISBLANK(Term4_Early_Dismissal_2[[#This Row],[End]])),"",(Term4_Early_Dismissal_2[[#This Row],[End]]-Term4_Early_Dismissal_2[[#This Row],[Start]])*1440)</f>
        <v/>
      </c>
      <c r="M80" s="106" t="str">
        <f>IF(ISBLANK(Term4_Early_Dismissal_2[[#This Row],[Activity]]),"",IF(_xlfn.XLOOKUP(Term4_Early_Dismissal_2[[#This Row],[Activity]],Types_of_Activity[Type of Activity],Types_of_Activity[Classification])=1,Term4_Early_Dismissal_2[[#This Row],[Elapsed]],0))</f>
        <v/>
      </c>
      <c r="N80" s="106" t="str">
        <f>IF(ISBLANK(Term4_Early_Dismissal_2[[#This Row],[Activity]]),"",IF(_xlfn.XLOOKUP(Term4_Early_Dismissal_2[[#This Row],[Activity]],Types_of_Activity[Type of Activity],Types_of_Activity[Classification])=2,Term4_Early_Dismissal_2[[#This Row],[Elapsed]],0))</f>
        <v/>
      </c>
      <c r="O80"/>
      <c r="P80" s="136"/>
      <c r="Q80" s="136"/>
      <c r="R80" s="103"/>
      <c r="S80" s="106" t="str">
        <f>IF(OR(ISBLANK(Term4_Early_Dismissal_3[[#This Row],[Start]]),ISBLANK(Term4_Early_Dismissal_3[[#This Row],[End]])),"",(Term4_Early_Dismissal_3[[#This Row],[End]]-Term4_Early_Dismissal_3[[#This Row],[Start]])*1440)</f>
        <v/>
      </c>
      <c r="T80" s="106" t="str">
        <f>IF(ISBLANK(Term4_Early_Dismissal_3[[#This Row],[Activity]]),"",IF(_xlfn.XLOOKUP(Term4_Early_Dismissal_3[[#This Row],[Activity]],Types_of_Activity[Type of Activity],Types_of_Activity[Classification])=1,Term4_Early_Dismissal_3[[#This Row],[Elapsed]],0))</f>
        <v/>
      </c>
      <c r="U80" s="106" t="str">
        <f>IF(ISBLANK(Term4_Early_Dismissal_3[[#This Row],[Activity]]),"",IF(_xlfn.XLOOKUP(Term4_Early_Dismissal_3[[#This Row],[Activity]],Types_of_Activity[Type of Activity],Types_of_Activity[Classification])=2,Term4_Early_Dismissal_3[[#This Row],[Elapsed]],0))</f>
        <v/>
      </c>
      <c r="W80" s="136"/>
      <c r="X80" s="136"/>
      <c r="Y80" s="103"/>
      <c r="Z80" s="106" t="str">
        <f>IF(OR(ISBLANK(Term4_Early_Dismissal_4[[#This Row],[Start]]),ISBLANK(Term4_Early_Dismissal_4[[#This Row],[End]])),"",(Term4_Early_Dismissal_4[[#This Row],[End]]-Term4_Early_Dismissal_4[[#This Row],[Start]])*1440)</f>
        <v/>
      </c>
      <c r="AA80" s="106" t="str">
        <f>IF(ISBLANK(Term4_Early_Dismissal_4[[#This Row],[Activity]]),"",IF(_xlfn.XLOOKUP(Term4_Early_Dismissal_4[[#This Row],[Activity]],Types_of_Activity[Type of Activity],Types_of_Activity[Classification])=1,Term4_Early_Dismissal_4[[#This Row],[Elapsed]],0))</f>
        <v/>
      </c>
      <c r="AB80" s="106" t="str">
        <f>IF(ISBLANK(Term4_Early_Dismissal_4[[#This Row],[Activity]]),"",IF(_xlfn.XLOOKUP(Term4_Early_Dismissal_4[[#This Row],[Activity]],Types_of_Activity[Type of Activity],Types_of_Activity[Classification])=2,Term4_Early_Dismissal_4[[#This Row],[Elapsed]],0))</f>
        <v/>
      </c>
      <c r="AD80" s="136"/>
      <c r="AE80" s="136"/>
      <c r="AF80" s="103"/>
      <c r="AG80" s="106" t="str">
        <f>IF(OR(ISBLANK(Term4_Early_Dismissal_5[[#This Row],[Start]]),ISBLANK(Term4_Early_Dismissal_5[[#This Row],[End]])),"",(Term4_Early_Dismissal_5[[#This Row],[End]]-Term4_Early_Dismissal_5[[#This Row],[Start]])*1440)</f>
        <v/>
      </c>
      <c r="AH80" s="106" t="str">
        <f>IF(ISBLANK(Term4_Early_Dismissal_5[[#This Row],[Activity]]),"",IF(_xlfn.XLOOKUP(Term4_Early_Dismissal_5[[#This Row],[Activity]],Types_of_Activity[Type of Activity],Types_of_Activity[Classification])=1,Term4_Early_Dismissal_5[[#This Row],[Elapsed]],0))</f>
        <v/>
      </c>
      <c r="AI80" s="106" t="str">
        <f>IF(ISBLANK(Term4_Early_Dismissal_5[[#This Row],[Activity]]),"",IF(_xlfn.XLOOKUP(Term4_Early_Dismissal_5[[#This Row],[Activity]],Types_of_Activity[Type of Activity],Types_of_Activity[Classification])=2,Term4_Early_Dismissal_5[[#This Row],[Elapsed]],0))</f>
        <v/>
      </c>
      <c r="AK80" s="136"/>
      <c r="AL80" s="136"/>
      <c r="AM80" s="103"/>
      <c r="AN80" s="106" t="str">
        <f>IF(OR(ISBLANK(Term4_Early_Dismissal_6[[#This Row],[Start]]),ISBLANK(Term4_Early_Dismissal_6[[#This Row],[End]])),"",(Term4_Early_Dismissal_6[[#This Row],[End]]-Term4_Early_Dismissal_6[[#This Row],[Start]])*1440)</f>
        <v/>
      </c>
      <c r="AO80" s="106" t="str">
        <f>IF(ISBLANK(Term4_Early_Dismissal_6[[#This Row],[Activity]]),"",IF(_xlfn.XLOOKUP(Term4_Early_Dismissal_6[[#This Row],[Activity]],Types_of_Activity[Type of Activity],Types_of_Activity[Classification])=1,Term4_Early_Dismissal_6[[#This Row],[Elapsed]],0))</f>
        <v/>
      </c>
      <c r="AP80" s="106" t="str">
        <f>IF(ISBLANK(Term4_Early_Dismissal_6[[#This Row],[Activity]]),"",IF(_xlfn.XLOOKUP(Term4_Early_Dismissal_6[[#This Row],[Activity]],Types_of_Activity[Type of Activity],Types_of_Activity[Classification])=2,Term4_Early_Dismissal_6[[#This Row],[Elapsed]],0))</f>
        <v/>
      </c>
    </row>
    <row r="81" spans="2:42" x14ac:dyDescent="0.3">
      <c r="B81" s="136"/>
      <c r="C81" s="136"/>
      <c r="D81" s="103"/>
      <c r="E81" s="106" t="str">
        <f>IF(OR(ISBLANK(Term4_Early_Dismissal_1[[#This Row],[Start]]),ISBLANK(Term4_Early_Dismissal_1[[#This Row],[End]])),"",(Term4_Early_Dismissal_1[[#This Row],[End]]-Term4_Early_Dismissal_1[[#This Row],[Start]])*1440)</f>
        <v/>
      </c>
      <c r="F81" s="106" t="str">
        <f>IF(ISBLANK(Term4_Early_Dismissal_1[[#This Row],[Activity]]),"",IF(_xlfn.XLOOKUP(Term4_Early_Dismissal_1[[#This Row],[Activity]],Types_of_Activity[Type of Activity],Types_of_Activity[Classification])=1,Term4_Early_Dismissal_1[[#This Row],[Elapsed]],0))</f>
        <v/>
      </c>
      <c r="G81" s="106" t="str">
        <f>IF(ISBLANK(Term4_Early_Dismissal_1[[#This Row],[Activity]]),"",IF(_xlfn.XLOOKUP(Term4_Early_Dismissal_1[[#This Row],[Activity]],Types_of_Activity[Type of Activity],Types_of_Activity[Classification])=2,Term4_Early_Dismissal_1[[#This Row],[Elapsed]],0))</f>
        <v/>
      </c>
      <c r="H81"/>
      <c r="I81" s="136"/>
      <c r="J81" s="136"/>
      <c r="K81" s="103"/>
      <c r="L81" s="106" t="str">
        <f>IF(OR(ISBLANK(Term4_Early_Dismissal_2[[#This Row],[Start]]),ISBLANK(Term4_Early_Dismissal_2[[#This Row],[End]])),"",(Term4_Early_Dismissal_2[[#This Row],[End]]-Term4_Early_Dismissal_2[[#This Row],[Start]])*1440)</f>
        <v/>
      </c>
      <c r="M81" s="106" t="str">
        <f>IF(ISBLANK(Term4_Early_Dismissal_2[[#This Row],[Activity]]),"",IF(_xlfn.XLOOKUP(Term4_Early_Dismissal_2[[#This Row],[Activity]],Types_of_Activity[Type of Activity],Types_of_Activity[Classification])=1,Term4_Early_Dismissal_2[[#This Row],[Elapsed]],0))</f>
        <v/>
      </c>
      <c r="N81" s="106" t="str">
        <f>IF(ISBLANK(Term4_Early_Dismissal_2[[#This Row],[Activity]]),"",IF(_xlfn.XLOOKUP(Term4_Early_Dismissal_2[[#This Row],[Activity]],Types_of_Activity[Type of Activity],Types_of_Activity[Classification])=2,Term4_Early_Dismissal_2[[#This Row],[Elapsed]],0))</f>
        <v/>
      </c>
      <c r="O81"/>
      <c r="P81" s="136"/>
      <c r="Q81" s="136"/>
      <c r="R81" s="103"/>
      <c r="S81" s="106" t="str">
        <f>IF(OR(ISBLANK(Term4_Early_Dismissal_3[[#This Row],[Start]]),ISBLANK(Term4_Early_Dismissal_3[[#This Row],[End]])),"",(Term4_Early_Dismissal_3[[#This Row],[End]]-Term4_Early_Dismissal_3[[#This Row],[Start]])*1440)</f>
        <v/>
      </c>
      <c r="T81" s="106" t="str">
        <f>IF(ISBLANK(Term4_Early_Dismissal_3[[#This Row],[Activity]]),"",IF(_xlfn.XLOOKUP(Term4_Early_Dismissal_3[[#This Row],[Activity]],Types_of_Activity[Type of Activity],Types_of_Activity[Classification])=1,Term4_Early_Dismissal_3[[#This Row],[Elapsed]],0))</f>
        <v/>
      </c>
      <c r="U81" s="106" t="str">
        <f>IF(ISBLANK(Term4_Early_Dismissal_3[[#This Row],[Activity]]),"",IF(_xlfn.XLOOKUP(Term4_Early_Dismissal_3[[#This Row],[Activity]],Types_of_Activity[Type of Activity],Types_of_Activity[Classification])=2,Term4_Early_Dismissal_3[[#This Row],[Elapsed]],0))</f>
        <v/>
      </c>
      <c r="W81" s="136"/>
      <c r="X81" s="136"/>
      <c r="Y81" s="103"/>
      <c r="Z81" s="106" t="str">
        <f>IF(OR(ISBLANK(Term4_Early_Dismissal_4[[#This Row],[Start]]),ISBLANK(Term4_Early_Dismissal_4[[#This Row],[End]])),"",(Term4_Early_Dismissal_4[[#This Row],[End]]-Term4_Early_Dismissal_4[[#This Row],[Start]])*1440)</f>
        <v/>
      </c>
      <c r="AA81" s="106" t="str">
        <f>IF(ISBLANK(Term4_Early_Dismissal_4[[#This Row],[Activity]]),"",IF(_xlfn.XLOOKUP(Term4_Early_Dismissal_4[[#This Row],[Activity]],Types_of_Activity[Type of Activity],Types_of_Activity[Classification])=1,Term4_Early_Dismissal_4[[#This Row],[Elapsed]],0))</f>
        <v/>
      </c>
      <c r="AB81" s="106" t="str">
        <f>IF(ISBLANK(Term4_Early_Dismissal_4[[#This Row],[Activity]]),"",IF(_xlfn.XLOOKUP(Term4_Early_Dismissal_4[[#This Row],[Activity]],Types_of_Activity[Type of Activity],Types_of_Activity[Classification])=2,Term4_Early_Dismissal_4[[#This Row],[Elapsed]],0))</f>
        <v/>
      </c>
      <c r="AD81" s="136"/>
      <c r="AE81" s="136"/>
      <c r="AF81" s="103"/>
      <c r="AG81" s="106" t="str">
        <f>IF(OR(ISBLANK(Term4_Early_Dismissal_5[[#This Row],[Start]]),ISBLANK(Term4_Early_Dismissal_5[[#This Row],[End]])),"",(Term4_Early_Dismissal_5[[#This Row],[End]]-Term4_Early_Dismissal_5[[#This Row],[Start]])*1440)</f>
        <v/>
      </c>
      <c r="AH81" s="106" t="str">
        <f>IF(ISBLANK(Term4_Early_Dismissal_5[[#This Row],[Activity]]),"",IF(_xlfn.XLOOKUP(Term4_Early_Dismissal_5[[#This Row],[Activity]],Types_of_Activity[Type of Activity],Types_of_Activity[Classification])=1,Term4_Early_Dismissal_5[[#This Row],[Elapsed]],0))</f>
        <v/>
      </c>
      <c r="AI81" s="106" t="str">
        <f>IF(ISBLANK(Term4_Early_Dismissal_5[[#This Row],[Activity]]),"",IF(_xlfn.XLOOKUP(Term4_Early_Dismissal_5[[#This Row],[Activity]],Types_of_Activity[Type of Activity],Types_of_Activity[Classification])=2,Term4_Early_Dismissal_5[[#This Row],[Elapsed]],0))</f>
        <v/>
      </c>
      <c r="AK81" s="136"/>
      <c r="AL81" s="136"/>
      <c r="AM81" s="103"/>
      <c r="AN81" s="106" t="str">
        <f>IF(OR(ISBLANK(Term4_Early_Dismissal_6[[#This Row],[Start]]),ISBLANK(Term4_Early_Dismissal_6[[#This Row],[End]])),"",(Term4_Early_Dismissal_6[[#This Row],[End]]-Term4_Early_Dismissal_6[[#This Row],[Start]])*1440)</f>
        <v/>
      </c>
      <c r="AO81" s="106" t="str">
        <f>IF(ISBLANK(Term4_Early_Dismissal_6[[#This Row],[Activity]]),"",IF(_xlfn.XLOOKUP(Term4_Early_Dismissal_6[[#This Row],[Activity]],Types_of_Activity[Type of Activity],Types_of_Activity[Classification])=1,Term4_Early_Dismissal_6[[#This Row],[Elapsed]],0))</f>
        <v/>
      </c>
      <c r="AP81" s="106" t="str">
        <f>IF(ISBLANK(Term4_Early_Dismissal_6[[#This Row],[Activity]]),"",IF(_xlfn.XLOOKUP(Term4_Early_Dismissal_6[[#This Row],[Activity]],Types_of_Activity[Type of Activity],Types_of_Activity[Classification])=2,Term4_Early_Dismissal_6[[#This Row],[Elapsed]],0))</f>
        <v/>
      </c>
    </row>
    <row r="82" spans="2:42" x14ac:dyDescent="0.3">
      <c r="B82" s="136"/>
      <c r="C82" s="136"/>
      <c r="D82" s="103"/>
      <c r="E82" s="106" t="str">
        <f>IF(OR(ISBLANK(Term4_Early_Dismissal_1[[#This Row],[Start]]),ISBLANK(Term4_Early_Dismissal_1[[#This Row],[End]])),"",(Term4_Early_Dismissal_1[[#This Row],[End]]-Term4_Early_Dismissal_1[[#This Row],[Start]])*1440)</f>
        <v/>
      </c>
      <c r="F82" s="106" t="str">
        <f>IF(ISBLANK(Term4_Early_Dismissal_1[[#This Row],[Activity]]),"",IF(_xlfn.XLOOKUP(Term4_Early_Dismissal_1[[#This Row],[Activity]],Types_of_Activity[Type of Activity],Types_of_Activity[Classification])=1,Term4_Early_Dismissal_1[[#This Row],[Elapsed]],0))</f>
        <v/>
      </c>
      <c r="G82" s="106" t="str">
        <f>IF(ISBLANK(Term4_Early_Dismissal_1[[#This Row],[Activity]]),"",IF(_xlfn.XLOOKUP(Term4_Early_Dismissal_1[[#This Row],[Activity]],Types_of_Activity[Type of Activity],Types_of_Activity[Classification])=2,Term4_Early_Dismissal_1[[#This Row],[Elapsed]],0))</f>
        <v/>
      </c>
      <c r="H82"/>
      <c r="I82" s="136"/>
      <c r="J82" s="136"/>
      <c r="K82" s="103"/>
      <c r="L82" s="106" t="str">
        <f>IF(OR(ISBLANK(Term4_Early_Dismissal_2[[#This Row],[Start]]),ISBLANK(Term4_Early_Dismissal_2[[#This Row],[End]])),"",(Term4_Early_Dismissal_2[[#This Row],[End]]-Term4_Early_Dismissal_2[[#This Row],[Start]])*1440)</f>
        <v/>
      </c>
      <c r="M82" s="106" t="str">
        <f>IF(ISBLANK(Term4_Early_Dismissal_2[[#This Row],[Activity]]),"",IF(_xlfn.XLOOKUP(Term4_Early_Dismissal_2[[#This Row],[Activity]],Types_of_Activity[Type of Activity],Types_of_Activity[Classification])=1,Term4_Early_Dismissal_2[[#This Row],[Elapsed]],0))</f>
        <v/>
      </c>
      <c r="N82" s="106" t="str">
        <f>IF(ISBLANK(Term4_Early_Dismissal_2[[#This Row],[Activity]]),"",IF(_xlfn.XLOOKUP(Term4_Early_Dismissal_2[[#This Row],[Activity]],Types_of_Activity[Type of Activity],Types_of_Activity[Classification])=2,Term4_Early_Dismissal_2[[#This Row],[Elapsed]],0))</f>
        <v/>
      </c>
      <c r="O82"/>
      <c r="P82" s="136"/>
      <c r="Q82" s="136"/>
      <c r="R82" s="103"/>
      <c r="S82" s="106" t="str">
        <f>IF(OR(ISBLANK(Term4_Early_Dismissal_3[[#This Row],[Start]]),ISBLANK(Term4_Early_Dismissal_3[[#This Row],[End]])),"",(Term4_Early_Dismissal_3[[#This Row],[End]]-Term4_Early_Dismissal_3[[#This Row],[Start]])*1440)</f>
        <v/>
      </c>
      <c r="T82" s="106" t="str">
        <f>IF(ISBLANK(Term4_Early_Dismissal_3[[#This Row],[Activity]]),"",IF(_xlfn.XLOOKUP(Term4_Early_Dismissal_3[[#This Row],[Activity]],Types_of_Activity[Type of Activity],Types_of_Activity[Classification])=1,Term4_Early_Dismissal_3[[#This Row],[Elapsed]],0))</f>
        <v/>
      </c>
      <c r="U82" s="106" t="str">
        <f>IF(ISBLANK(Term4_Early_Dismissal_3[[#This Row],[Activity]]),"",IF(_xlfn.XLOOKUP(Term4_Early_Dismissal_3[[#This Row],[Activity]],Types_of_Activity[Type of Activity],Types_of_Activity[Classification])=2,Term4_Early_Dismissal_3[[#This Row],[Elapsed]],0))</f>
        <v/>
      </c>
      <c r="W82" s="136"/>
      <c r="X82" s="136"/>
      <c r="Y82" s="103"/>
      <c r="Z82" s="106" t="str">
        <f>IF(OR(ISBLANK(Term4_Early_Dismissal_4[[#This Row],[Start]]),ISBLANK(Term4_Early_Dismissal_4[[#This Row],[End]])),"",(Term4_Early_Dismissal_4[[#This Row],[End]]-Term4_Early_Dismissal_4[[#This Row],[Start]])*1440)</f>
        <v/>
      </c>
      <c r="AA82" s="106" t="str">
        <f>IF(ISBLANK(Term4_Early_Dismissal_4[[#This Row],[Activity]]),"",IF(_xlfn.XLOOKUP(Term4_Early_Dismissal_4[[#This Row],[Activity]],Types_of_Activity[Type of Activity],Types_of_Activity[Classification])=1,Term4_Early_Dismissal_4[[#This Row],[Elapsed]],0))</f>
        <v/>
      </c>
      <c r="AB82" s="106" t="str">
        <f>IF(ISBLANK(Term4_Early_Dismissal_4[[#This Row],[Activity]]),"",IF(_xlfn.XLOOKUP(Term4_Early_Dismissal_4[[#This Row],[Activity]],Types_of_Activity[Type of Activity],Types_of_Activity[Classification])=2,Term4_Early_Dismissal_4[[#This Row],[Elapsed]],0))</f>
        <v/>
      </c>
      <c r="AD82" s="136"/>
      <c r="AE82" s="136"/>
      <c r="AF82" s="103"/>
      <c r="AG82" s="106" t="str">
        <f>IF(OR(ISBLANK(Term4_Early_Dismissal_5[[#This Row],[Start]]),ISBLANK(Term4_Early_Dismissal_5[[#This Row],[End]])),"",(Term4_Early_Dismissal_5[[#This Row],[End]]-Term4_Early_Dismissal_5[[#This Row],[Start]])*1440)</f>
        <v/>
      </c>
      <c r="AH82" s="106" t="str">
        <f>IF(ISBLANK(Term4_Early_Dismissal_5[[#This Row],[Activity]]),"",IF(_xlfn.XLOOKUP(Term4_Early_Dismissal_5[[#This Row],[Activity]],Types_of_Activity[Type of Activity],Types_of_Activity[Classification])=1,Term4_Early_Dismissal_5[[#This Row],[Elapsed]],0))</f>
        <v/>
      </c>
      <c r="AI82" s="106" t="str">
        <f>IF(ISBLANK(Term4_Early_Dismissal_5[[#This Row],[Activity]]),"",IF(_xlfn.XLOOKUP(Term4_Early_Dismissal_5[[#This Row],[Activity]],Types_of_Activity[Type of Activity],Types_of_Activity[Classification])=2,Term4_Early_Dismissal_5[[#This Row],[Elapsed]],0))</f>
        <v/>
      </c>
      <c r="AK82" s="136"/>
      <c r="AL82" s="136"/>
      <c r="AM82" s="103"/>
      <c r="AN82" s="106" t="str">
        <f>IF(OR(ISBLANK(Term4_Early_Dismissal_6[[#This Row],[Start]]),ISBLANK(Term4_Early_Dismissal_6[[#This Row],[End]])),"",(Term4_Early_Dismissal_6[[#This Row],[End]]-Term4_Early_Dismissal_6[[#This Row],[Start]])*1440)</f>
        <v/>
      </c>
      <c r="AO82" s="106" t="str">
        <f>IF(ISBLANK(Term4_Early_Dismissal_6[[#This Row],[Activity]]),"",IF(_xlfn.XLOOKUP(Term4_Early_Dismissal_6[[#This Row],[Activity]],Types_of_Activity[Type of Activity],Types_of_Activity[Classification])=1,Term4_Early_Dismissal_6[[#This Row],[Elapsed]],0))</f>
        <v/>
      </c>
      <c r="AP82" s="106" t="str">
        <f>IF(ISBLANK(Term4_Early_Dismissal_6[[#This Row],[Activity]]),"",IF(_xlfn.XLOOKUP(Term4_Early_Dismissal_6[[#This Row],[Activity]],Types_of_Activity[Type of Activity],Types_of_Activity[Classification])=2,Term4_Early_Dismissal_6[[#This Row],[Elapsed]],0))</f>
        <v/>
      </c>
    </row>
    <row r="83" spans="2:42" x14ac:dyDescent="0.3">
      <c r="B83" s="136"/>
      <c r="C83" s="136"/>
      <c r="D83" s="103"/>
      <c r="E83" s="106" t="str">
        <f>IF(OR(ISBLANK(Term4_Early_Dismissal_1[[#This Row],[Start]]),ISBLANK(Term4_Early_Dismissal_1[[#This Row],[End]])),"",(Term4_Early_Dismissal_1[[#This Row],[End]]-Term4_Early_Dismissal_1[[#This Row],[Start]])*1440)</f>
        <v/>
      </c>
      <c r="F83" s="106" t="str">
        <f>IF(ISBLANK(Term4_Early_Dismissal_1[[#This Row],[Activity]]),"",IF(_xlfn.XLOOKUP(Term4_Early_Dismissal_1[[#This Row],[Activity]],Types_of_Activity[Type of Activity],Types_of_Activity[Classification])=1,Term4_Early_Dismissal_1[[#This Row],[Elapsed]],0))</f>
        <v/>
      </c>
      <c r="G83" s="106" t="str">
        <f>IF(ISBLANK(Term4_Early_Dismissal_1[[#This Row],[Activity]]),"",IF(_xlfn.XLOOKUP(Term4_Early_Dismissal_1[[#This Row],[Activity]],Types_of_Activity[Type of Activity],Types_of_Activity[Classification])=2,Term4_Early_Dismissal_1[[#This Row],[Elapsed]],0))</f>
        <v/>
      </c>
      <c r="H83"/>
      <c r="I83" s="136"/>
      <c r="J83" s="136"/>
      <c r="K83" s="103"/>
      <c r="L83" s="106" t="str">
        <f>IF(OR(ISBLANK(Term4_Early_Dismissal_2[[#This Row],[Start]]),ISBLANK(Term4_Early_Dismissal_2[[#This Row],[End]])),"",(Term4_Early_Dismissal_2[[#This Row],[End]]-Term4_Early_Dismissal_2[[#This Row],[Start]])*1440)</f>
        <v/>
      </c>
      <c r="M83" s="106" t="str">
        <f>IF(ISBLANK(Term4_Early_Dismissal_2[[#This Row],[Activity]]),"",IF(_xlfn.XLOOKUP(Term4_Early_Dismissal_2[[#This Row],[Activity]],Types_of_Activity[Type of Activity],Types_of_Activity[Classification])=1,Term4_Early_Dismissal_2[[#This Row],[Elapsed]],0))</f>
        <v/>
      </c>
      <c r="N83" s="106" t="str">
        <f>IF(ISBLANK(Term4_Early_Dismissal_2[[#This Row],[Activity]]),"",IF(_xlfn.XLOOKUP(Term4_Early_Dismissal_2[[#This Row],[Activity]],Types_of_Activity[Type of Activity],Types_of_Activity[Classification])=2,Term4_Early_Dismissal_2[[#This Row],[Elapsed]],0))</f>
        <v/>
      </c>
      <c r="O83"/>
      <c r="P83" s="136"/>
      <c r="Q83" s="136"/>
      <c r="R83" s="103"/>
      <c r="S83" s="106" t="str">
        <f>IF(OR(ISBLANK(Term4_Early_Dismissal_3[[#This Row],[Start]]),ISBLANK(Term4_Early_Dismissal_3[[#This Row],[End]])),"",(Term4_Early_Dismissal_3[[#This Row],[End]]-Term4_Early_Dismissal_3[[#This Row],[Start]])*1440)</f>
        <v/>
      </c>
      <c r="T83" s="106" t="str">
        <f>IF(ISBLANK(Term4_Early_Dismissal_3[[#This Row],[Activity]]),"",IF(_xlfn.XLOOKUP(Term4_Early_Dismissal_3[[#This Row],[Activity]],Types_of_Activity[Type of Activity],Types_of_Activity[Classification])=1,Term4_Early_Dismissal_3[[#This Row],[Elapsed]],0))</f>
        <v/>
      </c>
      <c r="U83" s="106" t="str">
        <f>IF(ISBLANK(Term4_Early_Dismissal_3[[#This Row],[Activity]]),"",IF(_xlfn.XLOOKUP(Term4_Early_Dismissal_3[[#This Row],[Activity]],Types_of_Activity[Type of Activity],Types_of_Activity[Classification])=2,Term4_Early_Dismissal_3[[#This Row],[Elapsed]],0))</f>
        <v/>
      </c>
      <c r="W83" s="136"/>
      <c r="X83" s="136"/>
      <c r="Y83" s="103"/>
      <c r="Z83" s="106" t="str">
        <f>IF(OR(ISBLANK(Term4_Early_Dismissal_4[[#This Row],[Start]]),ISBLANK(Term4_Early_Dismissal_4[[#This Row],[End]])),"",(Term4_Early_Dismissal_4[[#This Row],[End]]-Term4_Early_Dismissal_4[[#This Row],[Start]])*1440)</f>
        <v/>
      </c>
      <c r="AA83" s="106" t="str">
        <f>IF(ISBLANK(Term4_Early_Dismissal_4[[#This Row],[Activity]]),"",IF(_xlfn.XLOOKUP(Term4_Early_Dismissal_4[[#This Row],[Activity]],Types_of_Activity[Type of Activity],Types_of_Activity[Classification])=1,Term4_Early_Dismissal_4[[#This Row],[Elapsed]],0))</f>
        <v/>
      </c>
      <c r="AB83" s="106" t="str">
        <f>IF(ISBLANK(Term4_Early_Dismissal_4[[#This Row],[Activity]]),"",IF(_xlfn.XLOOKUP(Term4_Early_Dismissal_4[[#This Row],[Activity]],Types_of_Activity[Type of Activity],Types_of_Activity[Classification])=2,Term4_Early_Dismissal_4[[#This Row],[Elapsed]],0))</f>
        <v/>
      </c>
      <c r="AD83" s="136"/>
      <c r="AE83" s="136"/>
      <c r="AF83" s="103"/>
      <c r="AG83" s="106" t="str">
        <f>IF(OR(ISBLANK(Term4_Early_Dismissal_5[[#This Row],[Start]]),ISBLANK(Term4_Early_Dismissal_5[[#This Row],[End]])),"",(Term4_Early_Dismissal_5[[#This Row],[End]]-Term4_Early_Dismissal_5[[#This Row],[Start]])*1440)</f>
        <v/>
      </c>
      <c r="AH83" s="106" t="str">
        <f>IF(ISBLANK(Term4_Early_Dismissal_5[[#This Row],[Activity]]),"",IF(_xlfn.XLOOKUP(Term4_Early_Dismissal_5[[#This Row],[Activity]],Types_of_Activity[Type of Activity],Types_of_Activity[Classification])=1,Term4_Early_Dismissal_5[[#This Row],[Elapsed]],0))</f>
        <v/>
      </c>
      <c r="AI83" s="106" t="str">
        <f>IF(ISBLANK(Term4_Early_Dismissal_5[[#This Row],[Activity]]),"",IF(_xlfn.XLOOKUP(Term4_Early_Dismissal_5[[#This Row],[Activity]],Types_of_Activity[Type of Activity],Types_of_Activity[Classification])=2,Term4_Early_Dismissal_5[[#This Row],[Elapsed]],0))</f>
        <v/>
      </c>
      <c r="AK83" s="136"/>
      <c r="AL83" s="136"/>
      <c r="AM83" s="103"/>
      <c r="AN83" s="106" t="str">
        <f>IF(OR(ISBLANK(Term4_Early_Dismissal_6[[#This Row],[Start]]),ISBLANK(Term4_Early_Dismissal_6[[#This Row],[End]])),"",(Term4_Early_Dismissal_6[[#This Row],[End]]-Term4_Early_Dismissal_6[[#This Row],[Start]])*1440)</f>
        <v/>
      </c>
      <c r="AO83" s="106" t="str">
        <f>IF(ISBLANK(Term4_Early_Dismissal_6[[#This Row],[Activity]]),"",IF(_xlfn.XLOOKUP(Term4_Early_Dismissal_6[[#This Row],[Activity]],Types_of_Activity[Type of Activity],Types_of_Activity[Classification])=1,Term4_Early_Dismissal_6[[#This Row],[Elapsed]],0))</f>
        <v/>
      </c>
      <c r="AP83" s="106" t="str">
        <f>IF(ISBLANK(Term4_Early_Dismissal_6[[#This Row],[Activity]]),"",IF(_xlfn.XLOOKUP(Term4_Early_Dismissal_6[[#This Row],[Activity]],Types_of_Activity[Type of Activity],Types_of_Activity[Classification])=2,Term4_Early_Dismissal_6[[#This Row],[Elapsed]],0))</f>
        <v/>
      </c>
    </row>
    <row r="84" spans="2:42" x14ac:dyDescent="0.3">
      <c r="B84" s="136"/>
      <c r="C84" s="136"/>
      <c r="D84" s="103"/>
      <c r="E84" s="106" t="str">
        <f>IF(OR(ISBLANK(Term4_Early_Dismissal_1[[#This Row],[Start]]),ISBLANK(Term4_Early_Dismissal_1[[#This Row],[End]])),"",(Term4_Early_Dismissal_1[[#This Row],[End]]-Term4_Early_Dismissal_1[[#This Row],[Start]])*1440)</f>
        <v/>
      </c>
      <c r="F84" s="106" t="str">
        <f>IF(ISBLANK(Term4_Early_Dismissal_1[[#This Row],[Activity]]),"",IF(_xlfn.XLOOKUP(Term4_Early_Dismissal_1[[#This Row],[Activity]],Types_of_Activity[Type of Activity],Types_of_Activity[Classification])=1,Term4_Early_Dismissal_1[[#This Row],[Elapsed]],0))</f>
        <v/>
      </c>
      <c r="G84" s="106" t="str">
        <f>IF(ISBLANK(Term4_Early_Dismissal_1[[#This Row],[Activity]]),"",IF(_xlfn.XLOOKUP(Term4_Early_Dismissal_1[[#This Row],[Activity]],Types_of_Activity[Type of Activity],Types_of_Activity[Classification])=2,Term4_Early_Dismissal_1[[#This Row],[Elapsed]],0))</f>
        <v/>
      </c>
      <c r="H84"/>
      <c r="I84" s="136"/>
      <c r="J84" s="136"/>
      <c r="K84" s="103"/>
      <c r="L84" s="106" t="str">
        <f>IF(OR(ISBLANK(Term4_Early_Dismissal_2[[#This Row],[Start]]),ISBLANK(Term4_Early_Dismissal_2[[#This Row],[End]])),"",(Term4_Early_Dismissal_2[[#This Row],[End]]-Term4_Early_Dismissal_2[[#This Row],[Start]])*1440)</f>
        <v/>
      </c>
      <c r="M84" s="106" t="str">
        <f>IF(ISBLANK(Term4_Early_Dismissal_2[[#This Row],[Activity]]),"",IF(_xlfn.XLOOKUP(Term4_Early_Dismissal_2[[#This Row],[Activity]],Types_of_Activity[Type of Activity],Types_of_Activity[Classification])=1,Term4_Early_Dismissal_2[[#This Row],[Elapsed]],0))</f>
        <v/>
      </c>
      <c r="N84" s="106" t="str">
        <f>IF(ISBLANK(Term4_Early_Dismissal_2[[#This Row],[Activity]]),"",IF(_xlfn.XLOOKUP(Term4_Early_Dismissal_2[[#This Row],[Activity]],Types_of_Activity[Type of Activity],Types_of_Activity[Classification])=2,Term4_Early_Dismissal_2[[#This Row],[Elapsed]],0))</f>
        <v/>
      </c>
      <c r="O84"/>
      <c r="P84" s="136"/>
      <c r="Q84" s="136"/>
      <c r="R84" s="103"/>
      <c r="S84" s="106" t="str">
        <f>IF(OR(ISBLANK(Term4_Early_Dismissal_3[[#This Row],[Start]]),ISBLANK(Term4_Early_Dismissal_3[[#This Row],[End]])),"",(Term4_Early_Dismissal_3[[#This Row],[End]]-Term4_Early_Dismissal_3[[#This Row],[Start]])*1440)</f>
        <v/>
      </c>
      <c r="T84" s="106" t="str">
        <f>IF(ISBLANK(Term4_Early_Dismissal_3[[#This Row],[Activity]]),"",IF(_xlfn.XLOOKUP(Term4_Early_Dismissal_3[[#This Row],[Activity]],Types_of_Activity[Type of Activity],Types_of_Activity[Classification])=1,Term4_Early_Dismissal_3[[#This Row],[Elapsed]],0))</f>
        <v/>
      </c>
      <c r="U84" s="106" t="str">
        <f>IF(ISBLANK(Term4_Early_Dismissal_3[[#This Row],[Activity]]),"",IF(_xlfn.XLOOKUP(Term4_Early_Dismissal_3[[#This Row],[Activity]],Types_of_Activity[Type of Activity],Types_of_Activity[Classification])=2,Term4_Early_Dismissal_3[[#This Row],[Elapsed]],0))</f>
        <v/>
      </c>
      <c r="W84" s="136"/>
      <c r="X84" s="136"/>
      <c r="Y84" s="103"/>
      <c r="Z84" s="106" t="str">
        <f>IF(OR(ISBLANK(Term4_Early_Dismissal_4[[#This Row],[Start]]),ISBLANK(Term4_Early_Dismissal_4[[#This Row],[End]])),"",(Term4_Early_Dismissal_4[[#This Row],[End]]-Term4_Early_Dismissal_4[[#This Row],[Start]])*1440)</f>
        <v/>
      </c>
      <c r="AA84" s="106" t="str">
        <f>IF(ISBLANK(Term4_Early_Dismissal_4[[#This Row],[Activity]]),"",IF(_xlfn.XLOOKUP(Term4_Early_Dismissal_4[[#This Row],[Activity]],Types_of_Activity[Type of Activity],Types_of_Activity[Classification])=1,Term4_Early_Dismissal_4[[#This Row],[Elapsed]],0))</f>
        <v/>
      </c>
      <c r="AB84" s="106" t="str">
        <f>IF(ISBLANK(Term4_Early_Dismissal_4[[#This Row],[Activity]]),"",IF(_xlfn.XLOOKUP(Term4_Early_Dismissal_4[[#This Row],[Activity]],Types_of_Activity[Type of Activity],Types_of_Activity[Classification])=2,Term4_Early_Dismissal_4[[#This Row],[Elapsed]],0))</f>
        <v/>
      </c>
      <c r="AD84" s="136"/>
      <c r="AE84" s="136"/>
      <c r="AF84" s="103"/>
      <c r="AG84" s="106" t="str">
        <f>IF(OR(ISBLANK(Term4_Early_Dismissal_5[[#This Row],[Start]]),ISBLANK(Term4_Early_Dismissal_5[[#This Row],[End]])),"",(Term4_Early_Dismissal_5[[#This Row],[End]]-Term4_Early_Dismissal_5[[#This Row],[Start]])*1440)</f>
        <v/>
      </c>
      <c r="AH84" s="106" t="str">
        <f>IF(ISBLANK(Term4_Early_Dismissal_5[[#This Row],[Activity]]),"",IF(_xlfn.XLOOKUP(Term4_Early_Dismissal_5[[#This Row],[Activity]],Types_of_Activity[Type of Activity],Types_of_Activity[Classification])=1,Term4_Early_Dismissal_5[[#This Row],[Elapsed]],0))</f>
        <v/>
      </c>
      <c r="AI84" s="106" t="str">
        <f>IF(ISBLANK(Term4_Early_Dismissal_5[[#This Row],[Activity]]),"",IF(_xlfn.XLOOKUP(Term4_Early_Dismissal_5[[#This Row],[Activity]],Types_of_Activity[Type of Activity],Types_of_Activity[Classification])=2,Term4_Early_Dismissal_5[[#This Row],[Elapsed]],0))</f>
        <v/>
      </c>
      <c r="AK84" s="136"/>
      <c r="AL84" s="136"/>
      <c r="AM84" s="103"/>
      <c r="AN84" s="106" t="str">
        <f>IF(OR(ISBLANK(Term4_Early_Dismissal_6[[#This Row],[Start]]),ISBLANK(Term4_Early_Dismissal_6[[#This Row],[End]])),"",(Term4_Early_Dismissal_6[[#This Row],[End]]-Term4_Early_Dismissal_6[[#This Row],[Start]])*1440)</f>
        <v/>
      </c>
      <c r="AO84" s="106" t="str">
        <f>IF(ISBLANK(Term4_Early_Dismissal_6[[#This Row],[Activity]]),"",IF(_xlfn.XLOOKUP(Term4_Early_Dismissal_6[[#This Row],[Activity]],Types_of_Activity[Type of Activity],Types_of_Activity[Classification])=1,Term4_Early_Dismissal_6[[#This Row],[Elapsed]],0))</f>
        <v/>
      </c>
      <c r="AP84" s="106" t="str">
        <f>IF(ISBLANK(Term4_Early_Dismissal_6[[#This Row],[Activity]]),"",IF(_xlfn.XLOOKUP(Term4_Early_Dismissal_6[[#This Row],[Activity]],Types_of_Activity[Type of Activity],Types_of_Activity[Classification])=2,Term4_Early_Dismissal_6[[#This Row],[Elapsed]],0))</f>
        <v/>
      </c>
    </row>
    <row r="85" spans="2:42" x14ac:dyDescent="0.3">
      <c r="B85" s="136"/>
      <c r="C85" s="136"/>
      <c r="D85" s="103"/>
      <c r="E85" s="106" t="str">
        <f>IF(OR(ISBLANK(Term4_Early_Dismissal_1[[#This Row],[Start]]),ISBLANK(Term4_Early_Dismissal_1[[#This Row],[End]])),"",(Term4_Early_Dismissal_1[[#This Row],[End]]-Term4_Early_Dismissal_1[[#This Row],[Start]])*1440)</f>
        <v/>
      </c>
      <c r="F85" s="106" t="str">
        <f>IF(ISBLANK(Term4_Early_Dismissal_1[[#This Row],[Activity]]),"",IF(_xlfn.XLOOKUP(Term4_Early_Dismissal_1[[#This Row],[Activity]],Types_of_Activity[Type of Activity],Types_of_Activity[Classification])=1,Term4_Early_Dismissal_1[[#This Row],[Elapsed]],0))</f>
        <v/>
      </c>
      <c r="G85" s="106" t="str">
        <f>IF(ISBLANK(Term4_Early_Dismissal_1[[#This Row],[Activity]]),"",IF(_xlfn.XLOOKUP(Term4_Early_Dismissal_1[[#This Row],[Activity]],Types_of_Activity[Type of Activity],Types_of_Activity[Classification])=2,Term4_Early_Dismissal_1[[#This Row],[Elapsed]],0))</f>
        <v/>
      </c>
      <c r="H85"/>
      <c r="I85" s="136"/>
      <c r="J85" s="136"/>
      <c r="K85" s="103"/>
      <c r="L85" s="106" t="str">
        <f>IF(OR(ISBLANK(Term4_Early_Dismissal_2[[#This Row],[Start]]),ISBLANK(Term4_Early_Dismissal_2[[#This Row],[End]])),"",(Term4_Early_Dismissal_2[[#This Row],[End]]-Term4_Early_Dismissal_2[[#This Row],[Start]])*1440)</f>
        <v/>
      </c>
      <c r="M85" s="106" t="str">
        <f>IF(ISBLANK(Term4_Early_Dismissal_2[[#This Row],[Activity]]),"",IF(_xlfn.XLOOKUP(Term4_Early_Dismissal_2[[#This Row],[Activity]],Types_of_Activity[Type of Activity],Types_of_Activity[Classification])=1,Term4_Early_Dismissal_2[[#This Row],[Elapsed]],0))</f>
        <v/>
      </c>
      <c r="N85" s="106" t="str">
        <f>IF(ISBLANK(Term4_Early_Dismissal_2[[#This Row],[Activity]]),"",IF(_xlfn.XLOOKUP(Term4_Early_Dismissal_2[[#This Row],[Activity]],Types_of_Activity[Type of Activity],Types_of_Activity[Classification])=2,Term4_Early_Dismissal_2[[#This Row],[Elapsed]],0))</f>
        <v/>
      </c>
      <c r="O85"/>
      <c r="P85" s="136"/>
      <c r="Q85" s="136"/>
      <c r="R85" s="103"/>
      <c r="S85" s="106" t="str">
        <f>IF(OR(ISBLANK(Term4_Early_Dismissal_3[[#This Row],[Start]]),ISBLANK(Term4_Early_Dismissal_3[[#This Row],[End]])),"",(Term4_Early_Dismissal_3[[#This Row],[End]]-Term4_Early_Dismissal_3[[#This Row],[Start]])*1440)</f>
        <v/>
      </c>
      <c r="T85" s="106" t="str">
        <f>IF(ISBLANK(Term4_Early_Dismissal_3[[#This Row],[Activity]]),"",IF(_xlfn.XLOOKUP(Term4_Early_Dismissal_3[[#This Row],[Activity]],Types_of_Activity[Type of Activity],Types_of_Activity[Classification])=1,Term4_Early_Dismissal_3[[#This Row],[Elapsed]],0))</f>
        <v/>
      </c>
      <c r="U85" s="106" t="str">
        <f>IF(ISBLANK(Term4_Early_Dismissal_3[[#This Row],[Activity]]),"",IF(_xlfn.XLOOKUP(Term4_Early_Dismissal_3[[#This Row],[Activity]],Types_of_Activity[Type of Activity],Types_of_Activity[Classification])=2,Term4_Early_Dismissal_3[[#This Row],[Elapsed]],0))</f>
        <v/>
      </c>
      <c r="W85" s="136"/>
      <c r="X85" s="136"/>
      <c r="Y85" s="103"/>
      <c r="Z85" s="106" t="str">
        <f>IF(OR(ISBLANK(Term4_Early_Dismissal_4[[#This Row],[Start]]),ISBLANK(Term4_Early_Dismissal_4[[#This Row],[End]])),"",(Term4_Early_Dismissal_4[[#This Row],[End]]-Term4_Early_Dismissal_4[[#This Row],[Start]])*1440)</f>
        <v/>
      </c>
      <c r="AA85" s="106" t="str">
        <f>IF(ISBLANK(Term4_Early_Dismissal_4[[#This Row],[Activity]]),"",IF(_xlfn.XLOOKUP(Term4_Early_Dismissal_4[[#This Row],[Activity]],Types_of_Activity[Type of Activity],Types_of_Activity[Classification])=1,Term4_Early_Dismissal_4[[#This Row],[Elapsed]],0))</f>
        <v/>
      </c>
      <c r="AB85" s="106" t="str">
        <f>IF(ISBLANK(Term4_Early_Dismissal_4[[#This Row],[Activity]]),"",IF(_xlfn.XLOOKUP(Term4_Early_Dismissal_4[[#This Row],[Activity]],Types_of_Activity[Type of Activity],Types_of_Activity[Classification])=2,Term4_Early_Dismissal_4[[#This Row],[Elapsed]],0))</f>
        <v/>
      </c>
      <c r="AD85" s="136"/>
      <c r="AE85" s="136"/>
      <c r="AF85" s="103"/>
      <c r="AG85" s="106" t="str">
        <f>IF(OR(ISBLANK(Term4_Early_Dismissal_5[[#This Row],[Start]]),ISBLANK(Term4_Early_Dismissal_5[[#This Row],[End]])),"",(Term4_Early_Dismissal_5[[#This Row],[End]]-Term4_Early_Dismissal_5[[#This Row],[Start]])*1440)</f>
        <v/>
      </c>
      <c r="AH85" s="106" t="str">
        <f>IF(ISBLANK(Term4_Early_Dismissal_5[[#This Row],[Activity]]),"",IF(_xlfn.XLOOKUP(Term4_Early_Dismissal_5[[#This Row],[Activity]],Types_of_Activity[Type of Activity],Types_of_Activity[Classification])=1,Term4_Early_Dismissal_5[[#This Row],[Elapsed]],0))</f>
        <v/>
      </c>
      <c r="AI85" s="106" t="str">
        <f>IF(ISBLANK(Term4_Early_Dismissal_5[[#This Row],[Activity]]),"",IF(_xlfn.XLOOKUP(Term4_Early_Dismissal_5[[#This Row],[Activity]],Types_of_Activity[Type of Activity],Types_of_Activity[Classification])=2,Term4_Early_Dismissal_5[[#This Row],[Elapsed]],0))</f>
        <v/>
      </c>
      <c r="AK85" s="136"/>
      <c r="AL85" s="136"/>
      <c r="AM85" s="103"/>
      <c r="AN85" s="106" t="str">
        <f>IF(OR(ISBLANK(Term4_Early_Dismissal_6[[#This Row],[Start]]),ISBLANK(Term4_Early_Dismissal_6[[#This Row],[End]])),"",(Term4_Early_Dismissal_6[[#This Row],[End]]-Term4_Early_Dismissal_6[[#This Row],[Start]])*1440)</f>
        <v/>
      </c>
      <c r="AO85" s="106" t="str">
        <f>IF(ISBLANK(Term4_Early_Dismissal_6[[#This Row],[Activity]]),"",IF(_xlfn.XLOOKUP(Term4_Early_Dismissal_6[[#This Row],[Activity]],Types_of_Activity[Type of Activity],Types_of_Activity[Classification])=1,Term4_Early_Dismissal_6[[#This Row],[Elapsed]],0))</f>
        <v/>
      </c>
      <c r="AP85" s="106" t="str">
        <f>IF(ISBLANK(Term4_Early_Dismissal_6[[#This Row],[Activity]]),"",IF(_xlfn.XLOOKUP(Term4_Early_Dismissal_6[[#This Row],[Activity]],Types_of_Activity[Type of Activity],Types_of_Activity[Classification])=2,Term4_Early_Dismissal_6[[#This Row],[Elapsed]],0))</f>
        <v/>
      </c>
    </row>
    <row r="86" spans="2:42" x14ac:dyDescent="0.3">
      <c r="B86" s="136"/>
      <c r="C86" s="136"/>
      <c r="D86" s="103"/>
      <c r="E86" s="106" t="str">
        <f>IF(OR(ISBLANK(Term4_Early_Dismissal_1[[#This Row],[Start]]),ISBLANK(Term4_Early_Dismissal_1[[#This Row],[End]])),"",(Term4_Early_Dismissal_1[[#This Row],[End]]-Term4_Early_Dismissal_1[[#This Row],[Start]])*1440)</f>
        <v/>
      </c>
      <c r="F86" s="106" t="str">
        <f>IF(ISBLANK(Term4_Early_Dismissal_1[[#This Row],[Activity]]),"",IF(_xlfn.XLOOKUP(Term4_Early_Dismissal_1[[#This Row],[Activity]],Types_of_Activity[Type of Activity],Types_of_Activity[Classification])=1,Term4_Early_Dismissal_1[[#This Row],[Elapsed]],0))</f>
        <v/>
      </c>
      <c r="G86" s="106" t="str">
        <f>IF(ISBLANK(Term4_Early_Dismissal_1[[#This Row],[Activity]]),"",IF(_xlfn.XLOOKUP(Term4_Early_Dismissal_1[[#This Row],[Activity]],Types_of_Activity[Type of Activity],Types_of_Activity[Classification])=2,Term4_Early_Dismissal_1[[#This Row],[Elapsed]],0))</f>
        <v/>
      </c>
      <c r="H86"/>
      <c r="I86" s="136"/>
      <c r="J86" s="136"/>
      <c r="K86" s="103"/>
      <c r="L86" s="106" t="str">
        <f>IF(OR(ISBLANK(Term4_Early_Dismissal_2[[#This Row],[Start]]),ISBLANK(Term4_Early_Dismissal_2[[#This Row],[End]])),"",(Term4_Early_Dismissal_2[[#This Row],[End]]-Term4_Early_Dismissal_2[[#This Row],[Start]])*1440)</f>
        <v/>
      </c>
      <c r="M86" s="106" t="str">
        <f>IF(ISBLANK(Term4_Early_Dismissal_2[[#This Row],[Activity]]),"",IF(_xlfn.XLOOKUP(Term4_Early_Dismissal_2[[#This Row],[Activity]],Types_of_Activity[Type of Activity],Types_of_Activity[Classification])=1,Term4_Early_Dismissal_2[[#This Row],[Elapsed]],0))</f>
        <v/>
      </c>
      <c r="N86" s="106" t="str">
        <f>IF(ISBLANK(Term4_Early_Dismissal_2[[#This Row],[Activity]]),"",IF(_xlfn.XLOOKUP(Term4_Early_Dismissal_2[[#This Row],[Activity]],Types_of_Activity[Type of Activity],Types_of_Activity[Classification])=2,Term4_Early_Dismissal_2[[#This Row],[Elapsed]],0))</f>
        <v/>
      </c>
      <c r="O86"/>
      <c r="P86" s="136"/>
      <c r="Q86" s="136"/>
      <c r="R86" s="103"/>
      <c r="S86" s="106" t="str">
        <f>IF(OR(ISBLANK(Term4_Early_Dismissal_3[[#This Row],[Start]]),ISBLANK(Term4_Early_Dismissal_3[[#This Row],[End]])),"",(Term4_Early_Dismissal_3[[#This Row],[End]]-Term4_Early_Dismissal_3[[#This Row],[Start]])*1440)</f>
        <v/>
      </c>
      <c r="T86" s="106" t="str">
        <f>IF(ISBLANK(Term4_Early_Dismissal_3[[#This Row],[Activity]]),"",IF(_xlfn.XLOOKUP(Term4_Early_Dismissal_3[[#This Row],[Activity]],Types_of_Activity[Type of Activity],Types_of_Activity[Classification])=1,Term4_Early_Dismissal_3[[#This Row],[Elapsed]],0))</f>
        <v/>
      </c>
      <c r="U86" s="106" t="str">
        <f>IF(ISBLANK(Term4_Early_Dismissal_3[[#This Row],[Activity]]),"",IF(_xlfn.XLOOKUP(Term4_Early_Dismissal_3[[#This Row],[Activity]],Types_of_Activity[Type of Activity],Types_of_Activity[Classification])=2,Term4_Early_Dismissal_3[[#This Row],[Elapsed]],0))</f>
        <v/>
      </c>
      <c r="W86" s="136"/>
      <c r="X86" s="136"/>
      <c r="Y86" s="103"/>
      <c r="Z86" s="106" t="str">
        <f>IF(OR(ISBLANK(Term4_Early_Dismissal_4[[#This Row],[Start]]),ISBLANK(Term4_Early_Dismissal_4[[#This Row],[End]])),"",(Term4_Early_Dismissal_4[[#This Row],[End]]-Term4_Early_Dismissal_4[[#This Row],[Start]])*1440)</f>
        <v/>
      </c>
      <c r="AA86" s="106" t="str">
        <f>IF(ISBLANK(Term4_Early_Dismissal_4[[#This Row],[Activity]]),"",IF(_xlfn.XLOOKUP(Term4_Early_Dismissal_4[[#This Row],[Activity]],Types_of_Activity[Type of Activity],Types_of_Activity[Classification])=1,Term4_Early_Dismissal_4[[#This Row],[Elapsed]],0))</f>
        <v/>
      </c>
      <c r="AB86" s="106" t="str">
        <f>IF(ISBLANK(Term4_Early_Dismissal_4[[#This Row],[Activity]]),"",IF(_xlfn.XLOOKUP(Term4_Early_Dismissal_4[[#This Row],[Activity]],Types_of_Activity[Type of Activity],Types_of_Activity[Classification])=2,Term4_Early_Dismissal_4[[#This Row],[Elapsed]],0))</f>
        <v/>
      </c>
      <c r="AD86" s="136"/>
      <c r="AE86" s="136"/>
      <c r="AF86" s="103"/>
      <c r="AG86" s="106" t="str">
        <f>IF(OR(ISBLANK(Term4_Early_Dismissal_5[[#This Row],[Start]]),ISBLANK(Term4_Early_Dismissal_5[[#This Row],[End]])),"",(Term4_Early_Dismissal_5[[#This Row],[End]]-Term4_Early_Dismissal_5[[#This Row],[Start]])*1440)</f>
        <v/>
      </c>
      <c r="AH86" s="106" t="str">
        <f>IF(ISBLANK(Term4_Early_Dismissal_5[[#This Row],[Activity]]),"",IF(_xlfn.XLOOKUP(Term4_Early_Dismissal_5[[#This Row],[Activity]],Types_of_Activity[Type of Activity],Types_of_Activity[Classification])=1,Term4_Early_Dismissal_5[[#This Row],[Elapsed]],0))</f>
        <v/>
      </c>
      <c r="AI86" s="106" t="str">
        <f>IF(ISBLANK(Term4_Early_Dismissal_5[[#This Row],[Activity]]),"",IF(_xlfn.XLOOKUP(Term4_Early_Dismissal_5[[#This Row],[Activity]],Types_of_Activity[Type of Activity],Types_of_Activity[Classification])=2,Term4_Early_Dismissal_5[[#This Row],[Elapsed]],0))</f>
        <v/>
      </c>
      <c r="AK86" s="136"/>
      <c r="AL86" s="136"/>
      <c r="AM86" s="103"/>
      <c r="AN86" s="106" t="str">
        <f>IF(OR(ISBLANK(Term4_Early_Dismissal_6[[#This Row],[Start]]),ISBLANK(Term4_Early_Dismissal_6[[#This Row],[End]])),"",(Term4_Early_Dismissal_6[[#This Row],[End]]-Term4_Early_Dismissal_6[[#This Row],[Start]])*1440)</f>
        <v/>
      </c>
      <c r="AO86" s="106" t="str">
        <f>IF(ISBLANK(Term4_Early_Dismissal_6[[#This Row],[Activity]]),"",IF(_xlfn.XLOOKUP(Term4_Early_Dismissal_6[[#This Row],[Activity]],Types_of_Activity[Type of Activity],Types_of_Activity[Classification])=1,Term4_Early_Dismissal_6[[#This Row],[Elapsed]],0))</f>
        <v/>
      </c>
      <c r="AP86" s="106" t="str">
        <f>IF(ISBLANK(Term4_Early_Dismissal_6[[#This Row],[Activity]]),"",IF(_xlfn.XLOOKUP(Term4_Early_Dismissal_6[[#This Row],[Activity]],Types_of_Activity[Type of Activity],Types_of_Activity[Classification])=2,Term4_Early_Dismissal_6[[#This Row],[Elapsed]],0))</f>
        <v/>
      </c>
    </row>
    <row r="87" spans="2:42" x14ac:dyDescent="0.3">
      <c r="B87" s="136"/>
      <c r="C87" s="136"/>
      <c r="D87" s="103"/>
      <c r="E87" s="106" t="str">
        <f>IF(OR(ISBLANK(Term4_Early_Dismissal_1[[#This Row],[Start]]),ISBLANK(Term4_Early_Dismissal_1[[#This Row],[End]])),"",(Term4_Early_Dismissal_1[[#This Row],[End]]-Term4_Early_Dismissal_1[[#This Row],[Start]])*1440)</f>
        <v/>
      </c>
      <c r="F87" s="106" t="str">
        <f>IF(ISBLANK(Term4_Early_Dismissal_1[[#This Row],[Activity]]),"",IF(_xlfn.XLOOKUP(Term4_Early_Dismissal_1[[#This Row],[Activity]],Types_of_Activity[Type of Activity],Types_of_Activity[Classification])=1,Term4_Early_Dismissal_1[[#This Row],[Elapsed]],0))</f>
        <v/>
      </c>
      <c r="G87" s="106" t="str">
        <f>IF(ISBLANK(Term4_Early_Dismissal_1[[#This Row],[Activity]]),"",IF(_xlfn.XLOOKUP(Term4_Early_Dismissal_1[[#This Row],[Activity]],Types_of_Activity[Type of Activity],Types_of_Activity[Classification])=2,Term4_Early_Dismissal_1[[#This Row],[Elapsed]],0))</f>
        <v/>
      </c>
      <c r="H87"/>
      <c r="I87" s="136"/>
      <c r="J87" s="136"/>
      <c r="K87" s="103"/>
      <c r="L87" s="106" t="str">
        <f>IF(OR(ISBLANK(Term4_Early_Dismissal_2[[#This Row],[Start]]),ISBLANK(Term4_Early_Dismissal_2[[#This Row],[End]])),"",(Term4_Early_Dismissal_2[[#This Row],[End]]-Term4_Early_Dismissal_2[[#This Row],[Start]])*1440)</f>
        <v/>
      </c>
      <c r="M87" s="106" t="str">
        <f>IF(ISBLANK(Term4_Early_Dismissal_2[[#This Row],[Activity]]),"",IF(_xlfn.XLOOKUP(Term4_Early_Dismissal_2[[#This Row],[Activity]],Types_of_Activity[Type of Activity],Types_of_Activity[Classification])=1,Term4_Early_Dismissal_2[[#This Row],[Elapsed]],0))</f>
        <v/>
      </c>
      <c r="N87" s="106" t="str">
        <f>IF(ISBLANK(Term4_Early_Dismissal_2[[#This Row],[Activity]]),"",IF(_xlfn.XLOOKUP(Term4_Early_Dismissal_2[[#This Row],[Activity]],Types_of_Activity[Type of Activity],Types_of_Activity[Classification])=2,Term4_Early_Dismissal_2[[#This Row],[Elapsed]],0))</f>
        <v/>
      </c>
      <c r="O87"/>
      <c r="P87" s="136"/>
      <c r="Q87" s="136"/>
      <c r="R87" s="103"/>
      <c r="S87" s="106" t="str">
        <f>IF(OR(ISBLANK(Term4_Early_Dismissal_3[[#This Row],[Start]]),ISBLANK(Term4_Early_Dismissal_3[[#This Row],[End]])),"",(Term4_Early_Dismissal_3[[#This Row],[End]]-Term4_Early_Dismissal_3[[#This Row],[Start]])*1440)</f>
        <v/>
      </c>
      <c r="T87" s="106" t="str">
        <f>IF(ISBLANK(Term4_Early_Dismissal_3[[#This Row],[Activity]]),"",IF(_xlfn.XLOOKUP(Term4_Early_Dismissal_3[[#This Row],[Activity]],Types_of_Activity[Type of Activity],Types_of_Activity[Classification])=1,Term4_Early_Dismissal_3[[#This Row],[Elapsed]],0))</f>
        <v/>
      </c>
      <c r="U87" s="106" t="str">
        <f>IF(ISBLANK(Term4_Early_Dismissal_3[[#This Row],[Activity]]),"",IF(_xlfn.XLOOKUP(Term4_Early_Dismissal_3[[#This Row],[Activity]],Types_of_Activity[Type of Activity],Types_of_Activity[Classification])=2,Term4_Early_Dismissal_3[[#This Row],[Elapsed]],0))</f>
        <v/>
      </c>
      <c r="W87" s="136"/>
      <c r="X87" s="136"/>
      <c r="Y87" s="103"/>
      <c r="Z87" s="106" t="str">
        <f>IF(OR(ISBLANK(Term4_Early_Dismissal_4[[#This Row],[Start]]),ISBLANK(Term4_Early_Dismissal_4[[#This Row],[End]])),"",(Term4_Early_Dismissal_4[[#This Row],[End]]-Term4_Early_Dismissal_4[[#This Row],[Start]])*1440)</f>
        <v/>
      </c>
      <c r="AA87" s="106" t="str">
        <f>IF(ISBLANK(Term4_Early_Dismissal_4[[#This Row],[Activity]]),"",IF(_xlfn.XLOOKUP(Term4_Early_Dismissal_4[[#This Row],[Activity]],Types_of_Activity[Type of Activity],Types_of_Activity[Classification])=1,Term4_Early_Dismissal_4[[#This Row],[Elapsed]],0))</f>
        <v/>
      </c>
      <c r="AB87" s="106" t="str">
        <f>IF(ISBLANK(Term4_Early_Dismissal_4[[#This Row],[Activity]]),"",IF(_xlfn.XLOOKUP(Term4_Early_Dismissal_4[[#This Row],[Activity]],Types_of_Activity[Type of Activity],Types_of_Activity[Classification])=2,Term4_Early_Dismissal_4[[#This Row],[Elapsed]],0))</f>
        <v/>
      </c>
      <c r="AD87" s="136"/>
      <c r="AE87" s="136"/>
      <c r="AF87" s="103"/>
      <c r="AG87" s="106" t="str">
        <f>IF(OR(ISBLANK(Term4_Early_Dismissal_5[[#This Row],[Start]]),ISBLANK(Term4_Early_Dismissal_5[[#This Row],[End]])),"",(Term4_Early_Dismissal_5[[#This Row],[End]]-Term4_Early_Dismissal_5[[#This Row],[Start]])*1440)</f>
        <v/>
      </c>
      <c r="AH87" s="106" t="str">
        <f>IF(ISBLANK(Term4_Early_Dismissal_5[[#This Row],[Activity]]),"",IF(_xlfn.XLOOKUP(Term4_Early_Dismissal_5[[#This Row],[Activity]],Types_of_Activity[Type of Activity],Types_of_Activity[Classification])=1,Term4_Early_Dismissal_5[[#This Row],[Elapsed]],0))</f>
        <v/>
      </c>
      <c r="AI87" s="106" t="str">
        <f>IF(ISBLANK(Term4_Early_Dismissal_5[[#This Row],[Activity]]),"",IF(_xlfn.XLOOKUP(Term4_Early_Dismissal_5[[#This Row],[Activity]],Types_of_Activity[Type of Activity],Types_of_Activity[Classification])=2,Term4_Early_Dismissal_5[[#This Row],[Elapsed]],0))</f>
        <v/>
      </c>
      <c r="AK87" s="136"/>
      <c r="AL87" s="136"/>
      <c r="AM87" s="103"/>
      <c r="AN87" s="106" t="str">
        <f>IF(OR(ISBLANK(Term4_Early_Dismissal_6[[#This Row],[Start]]),ISBLANK(Term4_Early_Dismissal_6[[#This Row],[End]])),"",(Term4_Early_Dismissal_6[[#This Row],[End]]-Term4_Early_Dismissal_6[[#This Row],[Start]])*1440)</f>
        <v/>
      </c>
      <c r="AO87" s="106" t="str">
        <f>IF(ISBLANK(Term4_Early_Dismissal_6[[#This Row],[Activity]]),"",IF(_xlfn.XLOOKUP(Term4_Early_Dismissal_6[[#This Row],[Activity]],Types_of_Activity[Type of Activity],Types_of_Activity[Classification])=1,Term4_Early_Dismissal_6[[#This Row],[Elapsed]],0))</f>
        <v/>
      </c>
      <c r="AP87" s="106" t="str">
        <f>IF(ISBLANK(Term4_Early_Dismissal_6[[#This Row],[Activity]]),"",IF(_xlfn.XLOOKUP(Term4_Early_Dismissal_6[[#This Row],[Activity]],Types_of_Activity[Type of Activity],Types_of_Activity[Classification])=2,Term4_Early_Dismissal_6[[#This Row],[Elapsed]],0))</f>
        <v/>
      </c>
    </row>
    <row r="88" spans="2:42" x14ac:dyDescent="0.3">
      <c r="B88" s="136"/>
      <c r="C88" s="136"/>
      <c r="D88" s="103"/>
      <c r="E88" s="106" t="str">
        <f>IF(OR(ISBLANK(Term4_Early_Dismissal_1[[#This Row],[Start]]),ISBLANK(Term4_Early_Dismissal_1[[#This Row],[End]])),"",(Term4_Early_Dismissal_1[[#This Row],[End]]-Term4_Early_Dismissal_1[[#This Row],[Start]])*1440)</f>
        <v/>
      </c>
      <c r="F88" s="106" t="str">
        <f>IF(ISBLANK(Term4_Early_Dismissal_1[[#This Row],[Activity]]),"",IF(_xlfn.XLOOKUP(Term4_Early_Dismissal_1[[#This Row],[Activity]],Types_of_Activity[Type of Activity],Types_of_Activity[Classification])=1,Term4_Early_Dismissal_1[[#This Row],[Elapsed]],0))</f>
        <v/>
      </c>
      <c r="G88" s="106" t="str">
        <f>IF(ISBLANK(Term4_Early_Dismissal_1[[#This Row],[Activity]]),"",IF(_xlfn.XLOOKUP(Term4_Early_Dismissal_1[[#This Row],[Activity]],Types_of_Activity[Type of Activity],Types_of_Activity[Classification])=2,Term4_Early_Dismissal_1[[#This Row],[Elapsed]],0))</f>
        <v/>
      </c>
      <c r="H88"/>
      <c r="I88" s="136"/>
      <c r="J88" s="136"/>
      <c r="K88" s="103"/>
      <c r="L88" s="106" t="str">
        <f>IF(OR(ISBLANK(Term4_Early_Dismissal_2[[#This Row],[Start]]),ISBLANK(Term4_Early_Dismissal_2[[#This Row],[End]])),"",(Term4_Early_Dismissal_2[[#This Row],[End]]-Term4_Early_Dismissal_2[[#This Row],[Start]])*1440)</f>
        <v/>
      </c>
      <c r="M88" s="106" t="str">
        <f>IF(ISBLANK(Term4_Early_Dismissal_2[[#This Row],[Activity]]),"",IF(_xlfn.XLOOKUP(Term4_Early_Dismissal_2[[#This Row],[Activity]],Types_of_Activity[Type of Activity],Types_of_Activity[Classification])=1,Term4_Early_Dismissal_2[[#This Row],[Elapsed]],0))</f>
        <v/>
      </c>
      <c r="N88" s="106" t="str">
        <f>IF(ISBLANK(Term4_Early_Dismissal_2[[#This Row],[Activity]]),"",IF(_xlfn.XLOOKUP(Term4_Early_Dismissal_2[[#This Row],[Activity]],Types_of_Activity[Type of Activity],Types_of_Activity[Classification])=2,Term4_Early_Dismissal_2[[#This Row],[Elapsed]],0))</f>
        <v/>
      </c>
      <c r="O88"/>
      <c r="P88" s="136"/>
      <c r="Q88" s="136"/>
      <c r="R88" s="103"/>
      <c r="S88" s="106" t="str">
        <f>IF(OR(ISBLANK(Term4_Early_Dismissal_3[[#This Row],[Start]]),ISBLANK(Term4_Early_Dismissal_3[[#This Row],[End]])),"",(Term4_Early_Dismissal_3[[#This Row],[End]]-Term4_Early_Dismissal_3[[#This Row],[Start]])*1440)</f>
        <v/>
      </c>
      <c r="T88" s="106" t="str">
        <f>IF(ISBLANK(Term4_Early_Dismissal_3[[#This Row],[Activity]]),"",IF(_xlfn.XLOOKUP(Term4_Early_Dismissal_3[[#This Row],[Activity]],Types_of_Activity[Type of Activity],Types_of_Activity[Classification])=1,Term4_Early_Dismissal_3[[#This Row],[Elapsed]],0))</f>
        <v/>
      </c>
      <c r="U88" s="106" t="str">
        <f>IF(ISBLANK(Term4_Early_Dismissal_3[[#This Row],[Activity]]),"",IF(_xlfn.XLOOKUP(Term4_Early_Dismissal_3[[#This Row],[Activity]],Types_of_Activity[Type of Activity],Types_of_Activity[Classification])=2,Term4_Early_Dismissal_3[[#This Row],[Elapsed]],0))</f>
        <v/>
      </c>
      <c r="W88" s="136"/>
      <c r="X88" s="136"/>
      <c r="Y88" s="103"/>
      <c r="Z88" s="106" t="str">
        <f>IF(OR(ISBLANK(Term4_Early_Dismissal_4[[#This Row],[Start]]),ISBLANK(Term4_Early_Dismissal_4[[#This Row],[End]])),"",(Term4_Early_Dismissal_4[[#This Row],[End]]-Term4_Early_Dismissal_4[[#This Row],[Start]])*1440)</f>
        <v/>
      </c>
      <c r="AA88" s="106" t="str">
        <f>IF(ISBLANK(Term4_Early_Dismissal_4[[#This Row],[Activity]]),"",IF(_xlfn.XLOOKUP(Term4_Early_Dismissal_4[[#This Row],[Activity]],Types_of_Activity[Type of Activity],Types_of_Activity[Classification])=1,Term4_Early_Dismissal_4[[#This Row],[Elapsed]],0))</f>
        <v/>
      </c>
      <c r="AB88" s="106" t="str">
        <f>IF(ISBLANK(Term4_Early_Dismissal_4[[#This Row],[Activity]]),"",IF(_xlfn.XLOOKUP(Term4_Early_Dismissal_4[[#This Row],[Activity]],Types_of_Activity[Type of Activity],Types_of_Activity[Classification])=2,Term4_Early_Dismissal_4[[#This Row],[Elapsed]],0))</f>
        <v/>
      </c>
      <c r="AD88" s="136"/>
      <c r="AE88" s="136"/>
      <c r="AF88" s="103"/>
      <c r="AG88" s="106" t="str">
        <f>IF(OR(ISBLANK(Term4_Early_Dismissal_5[[#This Row],[Start]]),ISBLANK(Term4_Early_Dismissal_5[[#This Row],[End]])),"",(Term4_Early_Dismissal_5[[#This Row],[End]]-Term4_Early_Dismissal_5[[#This Row],[Start]])*1440)</f>
        <v/>
      </c>
      <c r="AH88" s="106" t="str">
        <f>IF(ISBLANK(Term4_Early_Dismissal_5[[#This Row],[Activity]]),"",IF(_xlfn.XLOOKUP(Term4_Early_Dismissal_5[[#This Row],[Activity]],Types_of_Activity[Type of Activity],Types_of_Activity[Classification])=1,Term4_Early_Dismissal_5[[#This Row],[Elapsed]],0))</f>
        <v/>
      </c>
      <c r="AI88" s="106" t="str">
        <f>IF(ISBLANK(Term4_Early_Dismissal_5[[#This Row],[Activity]]),"",IF(_xlfn.XLOOKUP(Term4_Early_Dismissal_5[[#This Row],[Activity]],Types_of_Activity[Type of Activity],Types_of_Activity[Classification])=2,Term4_Early_Dismissal_5[[#This Row],[Elapsed]],0))</f>
        <v/>
      </c>
      <c r="AK88" s="136"/>
      <c r="AL88" s="136"/>
      <c r="AM88" s="103"/>
      <c r="AN88" s="106" t="str">
        <f>IF(OR(ISBLANK(Term4_Early_Dismissal_6[[#This Row],[Start]]),ISBLANK(Term4_Early_Dismissal_6[[#This Row],[End]])),"",(Term4_Early_Dismissal_6[[#This Row],[End]]-Term4_Early_Dismissal_6[[#This Row],[Start]])*1440)</f>
        <v/>
      </c>
      <c r="AO88" s="106" t="str">
        <f>IF(ISBLANK(Term4_Early_Dismissal_6[[#This Row],[Activity]]),"",IF(_xlfn.XLOOKUP(Term4_Early_Dismissal_6[[#This Row],[Activity]],Types_of_Activity[Type of Activity],Types_of_Activity[Classification])=1,Term4_Early_Dismissal_6[[#This Row],[Elapsed]],0))</f>
        <v/>
      </c>
      <c r="AP88" s="106" t="str">
        <f>IF(ISBLANK(Term4_Early_Dismissal_6[[#This Row],[Activity]]),"",IF(_xlfn.XLOOKUP(Term4_Early_Dismissal_6[[#This Row],[Activity]],Types_of_Activity[Type of Activity],Types_of_Activity[Classification])=2,Term4_Early_Dismissal_6[[#This Row],[Elapsed]],0))</f>
        <v/>
      </c>
    </row>
    <row r="89" spans="2:42" x14ac:dyDescent="0.3">
      <c r="B89" s="136"/>
      <c r="C89" s="136"/>
      <c r="D89" s="103"/>
      <c r="E89" s="106" t="str">
        <f>IF(OR(ISBLANK(Term4_Early_Dismissal_1[[#This Row],[Start]]),ISBLANK(Term4_Early_Dismissal_1[[#This Row],[End]])),"",(Term4_Early_Dismissal_1[[#This Row],[End]]-Term4_Early_Dismissal_1[[#This Row],[Start]])*1440)</f>
        <v/>
      </c>
      <c r="F89" s="106" t="str">
        <f>IF(ISBLANK(Term4_Early_Dismissal_1[[#This Row],[Activity]]),"",IF(_xlfn.XLOOKUP(Term4_Early_Dismissal_1[[#This Row],[Activity]],Types_of_Activity[Type of Activity],Types_of_Activity[Classification])=1,Term4_Early_Dismissal_1[[#This Row],[Elapsed]],0))</f>
        <v/>
      </c>
      <c r="G89" s="106" t="str">
        <f>IF(ISBLANK(Term4_Early_Dismissal_1[[#This Row],[Activity]]),"",IF(_xlfn.XLOOKUP(Term4_Early_Dismissal_1[[#This Row],[Activity]],Types_of_Activity[Type of Activity],Types_of_Activity[Classification])=2,Term4_Early_Dismissal_1[[#This Row],[Elapsed]],0))</f>
        <v/>
      </c>
      <c r="H89"/>
      <c r="I89" s="136"/>
      <c r="J89" s="136"/>
      <c r="K89" s="103"/>
      <c r="L89" s="106" t="str">
        <f>IF(OR(ISBLANK(Term4_Early_Dismissal_2[[#This Row],[Start]]),ISBLANK(Term4_Early_Dismissal_2[[#This Row],[End]])),"",(Term4_Early_Dismissal_2[[#This Row],[End]]-Term4_Early_Dismissal_2[[#This Row],[Start]])*1440)</f>
        <v/>
      </c>
      <c r="M89" s="106" t="str">
        <f>IF(ISBLANK(Term4_Early_Dismissal_2[[#This Row],[Activity]]),"",IF(_xlfn.XLOOKUP(Term4_Early_Dismissal_2[[#This Row],[Activity]],Types_of_Activity[Type of Activity],Types_of_Activity[Classification])=1,Term4_Early_Dismissal_2[[#This Row],[Elapsed]],0))</f>
        <v/>
      </c>
      <c r="N89" s="106" t="str">
        <f>IF(ISBLANK(Term4_Early_Dismissal_2[[#This Row],[Activity]]),"",IF(_xlfn.XLOOKUP(Term4_Early_Dismissal_2[[#This Row],[Activity]],Types_of_Activity[Type of Activity],Types_of_Activity[Classification])=2,Term4_Early_Dismissal_2[[#This Row],[Elapsed]],0))</f>
        <v/>
      </c>
      <c r="O89"/>
      <c r="P89" s="136"/>
      <c r="Q89" s="136"/>
      <c r="R89" s="103"/>
      <c r="S89" s="106" t="str">
        <f>IF(OR(ISBLANK(Term4_Early_Dismissal_3[[#This Row],[Start]]),ISBLANK(Term4_Early_Dismissal_3[[#This Row],[End]])),"",(Term4_Early_Dismissal_3[[#This Row],[End]]-Term4_Early_Dismissal_3[[#This Row],[Start]])*1440)</f>
        <v/>
      </c>
      <c r="T89" s="106" t="str">
        <f>IF(ISBLANK(Term4_Early_Dismissal_3[[#This Row],[Activity]]),"",IF(_xlfn.XLOOKUP(Term4_Early_Dismissal_3[[#This Row],[Activity]],Types_of_Activity[Type of Activity],Types_of_Activity[Classification])=1,Term4_Early_Dismissal_3[[#This Row],[Elapsed]],0))</f>
        <v/>
      </c>
      <c r="U89" s="106" t="str">
        <f>IF(ISBLANK(Term4_Early_Dismissal_3[[#This Row],[Activity]]),"",IF(_xlfn.XLOOKUP(Term4_Early_Dismissal_3[[#This Row],[Activity]],Types_of_Activity[Type of Activity],Types_of_Activity[Classification])=2,Term4_Early_Dismissal_3[[#This Row],[Elapsed]],0))</f>
        <v/>
      </c>
      <c r="W89" s="136"/>
      <c r="X89" s="136"/>
      <c r="Y89" s="103"/>
      <c r="Z89" s="106" t="str">
        <f>IF(OR(ISBLANK(Term4_Early_Dismissal_4[[#This Row],[Start]]),ISBLANK(Term4_Early_Dismissal_4[[#This Row],[End]])),"",(Term4_Early_Dismissal_4[[#This Row],[End]]-Term4_Early_Dismissal_4[[#This Row],[Start]])*1440)</f>
        <v/>
      </c>
      <c r="AA89" s="106" t="str">
        <f>IF(ISBLANK(Term4_Early_Dismissal_4[[#This Row],[Activity]]),"",IF(_xlfn.XLOOKUP(Term4_Early_Dismissal_4[[#This Row],[Activity]],Types_of_Activity[Type of Activity],Types_of_Activity[Classification])=1,Term4_Early_Dismissal_4[[#This Row],[Elapsed]],0))</f>
        <v/>
      </c>
      <c r="AB89" s="106" t="str">
        <f>IF(ISBLANK(Term4_Early_Dismissal_4[[#This Row],[Activity]]),"",IF(_xlfn.XLOOKUP(Term4_Early_Dismissal_4[[#This Row],[Activity]],Types_of_Activity[Type of Activity],Types_of_Activity[Classification])=2,Term4_Early_Dismissal_4[[#This Row],[Elapsed]],0))</f>
        <v/>
      </c>
      <c r="AD89" s="136"/>
      <c r="AE89" s="136"/>
      <c r="AF89" s="103"/>
      <c r="AG89" s="106" t="str">
        <f>IF(OR(ISBLANK(Term4_Early_Dismissal_5[[#This Row],[Start]]),ISBLANK(Term4_Early_Dismissal_5[[#This Row],[End]])),"",(Term4_Early_Dismissal_5[[#This Row],[End]]-Term4_Early_Dismissal_5[[#This Row],[Start]])*1440)</f>
        <v/>
      </c>
      <c r="AH89" s="106" t="str">
        <f>IF(ISBLANK(Term4_Early_Dismissal_5[[#This Row],[Activity]]),"",IF(_xlfn.XLOOKUP(Term4_Early_Dismissal_5[[#This Row],[Activity]],Types_of_Activity[Type of Activity],Types_of_Activity[Classification])=1,Term4_Early_Dismissal_5[[#This Row],[Elapsed]],0))</f>
        <v/>
      </c>
      <c r="AI89" s="106" t="str">
        <f>IF(ISBLANK(Term4_Early_Dismissal_5[[#This Row],[Activity]]),"",IF(_xlfn.XLOOKUP(Term4_Early_Dismissal_5[[#This Row],[Activity]],Types_of_Activity[Type of Activity],Types_of_Activity[Classification])=2,Term4_Early_Dismissal_5[[#This Row],[Elapsed]],0))</f>
        <v/>
      </c>
      <c r="AK89" s="136"/>
      <c r="AL89" s="136"/>
      <c r="AM89" s="103"/>
      <c r="AN89" s="106" t="str">
        <f>IF(OR(ISBLANK(Term4_Early_Dismissal_6[[#This Row],[Start]]),ISBLANK(Term4_Early_Dismissal_6[[#This Row],[End]])),"",(Term4_Early_Dismissal_6[[#This Row],[End]]-Term4_Early_Dismissal_6[[#This Row],[Start]])*1440)</f>
        <v/>
      </c>
      <c r="AO89" s="106" t="str">
        <f>IF(ISBLANK(Term4_Early_Dismissal_6[[#This Row],[Activity]]),"",IF(_xlfn.XLOOKUP(Term4_Early_Dismissal_6[[#This Row],[Activity]],Types_of_Activity[Type of Activity],Types_of_Activity[Classification])=1,Term4_Early_Dismissal_6[[#This Row],[Elapsed]],0))</f>
        <v/>
      </c>
      <c r="AP89" s="106" t="str">
        <f>IF(ISBLANK(Term4_Early_Dismissal_6[[#This Row],[Activity]]),"",IF(_xlfn.XLOOKUP(Term4_Early_Dismissal_6[[#This Row],[Activity]],Types_of_Activity[Type of Activity],Types_of_Activity[Classification])=2,Term4_Early_Dismissal_6[[#This Row],[Elapsed]],0))</f>
        <v/>
      </c>
    </row>
    <row r="90" spans="2:42" x14ac:dyDescent="0.3">
      <c r="B90"/>
      <c r="C90"/>
      <c r="D90"/>
      <c r="E90"/>
      <c r="F90"/>
      <c r="G90"/>
      <c r="H90"/>
      <c r="I90"/>
      <c r="J90"/>
      <c r="K90"/>
      <c r="L90"/>
      <c r="M90"/>
      <c r="N90"/>
      <c r="O90"/>
      <c r="P90"/>
      <c r="Q90"/>
      <c r="R90"/>
      <c r="S90"/>
      <c r="T90"/>
      <c r="U90"/>
      <c r="V90"/>
    </row>
    <row r="91" spans="2:42" x14ac:dyDescent="0.3">
      <c r="B91"/>
      <c r="C91"/>
      <c r="D91"/>
      <c r="E91"/>
      <c r="F91"/>
      <c r="G91"/>
      <c r="H91"/>
      <c r="I91"/>
      <c r="J91"/>
      <c r="K91"/>
      <c r="L91"/>
      <c r="M91"/>
      <c r="N91"/>
      <c r="O91"/>
      <c r="P91"/>
      <c r="Q91"/>
      <c r="R91"/>
      <c r="S91"/>
      <c r="T91"/>
      <c r="U91"/>
      <c r="V91"/>
    </row>
    <row r="92" spans="2:42" x14ac:dyDescent="0.3">
      <c r="B92"/>
      <c r="C92"/>
      <c r="D92"/>
      <c r="E92"/>
      <c r="F92"/>
      <c r="G92"/>
      <c r="H92"/>
      <c r="I92"/>
      <c r="J92"/>
      <c r="K92"/>
      <c r="L92"/>
      <c r="M92"/>
      <c r="N92"/>
      <c r="O92"/>
      <c r="P92"/>
      <c r="Q92"/>
      <c r="R92"/>
      <c r="S92"/>
      <c r="T92"/>
      <c r="U92"/>
      <c r="V92"/>
    </row>
    <row r="93" spans="2:42" x14ac:dyDescent="0.3">
      <c r="B93"/>
      <c r="C93"/>
      <c r="D93"/>
      <c r="E93"/>
      <c r="F93"/>
      <c r="G93"/>
      <c r="H93"/>
      <c r="I93"/>
      <c r="J93"/>
      <c r="K93"/>
      <c r="L93"/>
      <c r="M93"/>
      <c r="N93"/>
      <c r="O93"/>
      <c r="P93"/>
      <c r="Q93"/>
      <c r="R93"/>
      <c r="S93"/>
      <c r="T93"/>
      <c r="U93"/>
      <c r="V93"/>
    </row>
    <row r="94" spans="2:42" x14ac:dyDescent="0.3">
      <c r="B94"/>
      <c r="C94"/>
      <c r="D94"/>
      <c r="E94"/>
      <c r="F94"/>
      <c r="G94"/>
      <c r="H94"/>
      <c r="I94"/>
      <c r="J94"/>
      <c r="K94"/>
      <c r="L94"/>
      <c r="M94"/>
      <c r="N94"/>
      <c r="O94"/>
      <c r="P94"/>
      <c r="Q94"/>
      <c r="R94"/>
      <c r="S94"/>
      <c r="T94"/>
      <c r="U94"/>
      <c r="V94"/>
    </row>
    <row r="95" spans="2:42" x14ac:dyDescent="0.3">
      <c r="B95"/>
      <c r="C95"/>
      <c r="D95"/>
      <c r="E95"/>
      <c r="F95"/>
      <c r="G95"/>
      <c r="H95"/>
      <c r="I95"/>
      <c r="J95"/>
      <c r="K95"/>
      <c r="L95"/>
      <c r="M95"/>
      <c r="N95"/>
      <c r="O95"/>
      <c r="P95"/>
      <c r="Q95"/>
      <c r="R95"/>
      <c r="S95"/>
      <c r="T95"/>
      <c r="U95"/>
      <c r="V95"/>
    </row>
    <row r="96" spans="2:42" x14ac:dyDescent="0.3">
      <c r="B96"/>
      <c r="C96"/>
      <c r="D96"/>
      <c r="E96"/>
      <c r="F96"/>
      <c r="G96"/>
      <c r="H96"/>
      <c r="I96"/>
      <c r="J96"/>
      <c r="K96"/>
      <c r="L96"/>
      <c r="M96"/>
      <c r="N96"/>
      <c r="O96"/>
      <c r="P96"/>
      <c r="Q96"/>
      <c r="R96"/>
      <c r="S96"/>
      <c r="T96"/>
      <c r="U96"/>
      <c r="V96"/>
    </row>
    <row r="97" spans="2:22" ht="30.75" x14ac:dyDescent="0.45">
      <c r="B97" s="105" t="s">
        <v>25</v>
      </c>
      <c r="F97" s="106"/>
      <c r="G97" s="106"/>
      <c r="H97"/>
      <c r="I97" s="105" t="s">
        <v>26</v>
      </c>
      <c r="M97" s="106"/>
      <c r="N97" s="106"/>
      <c r="O97"/>
      <c r="P97" s="105" t="s">
        <v>27</v>
      </c>
      <c r="T97" s="106"/>
      <c r="U97" s="106"/>
      <c r="V97" s="106"/>
    </row>
    <row r="98" spans="2:22" ht="33" x14ac:dyDescent="0.3">
      <c r="B98" s="120" t="s">
        <v>16</v>
      </c>
      <c r="C98" s="120" t="s">
        <v>17</v>
      </c>
      <c r="D98" s="120" t="s">
        <v>19</v>
      </c>
      <c r="E98" s="120" t="s">
        <v>18</v>
      </c>
      <c r="F98" s="120" t="s">
        <v>20</v>
      </c>
      <c r="G98" s="121" t="s">
        <v>4100</v>
      </c>
      <c r="H98"/>
      <c r="I98" s="120" t="s">
        <v>16</v>
      </c>
      <c r="J98" s="120" t="s">
        <v>17</v>
      </c>
      <c r="K98" s="120" t="s">
        <v>19</v>
      </c>
      <c r="L98" s="120" t="s">
        <v>18</v>
      </c>
      <c r="M98" s="120" t="s">
        <v>20</v>
      </c>
      <c r="N98" s="121" t="s">
        <v>4100</v>
      </c>
      <c r="O98"/>
      <c r="P98" s="120" t="s">
        <v>16</v>
      </c>
      <c r="Q98" s="120" t="s">
        <v>17</v>
      </c>
      <c r="R98" s="120" t="s">
        <v>19</v>
      </c>
      <c r="S98" s="120" t="s">
        <v>18</v>
      </c>
      <c r="T98" s="120" t="s">
        <v>20</v>
      </c>
      <c r="U98" s="121" t="s">
        <v>4100</v>
      </c>
      <c r="V98"/>
    </row>
    <row r="99" spans="2:22" x14ac:dyDescent="0.3">
      <c r="B99" s="136"/>
      <c r="C99" s="136"/>
      <c r="D99" s="103"/>
      <c r="E99" s="106" t="str">
        <f>IF(OR(ISBLANK(Term4_Special_Day_1[[#This Row],[Start]]),ISBLANK(Term4_Special_Day_1[[#This Row],[End]])),"",(Term4_Special_Day_1[[#This Row],[End]]-Term4_Special_Day_1[[#This Row],[Start]])*1440)</f>
        <v/>
      </c>
      <c r="F99" s="106" t="str">
        <f>IF(ISBLANK(Term4_Special_Day_1[[#This Row],[Activity]]),"",IF(_xlfn.XLOOKUP(Term4_Special_Day_1[[#This Row],[Activity]],Types_of_Activity[Type of Activity],Types_of_Activity[Classification])=1,Term4_Special_Day_1[[#This Row],[Elapsed]],0))</f>
        <v/>
      </c>
      <c r="G99" s="106" t="str">
        <f>IF(ISBLANK(Term4_Special_Day_1[[#This Row],[Activity]]),"",IF(_xlfn.XLOOKUP(Term4_Special_Day_1[[#This Row],[Activity]],Types_of_Activity[Type of Activity],Types_of_Activity[Classification])=2,Term4_Special_Day_1[[#This Row],[Elapsed]],0))</f>
        <v/>
      </c>
      <c r="H99"/>
      <c r="I99" s="136"/>
      <c r="J99" s="136"/>
      <c r="K99" s="103"/>
      <c r="L99" s="106" t="str">
        <f>IF(OR(ISBLANK(Term4_Special_Day_2[[#This Row],[Start]]),ISBLANK(Term4_Special_Day_2[[#This Row],[End]])),"",(Term4_Special_Day_2[[#This Row],[End]]-Term4_Special_Day_2[[#This Row],[Start]])*1440)</f>
        <v/>
      </c>
      <c r="M99" s="106" t="str">
        <f>IF(ISBLANK(Term4_Special_Day_2[[#This Row],[Activity]]),"",IF(_xlfn.XLOOKUP(Term4_Special_Day_2[[#This Row],[Activity]],Types_of_Activity[Type of Activity],Types_of_Activity[Classification])=1,Term4_Special_Day_2[[#This Row],[Elapsed]],0))</f>
        <v/>
      </c>
      <c r="N99" s="106" t="str">
        <f>IF(ISBLANK(Term4_Special_Day_2[[#This Row],[Activity]]),"",IF(_xlfn.XLOOKUP(Term4_Special_Day_2[[#This Row],[Activity]],Types_of_Activity[Type of Activity],Types_of_Activity[Classification])=2,Term4_Special_Day_2[[#This Row],[Elapsed]],0))</f>
        <v/>
      </c>
      <c r="O99"/>
      <c r="P99" s="136"/>
      <c r="Q99" s="136"/>
      <c r="R99" s="103"/>
      <c r="S99" s="106" t="str">
        <f>IF(OR(ISBLANK(Term4_Special_Day_3[[#This Row],[Start]]),ISBLANK(Term4_Special_Day_3[[#This Row],[End]])),"",(Term4_Special_Day_3[[#This Row],[End]]-Term4_Special_Day_3[[#This Row],[Start]])*1440)</f>
        <v/>
      </c>
      <c r="T99" s="106" t="str">
        <f>IF(ISBLANK(Term4_Special_Day_3[[#This Row],[Activity]]),"",IF(_xlfn.XLOOKUP(Term4_Special_Day_3[[#This Row],[Activity]],Types_of_Activity[Type of Activity],Types_of_Activity[Classification])=1,Term4_Special_Day_3[[#This Row],[Elapsed]],0))</f>
        <v/>
      </c>
      <c r="U99" s="106" t="str">
        <f>IF(ISBLANK(Term4_Special_Day_3[[#This Row],[Activity]]),"",IF(_xlfn.XLOOKUP(Term4_Special_Day_3[[#This Row],[Activity]],Types_of_Activity[Type of Activity],Types_of_Activity[Classification])=2,Term4_Special_Day_3[[#This Row],[Elapsed]],0))</f>
        <v/>
      </c>
      <c r="V99" s="106"/>
    </row>
    <row r="100" spans="2:22" x14ac:dyDescent="0.3">
      <c r="B100" s="136"/>
      <c r="C100" s="136"/>
      <c r="D100" s="103"/>
      <c r="E100" s="106" t="str">
        <f>IF(OR(ISBLANK(Term4_Special_Day_1[[#This Row],[Start]]),ISBLANK(Term4_Special_Day_1[[#This Row],[End]])),"",(Term4_Special_Day_1[[#This Row],[End]]-Term4_Special_Day_1[[#This Row],[Start]])*1440)</f>
        <v/>
      </c>
      <c r="F100" s="106" t="str">
        <f>IF(ISBLANK(Term4_Special_Day_1[[#This Row],[Activity]]),"",IF(_xlfn.XLOOKUP(Term4_Special_Day_1[[#This Row],[Activity]],Types_of_Activity[Type of Activity],Types_of_Activity[Classification])=1,Term4_Special_Day_1[[#This Row],[Elapsed]],0))</f>
        <v/>
      </c>
      <c r="G100" s="106" t="str">
        <f>IF(ISBLANK(Term4_Special_Day_1[[#This Row],[Activity]]),"",IF(_xlfn.XLOOKUP(Term4_Special_Day_1[[#This Row],[Activity]],Types_of_Activity[Type of Activity],Types_of_Activity[Classification])=2,Term4_Special_Day_1[[#This Row],[Elapsed]],0))</f>
        <v/>
      </c>
      <c r="H100"/>
      <c r="I100" s="136"/>
      <c r="J100" s="136"/>
      <c r="K100" s="103"/>
      <c r="L100" s="106" t="str">
        <f>IF(OR(ISBLANK(Term4_Special_Day_2[[#This Row],[Start]]),ISBLANK(Term4_Special_Day_2[[#This Row],[End]])),"",(Term4_Special_Day_2[[#This Row],[End]]-Term4_Special_Day_2[[#This Row],[Start]])*1440)</f>
        <v/>
      </c>
      <c r="M100" s="106" t="str">
        <f>IF(ISBLANK(Term4_Special_Day_2[[#This Row],[Activity]]),"",IF(_xlfn.XLOOKUP(Term4_Special_Day_2[[#This Row],[Activity]],Types_of_Activity[Type of Activity],Types_of_Activity[Classification])=1,Term4_Special_Day_2[[#This Row],[Elapsed]],0))</f>
        <v/>
      </c>
      <c r="N100" s="106" t="str">
        <f>IF(ISBLANK(Term4_Special_Day_2[[#This Row],[Activity]]),"",IF(_xlfn.XLOOKUP(Term4_Special_Day_2[[#This Row],[Activity]],Types_of_Activity[Type of Activity],Types_of_Activity[Classification])=2,Term4_Special_Day_2[[#This Row],[Elapsed]],0))</f>
        <v/>
      </c>
      <c r="O100"/>
      <c r="P100" s="136"/>
      <c r="Q100" s="136"/>
      <c r="R100" s="103"/>
      <c r="S100" s="106" t="str">
        <f>IF(OR(ISBLANK(Term4_Special_Day_3[[#This Row],[Start]]),ISBLANK(Term4_Special_Day_3[[#This Row],[End]])),"",(Term4_Special_Day_3[[#This Row],[End]]-Term4_Special_Day_3[[#This Row],[Start]])*1440)</f>
        <v/>
      </c>
      <c r="T100" s="106" t="str">
        <f>IF(ISBLANK(Term4_Special_Day_3[[#This Row],[Activity]]),"",IF(_xlfn.XLOOKUP(Term4_Special_Day_3[[#This Row],[Activity]],Types_of_Activity[Type of Activity],Types_of_Activity[Classification])=1,Term4_Special_Day_3[[#This Row],[Elapsed]],0))</f>
        <v/>
      </c>
      <c r="U100" s="106" t="str">
        <f>IF(ISBLANK(Term4_Special_Day_3[[#This Row],[Activity]]),"",IF(_xlfn.XLOOKUP(Term4_Special_Day_3[[#This Row],[Activity]],Types_of_Activity[Type of Activity],Types_of_Activity[Classification])=2,Term4_Special_Day_3[[#This Row],[Elapsed]],0))</f>
        <v/>
      </c>
      <c r="V100" s="106"/>
    </row>
    <row r="101" spans="2:22" x14ac:dyDescent="0.3">
      <c r="B101" s="136"/>
      <c r="C101" s="136"/>
      <c r="D101" s="103"/>
      <c r="E101" s="106" t="str">
        <f>IF(OR(ISBLANK(Term4_Special_Day_1[[#This Row],[Start]]),ISBLANK(Term4_Special_Day_1[[#This Row],[End]])),"",(Term4_Special_Day_1[[#This Row],[End]]-Term4_Special_Day_1[[#This Row],[Start]])*1440)</f>
        <v/>
      </c>
      <c r="F101" s="106" t="str">
        <f>IF(ISBLANK(Term4_Special_Day_1[[#This Row],[Activity]]),"",IF(_xlfn.XLOOKUP(Term4_Special_Day_1[[#This Row],[Activity]],Types_of_Activity[Type of Activity],Types_of_Activity[Classification])=1,Term4_Special_Day_1[[#This Row],[Elapsed]],0))</f>
        <v/>
      </c>
      <c r="G101" s="106" t="str">
        <f>IF(ISBLANK(Term4_Special_Day_1[[#This Row],[Activity]]),"",IF(_xlfn.XLOOKUP(Term4_Special_Day_1[[#This Row],[Activity]],Types_of_Activity[Type of Activity],Types_of_Activity[Classification])=2,Term4_Special_Day_1[[#This Row],[Elapsed]],0))</f>
        <v/>
      </c>
      <c r="H101"/>
      <c r="I101" s="136"/>
      <c r="J101" s="136"/>
      <c r="K101" s="103"/>
      <c r="L101" s="106" t="str">
        <f>IF(OR(ISBLANK(Term4_Special_Day_2[[#This Row],[Start]]),ISBLANK(Term4_Special_Day_2[[#This Row],[End]])),"",(Term4_Special_Day_2[[#This Row],[End]]-Term4_Special_Day_2[[#This Row],[Start]])*1440)</f>
        <v/>
      </c>
      <c r="M101" s="106" t="str">
        <f>IF(ISBLANK(Term4_Special_Day_2[[#This Row],[Activity]]),"",IF(_xlfn.XLOOKUP(Term4_Special_Day_2[[#This Row],[Activity]],Types_of_Activity[Type of Activity],Types_of_Activity[Classification])=1,Term4_Special_Day_2[[#This Row],[Elapsed]],0))</f>
        <v/>
      </c>
      <c r="N101" s="106" t="str">
        <f>IF(ISBLANK(Term4_Special_Day_2[[#This Row],[Activity]]),"",IF(_xlfn.XLOOKUP(Term4_Special_Day_2[[#This Row],[Activity]],Types_of_Activity[Type of Activity],Types_of_Activity[Classification])=2,Term4_Special_Day_2[[#This Row],[Elapsed]],0))</f>
        <v/>
      </c>
      <c r="O101"/>
      <c r="P101" s="136"/>
      <c r="Q101" s="136"/>
      <c r="R101" s="103"/>
      <c r="S101" s="106" t="str">
        <f>IF(OR(ISBLANK(Term4_Special_Day_3[[#This Row],[Start]]),ISBLANK(Term4_Special_Day_3[[#This Row],[End]])),"",(Term4_Special_Day_3[[#This Row],[End]]-Term4_Special_Day_3[[#This Row],[Start]])*1440)</f>
        <v/>
      </c>
      <c r="T101" s="106" t="str">
        <f>IF(ISBLANK(Term4_Special_Day_3[[#This Row],[Activity]]),"",IF(_xlfn.XLOOKUP(Term4_Special_Day_3[[#This Row],[Activity]],Types_of_Activity[Type of Activity],Types_of_Activity[Classification])=1,Term4_Special_Day_3[[#This Row],[Elapsed]],0))</f>
        <v/>
      </c>
      <c r="U101" s="106" t="str">
        <f>IF(ISBLANK(Term4_Special_Day_3[[#This Row],[Activity]]),"",IF(_xlfn.XLOOKUP(Term4_Special_Day_3[[#This Row],[Activity]],Types_of_Activity[Type of Activity],Types_of_Activity[Classification])=2,Term4_Special_Day_3[[#This Row],[Elapsed]],0))</f>
        <v/>
      </c>
      <c r="V101" s="106"/>
    </row>
    <row r="102" spans="2:22" x14ac:dyDescent="0.3">
      <c r="B102" s="136"/>
      <c r="C102" s="136"/>
      <c r="D102" s="103"/>
      <c r="E102" s="106" t="str">
        <f>IF(OR(ISBLANK(Term4_Special_Day_1[[#This Row],[Start]]),ISBLANK(Term4_Special_Day_1[[#This Row],[End]])),"",(Term4_Special_Day_1[[#This Row],[End]]-Term4_Special_Day_1[[#This Row],[Start]])*1440)</f>
        <v/>
      </c>
      <c r="F102" s="106" t="str">
        <f>IF(ISBLANK(Term4_Special_Day_1[[#This Row],[Activity]]),"",IF(_xlfn.XLOOKUP(Term4_Special_Day_1[[#This Row],[Activity]],Types_of_Activity[Type of Activity],Types_of_Activity[Classification])=1,Term4_Special_Day_1[[#This Row],[Elapsed]],0))</f>
        <v/>
      </c>
      <c r="G102" s="106" t="str">
        <f>IF(ISBLANK(Term4_Special_Day_1[[#This Row],[Activity]]),"",IF(_xlfn.XLOOKUP(Term4_Special_Day_1[[#This Row],[Activity]],Types_of_Activity[Type of Activity],Types_of_Activity[Classification])=2,Term4_Special_Day_1[[#This Row],[Elapsed]],0))</f>
        <v/>
      </c>
      <c r="H102"/>
      <c r="I102" s="136"/>
      <c r="J102" s="136"/>
      <c r="K102" s="103"/>
      <c r="L102" s="106" t="str">
        <f>IF(OR(ISBLANK(Term4_Special_Day_2[[#This Row],[Start]]),ISBLANK(Term4_Special_Day_2[[#This Row],[End]])),"",(Term4_Special_Day_2[[#This Row],[End]]-Term4_Special_Day_2[[#This Row],[Start]])*1440)</f>
        <v/>
      </c>
      <c r="M102" s="106" t="str">
        <f>IF(ISBLANK(Term4_Special_Day_2[[#This Row],[Activity]]),"",IF(_xlfn.XLOOKUP(Term4_Special_Day_2[[#This Row],[Activity]],Types_of_Activity[Type of Activity],Types_of_Activity[Classification])=1,Term4_Special_Day_2[[#This Row],[Elapsed]],0))</f>
        <v/>
      </c>
      <c r="N102" s="106" t="str">
        <f>IF(ISBLANK(Term4_Special_Day_2[[#This Row],[Activity]]),"",IF(_xlfn.XLOOKUP(Term4_Special_Day_2[[#This Row],[Activity]],Types_of_Activity[Type of Activity],Types_of_Activity[Classification])=2,Term4_Special_Day_2[[#This Row],[Elapsed]],0))</f>
        <v/>
      </c>
      <c r="O102"/>
      <c r="P102" s="136"/>
      <c r="Q102" s="136"/>
      <c r="R102" s="103"/>
      <c r="S102" s="106" t="str">
        <f>IF(OR(ISBLANK(Term4_Special_Day_3[[#This Row],[Start]]),ISBLANK(Term4_Special_Day_3[[#This Row],[End]])),"",(Term4_Special_Day_3[[#This Row],[End]]-Term4_Special_Day_3[[#This Row],[Start]])*1440)</f>
        <v/>
      </c>
      <c r="T102" s="106" t="str">
        <f>IF(ISBLANK(Term4_Special_Day_3[[#This Row],[Activity]]),"",IF(_xlfn.XLOOKUP(Term4_Special_Day_3[[#This Row],[Activity]],Types_of_Activity[Type of Activity],Types_of_Activity[Classification])=1,Term4_Special_Day_3[[#This Row],[Elapsed]],0))</f>
        <v/>
      </c>
      <c r="U102" s="106" t="str">
        <f>IF(ISBLANK(Term4_Special_Day_3[[#This Row],[Activity]]),"",IF(_xlfn.XLOOKUP(Term4_Special_Day_3[[#This Row],[Activity]],Types_of_Activity[Type of Activity],Types_of_Activity[Classification])=2,Term4_Special_Day_3[[#This Row],[Elapsed]],0))</f>
        <v/>
      </c>
      <c r="V102" s="106"/>
    </row>
    <row r="103" spans="2:22" x14ac:dyDescent="0.3">
      <c r="B103" s="136"/>
      <c r="C103" s="136"/>
      <c r="D103" s="103"/>
      <c r="E103" s="106" t="str">
        <f>IF(OR(ISBLANK(Term4_Special_Day_1[[#This Row],[Start]]),ISBLANK(Term4_Special_Day_1[[#This Row],[End]])),"",(Term4_Special_Day_1[[#This Row],[End]]-Term4_Special_Day_1[[#This Row],[Start]])*1440)</f>
        <v/>
      </c>
      <c r="F103" s="106" t="str">
        <f>IF(ISBLANK(Term4_Special_Day_1[[#This Row],[Activity]]),"",IF(_xlfn.XLOOKUP(Term4_Special_Day_1[[#This Row],[Activity]],Types_of_Activity[Type of Activity],Types_of_Activity[Classification])=1,Term4_Special_Day_1[[#This Row],[Elapsed]],0))</f>
        <v/>
      </c>
      <c r="G103" s="106" t="str">
        <f>IF(ISBLANK(Term4_Special_Day_1[[#This Row],[Activity]]),"",IF(_xlfn.XLOOKUP(Term4_Special_Day_1[[#This Row],[Activity]],Types_of_Activity[Type of Activity],Types_of_Activity[Classification])=2,Term4_Special_Day_1[[#This Row],[Elapsed]],0))</f>
        <v/>
      </c>
      <c r="H103"/>
      <c r="I103" s="136"/>
      <c r="J103" s="136"/>
      <c r="K103" s="103"/>
      <c r="L103" s="106" t="str">
        <f>IF(OR(ISBLANK(Term4_Special_Day_2[[#This Row],[Start]]),ISBLANK(Term4_Special_Day_2[[#This Row],[End]])),"",(Term4_Special_Day_2[[#This Row],[End]]-Term4_Special_Day_2[[#This Row],[Start]])*1440)</f>
        <v/>
      </c>
      <c r="M103" s="106" t="str">
        <f>IF(ISBLANK(Term4_Special_Day_2[[#This Row],[Activity]]),"",IF(_xlfn.XLOOKUP(Term4_Special_Day_2[[#This Row],[Activity]],Types_of_Activity[Type of Activity],Types_of_Activity[Classification])=1,Term4_Special_Day_2[[#This Row],[Elapsed]],0))</f>
        <v/>
      </c>
      <c r="N103" s="106" t="str">
        <f>IF(ISBLANK(Term4_Special_Day_2[[#This Row],[Activity]]),"",IF(_xlfn.XLOOKUP(Term4_Special_Day_2[[#This Row],[Activity]],Types_of_Activity[Type of Activity],Types_of_Activity[Classification])=2,Term4_Special_Day_2[[#This Row],[Elapsed]],0))</f>
        <v/>
      </c>
      <c r="O103"/>
      <c r="P103" s="136"/>
      <c r="Q103" s="136"/>
      <c r="R103" s="103"/>
      <c r="S103" s="106" t="str">
        <f>IF(OR(ISBLANK(Term4_Special_Day_3[[#This Row],[Start]]),ISBLANK(Term4_Special_Day_3[[#This Row],[End]])),"",(Term4_Special_Day_3[[#This Row],[End]]-Term4_Special_Day_3[[#This Row],[Start]])*1440)</f>
        <v/>
      </c>
      <c r="T103" s="106" t="str">
        <f>IF(ISBLANK(Term4_Special_Day_3[[#This Row],[Activity]]),"",IF(_xlfn.XLOOKUP(Term4_Special_Day_3[[#This Row],[Activity]],Types_of_Activity[Type of Activity],Types_of_Activity[Classification])=1,Term4_Special_Day_3[[#This Row],[Elapsed]],0))</f>
        <v/>
      </c>
      <c r="U103" s="106" t="str">
        <f>IF(ISBLANK(Term4_Special_Day_3[[#This Row],[Activity]]),"",IF(_xlfn.XLOOKUP(Term4_Special_Day_3[[#This Row],[Activity]],Types_of_Activity[Type of Activity],Types_of_Activity[Classification])=2,Term4_Special_Day_3[[#This Row],[Elapsed]],0))</f>
        <v/>
      </c>
      <c r="V103" s="106"/>
    </row>
    <row r="104" spans="2:22" x14ac:dyDescent="0.3">
      <c r="B104" s="136"/>
      <c r="C104" s="136"/>
      <c r="D104" s="103"/>
      <c r="E104" s="106" t="str">
        <f>IF(OR(ISBLANK(Term4_Special_Day_1[[#This Row],[Start]]),ISBLANK(Term4_Special_Day_1[[#This Row],[End]])),"",(Term4_Special_Day_1[[#This Row],[End]]-Term4_Special_Day_1[[#This Row],[Start]])*1440)</f>
        <v/>
      </c>
      <c r="F104" s="106" t="str">
        <f>IF(ISBLANK(Term4_Special_Day_1[[#This Row],[Activity]]),"",IF(_xlfn.XLOOKUP(Term4_Special_Day_1[[#This Row],[Activity]],Types_of_Activity[Type of Activity],Types_of_Activity[Classification])=1,Term4_Special_Day_1[[#This Row],[Elapsed]],0))</f>
        <v/>
      </c>
      <c r="G104" s="106" t="str">
        <f>IF(ISBLANK(Term4_Special_Day_1[[#This Row],[Activity]]),"",IF(_xlfn.XLOOKUP(Term4_Special_Day_1[[#This Row],[Activity]],Types_of_Activity[Type of Activity],Types_of_Activity[Classification])=2,Term4_Special_Day_1[[#This Row],[Elapsed]],0))</f>
        <v/>
      </c>
      <c r="H104"/>
      <c r="I104" s="136"/>
      <c r="J104" s="136"/>
      <c r="K104" s="103"/>
      <c r="L104" s="106" t="str">
        <f>IF(OR(ISBLANK(Term4_Special_Day_2[[#This Row],[Start]]),ISBLANK(Term4_Special_Day_2[[#This Row],[End]])),"",(Term4_Special_Day_2[[#This Row],[End]]-Term4_Special_Day_2[[#This Row],[Start]])*1440)</f>
        <v/>
      </c>
      <c r="M104" s="106" t="str">
        <f>IF(ISBLANK(Term4_Special_Day_2[[#This Row],[Activity]]),"",IF(_xlfn.XLOOKUP(Term4_Special_Day_2[[#This Row],[Activity]],Types_of_Activity[Type of Activity],Types_of_Activity[Classification])=1,Term4_Special_Day_2[[#This Row],[Elapsed]],0))</f>
        <v/>
      </c>
      <c r="N104" s="106" t="str">
        <f>IF(ISBLANK(Term4_Special_Day_2[[#This Row],[Activity]]),"",IF(_xlfn.XLOOKUP(Term4_Special_Day_2[[#This Row],[Activity]],Types_of_Activity[Type of Activity],Types_of_Activity[Classification])=2,Term4_Special_Day_2[[#This Row],[Elapsed]],0))</f>
        <v/>
      </c>
      <c r="O104"/>
      <c r="P104" s="136"/>
      <c r="Q104" s="136"/>
      <c r="R104" s="103"/>
      <c r="S104" s="106" t="str">
        <f>IF(OR(ISBLANK(Term4_Special_Day_3[[#This Row],[Start]]),ISBLANK(Term4_Special_Day_3[[#This Row],[End]])),"",(Term4_Special_Day_3[[#This Row],[End]]-Term4_Special_Day_3[[#This Row],[Start]])*1440)</f>
        <v/>
      </c>
      <c r="T104" s="106" t="str">
        <f>IF(ISBLANK(Term4_Special_Day_3[[#This Row],[Activity]]),"",IF(_xlfn.XLOOKUP(Term4_Special_Day_3[[#This Row],[Activity]],Types_of_Activity[Type of Activity],Types_of_Activity[Classification])=1,Term4_Special_Day_3[[#This Row],[Elapsed]],0))</f>
        <v/>
      </c>
      <c r="U104" s="106" t="str">
        <f>IF(ISBLANK(Term4_Special_Day_3[[#This Row],[Activity]]),"",IF(_xlfn.XLOOKUP(Term4_Special_Day_3[[#This Row],[Activity]],Types_of_Activity[Type of Activity],Types_of_Activity[Classification])=2,Term4_Special_Day_3[[#This Row],[Elapsed]],0))</f>
        <v/>
      </c>
      <c r="V104" s="106"/>
    </row>
    <row r="105" spans="2:22" x14ac:dyDescent="0.3">
      <c r="B105" s="136"/>
      <c r="C105" s="136"/>
      <c r="D105" s="103"/>
      <c r="E105" s="106" t="str">
        <f>IF(OR(ISBLANK(Term4_Special_Day_1[[#This Row],[Start]]),ISBLANK(Term4_Special_Day_1[[#This Row],[End]])),"",(Term4_Special_Day_1[[#This Row],[End]]-Term4_Special_Day_1[[#This Row],[Start]])*1440)</f>
        <v/>
      </c>
      <c r="F105" s="106" t="str">
        <f>IF(ISBLANK(Term4_Special_Day_1[[#This Row],[Activity]]),"",IF(_xlfn.XLOOKUP(Term4_Special_Day_1[[#This Row],[Activity]],Types_of_Activity[Type of Activity],Types_of_Activity[Classification])=1,Term4_Special_Day_1[[#This Row],[Elapsed]],0))</f>
        <v/>
      </c>
      <c r="G105" s="106" t="str">
        <f>IF(ISBLANK(Term4_Special_Day_1[[#This Row],[Activity]]),"",IF(_xlfn.XLOOKUP(Term4_Special_Day_1[[#This Row],[Activity]],Types_of_Activity[Type of Activity],Types_of_Activity[Classification])=2,Term4_Special_Day_1[[#This Row],[Elapsed]],0))</f>
        <v/>
      </c>
      <c r="H105"/>
      <c r="I105" s="136"/>
      <c r="J105" s="136"/>
      <c r="K105" s="103"/>
      <c r="L105" s="106" t="str">
        <f>IF(OR(ISBLANK(Term4_Special_Day_2[[#This Row],[Start]]),ISBLANK(Term4_Special_Day_2[[#This Row],[End]])),"",(Term4_Special_Day_2[[#This Row],[End]]-Term4_Special_Day_2[[#This Row],[Start]])*1440)</f>
        <v/>
      </c>
      <c r="M105" s="106" t="str">
        <f>IF(ISBLANK(Term4_Special_Day_2[[#This Row],[Activity]]),"",IF(_xlfn.XLOOKUP(Term4_Special_Day_2[[#This Row],[Activity]],Types_of_Activity[Type of Activity],Types_of_Activity[Classification])=1,Term4_Special_Day_2[[#This Row],[Elapsed]],0))</f>
        <v/>
      </c>
      <c r="N105" s="106" t="str">
        <f>IF(ISBLANK(Term4_Special_Day_2[[#This Row],[Activity]]),"",IF(_xlfn.XLOOKUP(Term4_Special_Day_2[[#This Row],[Activity]],Types_of_Activity[Type of Activity],Types_of_Activity[Classification])=2,Term4_Special_Day_2[[#This Row],[Elapsed]],0))</f>
        <v/>
      </c>
      <c r="O105"/>
      <c r="P105" s="136"/>
      <c r="Q105" s="136"/>
      <c r="R105" s="103"/>
      <c r="S105" s="106" t="str">
        <f>IF(OR(ISBLANK(Term4_Special_Day_3[[#This Row],[Start]]),ISBLANK(Term4_Special_Day_3[[#This Row],[End]])),"",(Term4_Special_Day_3[[#This Row],[End]]-Term4_Special_Day_3[[#This Row],[Start]])*1440)</f>
        <v/>
      </c>
      <c r="T105" s="106" t="str">
        <f>IF(ISBLANK(Term4_Special_Day_3[[#This Row],[Activity]]),"",IF(_xlfn.XLOOKUP(Term4_Special_Day_3[[#This Row],[Activity]],Types_of_Activity[Type of Activity],Types_of_Activity[Classification])=1,Term4_Special_Day_3[[#This Row],[Elapsed]],0))</f>
        <v/>
      </c>
      <c r="U105" s="106" t="str">
        <f>IF(ISBLANK(Term4_Special_Day_3[[#This Row],[Activity]]),"",IF(_xlfn.XLOOKUP(Term4_Special_Day_3[[#This Row],[Activity]],Types_of_Activity[Type of Activity],Types_of_Activity[Classification])=2,Term4_Special_Day_3[[#This Row],[Elapsed]],0))</f>
        <v/>
      </c>
      <c r="V105" s="106"/>
    </row>
    <row r="106" spans="2:22" x14ac:dyDescent="0.3">
      <c r="B106" s="136"/>
      <c r="C106" s="136"/>
      <c r="D106" s="103"/>
      <c r="E106" s="106" t="str">
        <f>IF(OR(ISBLANK(Term4_Special_Day_1[[#This Row],[Start]]),ISBLANK(Term4_Special_Day_1[[#This Row],[End]])),"",(Term4_Special_Day_1[[#This Row],[End]]-Term4_Special_Day_1[[#This Row],[Start]])*1440)</f>
        <v/>
      </c>
      <c r="F106" s="106" t="str">
        <f>IF(ISBLANK(Term4_Special_Day_1[[#This Row],[Activity]]),"",IF(_xlfn.XLOOKUP(Term4_Special_Day_1[[#This Row],[Activity]],Types_of_Activity[Type of Activity],Types_of_Activity[Classification])=1,Term4_Special_Day_1[[#This Row],[Elapsed]],0))</f>
        <v/>
      </c>
      <c r="G106" s="106" t="str">
        <f>IF(ISBLANK(Term4_Special_Day_1[[#This Row],[Activity]]),"",IF(_xlfn.XLOOKUP(Term4_Special_Day_1[[#This Row],[Activity]],Types_of_Activity[Type of Activity],Types_of_Activity[Classification])=2,Term4_Special_Day_1[[#This Row],[Elapsed]],0))</f>
        <v/>
      </c>
      <c r="H106"/>
      <c r="I106" s="136"/>
      <c r="J106" s="136"/>
      <c r="K106" s="103"/>
      <c r="L106" s="106" t="str">
        <f>IF(OR(ISBLANK(Term4_Special_Day_2[[#This Row],[Start]]),ISBLANK(Term4_Special_Day_2[[#This Row],[End]])),"",(Term4_Special_Day_2[[#This Row],[End]]-Term4_Special_Day_2[[#This Row],[Start]])*1440)</f>
        <v/>
      </c>
      <c r="M106" s="106" t="str">
        <f>IF(ISBLANK(Term4_Special_Day_2[[#This Row],[Activity]]),"",IF(_xlfn.XLOOKUP(Term4_Special_Day_2[[#This Row],[Activity]],Types_of_Activity[Type of Activity],Types_of_Activity[Classification])=1,Term4_Special_Day_2[[#This Row],[Elapsed]],0))</f>
        <v/>
      </c>
      <c r="N106" s="106" t="str">
        <f>IF(ISBLANK(Term4_Special_Day_2[[#This Row],[Activity]]),"",IF(_xlfn.XLOOKUP(Term4_Special_Day_2[[#This Row],[Activity]],Types_of_Activity[Type of Activity],Types_of_Activity[Classification])=2,Term4_Special_Day_2[[#This Row],[Elapsed]],0))</f>
        <v/>
      </c>
      <c r="O106"/>
      <c r="P106" s="136"/>
      <c r="Q106" s="136"/>
      <c r="R106" s="103"/>
      <c r="S106" s="106" t="str">
        <f>IF(OR(ISBLANK(Term4_Special_Day_3[[#This Row],[Start]]),ISBLANK(Term4_Special_Day_3[[#This Row],[End]])),"",(Term4_Special_Day_3[[#This Row],[End]]-Term4_Special_Day_3[[#This Row],[Start]])*1440)</f>
        <v/>
      </c>
      <c r="T106" s="106" t="str">
        <f>IF(ISBLANK(Term4_Special_Day_3[[#This Row],[Activity]]),"",IF(_xlfn.XLOOKUP(Term4_Special_Day_3[[#This Row],[Activity]],Types_of_Activity[Type of Activity],Types_of_Activity[Classification])=1,Term4_Special_Day_3[[#This Row],[Elapsed]],0))</f>
        <v/>
      </c>
      <c r="U106" s="106" t="str">
        <f>IF(ISBLANK(Term4_Special_Day_3[[#This Row],[Activity]]),"",IF(_xlfn.XLOOKUP(Term4_Special_Day_3[[#This Row],[Activity]],Types_of_Activity[Type of Activity],Types_of_Activity[Classification])=2,Term4_Special_Day_3[[#This Row],[Elapsed]],0))</f>
        <v/>
      </c>
      <c r="V106" s="106"/>
    </row>
    <row r="107" spans="2:22" x14ac:dyDescent="0.3">
      <c r="B107" s="136"/>
      <c r="C107" s="136"/>
      <c r="D107" s="103"/>
      <c r="E107" s="106" t="str">
        <f>IF(OR(ISBLANK(Term4_Special_Day_1[[#This Row],[Start]]),ISBLANK(Term4_Special_Day_1[[#This Row],[End]])),"",(Term4_Special_Day_1[[#This Row],[End]]-Term4_Special_Day_1[[#This Row],[Start]])*1440)</f>
        <v/>
      </c>
      <c r="F107" s="106" t="str">
        <f>IF(ISBLANK(Term4_Special_Day_1[[#This Row],[Activity]]),"",IF(_xlfn.XLOOKUP(Term4_Special_Day_1[[#This Row],[Activity]],Types_of_Activity[Type of Activity],Types_of_Activity[Classification])=1,Term4_Special_Day_1[[#This Row],[Elapsed]],0))</f>
        <v/>
      </c>
      <c r="G107" s="106" t="str">
        <f>IF(ISBLANK(Term4_Special_Day_1[[#This Row],[Activity]]),"",IF(_xlfn.XLOOKUP(Term4_Special_Day_1[[#This Row],[Activity]],Types_of_Activity[Type of Activity],Types_of_Activity[Classification])=2,Term4_Special_Day_1[[#This Row],[Elapsed]],0))</f>
        <v/>
      </c>
      <c r="H107"/>
      <c r="I107" s="136"/>
      <c r="J107" s="136"/>
      <c r="K107" s="103"/>
      <c r="L107" s="106" t="str">
        <f>IF(OR(ISBLANK(Term4_Special_Day_2[[#This Row],[Start]]),ISBLANK(Term4_Special_Day_2[[#This Row],[End]])),"",(Term4_Special_Day_2[[#This Row],[End]]-Term4_Special_Day_2[[#This Row],[Start]])*1440)</f>
        <v/>
      </c>
      <c r="M107" s="106" t="str">
        <f>IF(ISBLANK(Term4_Special_Day_2[[#This Row],[Activity]]),"",IF(_xlfn.XLOOKUP(Term4_Special_Day_2[[#This Row],[Activity]],Types_of_Activity[Type of Activity],Types_of_Activity[Classification])=1,Term4_Special_Day_2[[#This Row],[Elapsed]],0))</f>
        <v/>
      </c>
      <c r="N107" s="106" t="str">
        <f>IF(ISBLANK(Term4_Special_Day_2[[#This Row],[Activity]]),"",IF(_xlfn.XLOOKUP(Term4_Special_Day_2[[#This Row],[Activity]],Types_of_Activity[Type of Activity],Types_of_Activity[Classification])=2,Term4_Special_Day_2[[#This Row],[Elapsed]],0))</f>
        <v/>
      </c>
      <c r="O107"/>
      <c r="P107" s="136"/>
      <c r="Q107" s="136"/>
      <c r="R107" s="103"/>
      <c r="S107" s="106" t="str">
        <f>IF(OR(ISBLANK(Term4_Special_Day_3[[#This Row],[Start]]),ISBLANK(Term4_Special_Day_3[[#This Row],[End]])),"",(Term4_Special_Day_3[[#This Row],[End]]-Term4_Special_Day_3[[#This Row],[Start]])*1440)</f>
        <v/>
      </c>
      <c r="T107" s="106" t="str">
        <f>IF(ISBLANK(Term4_Special_Day_3[[#This Row],[Activity]]),"",IF(_xlfn.XLOOKUP(Term4_Special_Day_3[[#This Row],[Activity]],Types_of_Activity[Type of Activity],Types_of_Activity[Classification])=1,Term4_Special_Day_3[[#This Row],[Elapsed]],0))</f>
        <v/>
      </c>
      <c r="U107" s="106" t="str">
        <f>IF(ISBLANK(Term4_Special_Day_3[[#This Row],[Activity]]),"",IF(_xlfn.XLOOKUP(Term4_Special_Day_3[[#This Row],[Activity]],Types_of_Activity[Type of Activity],Types_of_Activity[Classification])=2,Term4_Special_Day_3[[#This Row],[Elapsed]],0))</f>
        <v/>
      </c>
      <c r="V107" s="106"/>
    </row>
    <row r="108" spans="2:22" x14ac:dyDescent="0.3">
      <c r="B108" s="136"/>
      <c r="C108" s="136"/>
      <c r="D108" s="103"/>
      <c r="E108" s="106" t="str">
        <f>IF(OR(ISBLANK(Term4_Special_Day_1[[#This Row],[Start]]),ISBLANK(Term4_Special_Day_1[[#This Row],[End]])),"",(Term4_Special_Day_1[[#This Row],[End]]-Term4_Special_Day_1[[#This Row],[Start]])*1440)</f>
        <v/>
      </c>
      <c r="F108" s="106" t="str">
        <f>IF(ISBLANK(Term4_Special_Day_1[[#This Row],[Activity]]),"",IF(_xlfn.XLOOKUP(Term4_Special_Day_1[[#This Row],[Activity]],Types_of_Activity[Type of Activity],Types_of_Activity[Classification])=1,Term4_Special_Day_1[[#This Row],[Elapsed]],0))</f>
        <v/>
      </c>
      <c r="G108" s="106" t="str">
        <f>IF(ISBLANK(Term4_Special_Day_1[[#This Row],[Activity]]),"",IF(_xlfn.XLOOKUP(Term4_Special_Day_1[[#This Row],[Activity]],Types_of_Activity[Type of Activity],Types_of_Activity[Classification])=2,Term4_Special_Day_1[[#This Row],[Elapsed]],0))</f>
        <v/>
      </c>
      <c r="H108"/>
      <c r="I108" s="136"/>
      <c r="J108" s="136"/>
      <c r="K108" s="103"/>
      <c r="L108" s="106" t="str">
        <f>IF(OR(ISBLANK(Term4_Special_Day_2[[#This Row],[Start]]),ISBLANK(Term4_Special_Day_2[[#This Row],[End]])),"",(Term4_Special_Day_2[[#This Row],[End]]-Term4_Special_Day_2[[#This Row],[Start]])*1440)</f>
        <v/>
      </c>
      <c r="M108" s="106" t="str">
        <f>IF(ISBLANK(Term4_Special_Day_2[[#This Row],[Activity]]),"",IF(_xlfn.XLOOKUP(Term4_Special_Day_2[[#This Row],[Activity]],Types_of_Activity[Type of Activity],Types_of_Activity[Classification])=1,Term4_Special_Day_2[[#This Row],[Elapsed]],0))</f>
        <v/>
      </c>
      <c r="N108" s="106" t="str">
        <f>IF(ISBLANK(Term4_Special_Day_2[[#This Row],[Activity]]),"",IF(_xlfn.XLOOKUP(Term4_Special_Day_2[[#This Row],[Activity]],Types_of_Activity[Type of Activity],Types_of_Activity[Classification])=2,Term4_Special_Day_2[[#This Row],[Elapsed]],0))</f>
        <v/>
      </c>
      <c r="O108"/>
      <c r="P108" s="136"/>
      <c r="Q108" s="136"/>
      <c r="R108" s="103"/>
      <c r="S108" s="106" t="str">
        <f>IF(OR(ISBLANK(Term4_Special_Day_3[[#This Row],[Start]]),ISBLANK(Term4_Special_Day_3[[#This Row],[End]])),"",(Term4_Special_Day_3[[#This Row],[End]]-Term4_Special_Day_3[[#This Row],[Start]])*1440)</f>
        <v/>
      </c>
      <c r="T108" s="106" t="str">
        <f>IF(ISBLANK(Term4_Special_Day_3[[#This Row],[Activity]]),"",IF(_xlfn.XLOOKUP(Term4_Special_Day_3[[#This Row],[Activity]],Types_of_Activity[Type of Activity],Types_of_Activity[Classification])=1,Term4_Special_Day_3[[#This Row],[Elapsed]],0))</f>
        <v/>
      </c>
      <c r="U108" s="106" t="str">
        <f>IF(ISBLANK(Term4_Special_Day_3[[#This Row],[Activity]]),"",IF(_xlfn.XLOOKUP(Term4_Special_Day_3[[#This Row],[Activity]],Types_of_Activity[Type of Activity],Types_of_Activity[Classification])=2,Term4_Special_Day_3[[#This Row],[Elapsed]],0))</f>
        <v/>
      </c>
      <c r="V108" s="106"/>
    </row>
    <row r="109" spans="2:22" x14ac:dyDescent="0.3">
      <c r="B109" s="136"/>
      <c r="C109" s="136"/>
      <c r="D109" s="103"/>
      <c r="E109" s="106" t="str">
        <f>IF(OR(ISBLANK(Term4_Special_Day_1[[#This Row],[Start]]),ISBLANK(Term4_Special_Day_1[[#This Row],[End]])),"",(Term4_Special_Day_1[[#This Row],[End]]-Term4_Special_Day_1[[#This Row],[Start]])*1440)</f>
        <v/>
      </c>
      <c r="F109" s="106" t="str">
        <f>IF(ISBLANK(Term4_Special_Day_1[[#This Row],[Activity]]),"",IF(_xlfn.XLOOKUP(Term4_Special_Day_1[[#This Row],[Activity]],Types_of_Activity[Type of Activity],Types_of_Activity[Classification])=1,Term4_Special_Day_1[[#This Row],[Elapsed]],0))</f>
        <v/>
      </c>
      <c r="G109" s="106" t="str">
        <f>IF(ISBLANK(Term4_Special_Day_1[[#This Row],[Activity]]),"",IF(_xlfn.XLOOKUP(Term4_Special_Day_1[[#This Row],[Activity]],Types_of_Activity[Type of Activity],Types_of_Activity[Classification])=2,Term4_Special_Day_1[[#This Row],[Elapsed]],0))</f>
        <v/>
      </c>
      <c r="H109"/>
      <c r="I109" s="136"/>
      <c r="J109" s="136"/>
      <c r="K109" s="103"/>
      <c r="L109" s="106" t="str">
        <f>IF(OR(ISBLANK(Term4_Special_Day_2[[#This Row],[Start]]),ISBLANK(Term4_Special_Day_2[[#This Row],[End]])),"",(Term4_Special_Day_2[[#This Row],[End]]-Term4_Special_Day_2[[#This Row],[Start]])*1440)</f>
        <v/>
      </c>
      <c r="M109" s="106" t="str">
        <f>IF(ISBLANK(Term4_Special_Day_2[[#This Row],[Activity]]),"",IF(_xlfn.XLOOKUP(Term4_Special_Day_2[[#This Row],[Activity]],Types_of_Activity[Type of Activity],Types_of_Activity[Classification])=1,Term4_Special_Day_2[[#This Row],[Elapsed]],0))</f>
        <v/>
      </c>
      <c r="N109" s="106" t="str">
        <f>IF(ISBLANK(Term4_Special_Day_2[[#This Row],[Activity]]),"",IF(_xlfn.XLOOKUP(Term4_Special_Day_2[[#This Row],[Activity]],Types_of_Activity[Type of Activity],Types_of_Activity[Classification])=2,Term4_Special_Day_2[[#This Row],[Elapsed]],0))</f>
        <v/>
      </c>
      <c r="O109"/>
      <c r="P109" s="136"/>
      <c r="Q109" s="136"/>
      <c r="R109" s="103"/>
      <c r="S109" s="106" t="str">
        <f>IF(OR(ISBLANK(Term4_Special_Day_3[[#This Row],[Start]]),ISBLANK(Term4_Special_Day_3[[#This Row],[End]])),"",(Term4_Special_Day_3[[#This Row],[End]]-Term4_Special_Day_3[[#This Row],[Start]])*1440)</f>
        <v/>
      </c>
      <c r="T109" s="106" t="str">
        <f>IF(ISBLANK(Term4_Special_Day_3[[#This Row],[Activity]]),"",IF(_xlfn.XLOOKUP(Term4_Special_Day_3[[#This Row],[Activity]],Types_of_Activity[Type of Activity],Types_of_Activity[Classification])=1,Term4_Special_Day_3[[#This Row],[Elapsed]],0))</f>
        <v/>
      </c>
      <c r="U109" s="106" t="str">
        <f>IF(ISBLANK(Term4_Special_Day_3[[#This Row],[Activity]]),"",IF(_xlfn.XLOOKUP(Term4_Special_Day_3[[#This Row],[Activity]],Types_of_Activity[Type of Activity],Types_of_Activity[Classification])=2,Term4_Special_Day_3[[#This Row],[Elapsed]],0))</f>
        <v/>
      </c>
      <c r="V109" s="106"/>
    </row>
    <row r="110" spans="2:22" x14ac:dyDescent="0.3">
      <c r="B110" s="136"/>
      <c r="C110" s="136"/>
      <c r="D110" s="103"/>
      <c r="E110" s="106" t="str">
        <f>IF(OR(ISBLANK(Term4_Special_Day_1[[#This Row],[Start]]),ISBLANK(Term4_Special_Day_1[[#This Row],[End]])),"",(Term4_Special_Day_1[[#This Row],[End]]-Term4_Special_Day_1[[#This Row],[Start]])*1440)</f>
        <v/>
      </c>
      <c r="F110" s="106" t="str">
        <f>IF(ISBLANK(Term4_Special_Day_1[[#This Row],[Activity]]),"",IF(_xlfn.XLOOKUP(Term4_Special_Day_1[[#This Row],[Activity]],Types_of_Activity[Type of Activity],Types_of_Activity[Classification])=1,Term4_Special_Day_1[[#This Row],[Elapsed]],0))</f>
        <v/>
      </c>
      <c r="G110" s="106" t="str">
        <f>IF(ISBLANK(Term4_Special_Day_1[[#This Row],[Activity]]),"",IF(_xlfn.XLOOKUP(Term4_Special_Day_1[[#This Row],[Activity]],Types_of_Activity[Type of Activity],Types_of_Activity[Classification])=2,Term4_Special_Day_1[[#This Row],[Elapsed]],0))</f>
        <v/>
      </c>
      <c r="H110"/>
      <c r="I110" s="136"/>
      <c r="J110" s="136"/>
      <c r="K110" s="103"/>
      <c r="L110" s="106" t="str">
        <f>IF(OR(ISBLANK(Term4_Special_Day_2[[#This Row],[Start]]),ISBLANK(Term4_Special_Day_2[[#This Row],[End]])),"",(Term4_Special_Day_2[[#This Row],[End]]-Term4_Special_Day_2[[#This Row],[Start]])*1440)</f>
        <v/>
      </c>
      <c r="M110" s="106" t="str">
        <f>IF(ISBLANK(Term4_Special_Day_2[[#This Row],[Activity]]),"",IF(_xlfn.XLOOKUP(Term4_Special_Day_2[[#This Row],[Activity]],Types_of_Activity[Type of Activity],Types_of_Activity[Classification])=1,Term4_Special_Day_2[[#This Row],[Elapsed]],0))</f>
        <v/>
      </c>
      <c r="N110" s="106" t="str">
        <f>IF(ISBLANK(Term4_Special_Day_2[[#This Row],[Activity]]),"",IF(_xlfn.XLOOKUP(Term4_Special_Day_2[[#This Row],[Activity]],Types_of_Activity[Type of Activity],Types_of_Activity[Classification])=2,Term4_Special_Day_2[[#This Row],[Elapsed]],0))</f>
        <v/>
      </c>
      <c r="O110"/>
      <c r="P110" s="136"/>
      <c r="Q110" s="136"/>
      <c r="R110" s="103"/>
      <c r="S110" s="106" t="str">
        <f>IF(OR(ISBLANK(Term4_Special_Day_3[[#This Row],[Start]]),ISBLANK(Term4_Special_Day_3[[#This Row],[End]])),"",(Term4_Special_Day_3[[#This Row],[End]]-Term4_Special_Day_3[[#This Row],[Start]])*1440)</f>
        <v/>
      </c>
      <c r="T110" s="106" t="str">
        <f>IF(ISBLANK(Term4_Special_Day_3[[#This Row],[Activity]]),"",IF(_xlfn.XLOOKUP(Term4_Special_Day_3[[#This Row],[Activity]],Types_of_Activity[Type of Activity],Types_of_Activity[Classification])=1,Term4_Special_Day_3[[#This Row],[Elapsed]],0))</f>
        <v/>
      </c>
      <c r="U110" s="106" t="str">
        <f>IF(ISBLANK(Term4_Special_Day_3[[#This Row],[Activity]]),"",IF(_xlfn.XLOOKUP(Term4_Special_Day_3[[#This Row],[Activity]],Types_of_Activity[Type of Activity],Types_of_Activity[Classification])=2,Term4_Special_Day_3[[#This Row],[Elapsed]],0))</f>
        <v/>
      </c>
      <c r="V110" s="106"/>
    </row>
    <row r="111" spans="2:22" x14ac:dyDescent="0.3">
      <c r="B111" s="136"/>
      <c r="C111" s="136"/>
      <c r="D111" s="103"/>
      <c r="E111" s="106" t="str">
        <f>IF(OR(ISBLANK(Term4_Special_Day_1[[#This Row],[Start]]),ISBLANK(Term4_Special_Day_1[[#This Row],[End]])),"",(Term4_Special_Day_1[[#This Row],[End]]-Term4_Special_Day_1[[#This Row],[Start]])*1440)</f>
        <v/>
      </c>
      <c r="F111" s="106" t="str">
        <f>IF(ISBLANK(Term4_Special_Day_1[[#This Row],[Activity]]),"",IF(_xlfn.XLOOKUP(Term4_Special_Day_1[[#This Row],[Activity]],Types_of_Activity[Type of Activity],Types_of_Activity[Classification])=1,Term4_Special_Day_1[[#This Row],[Elapsed]],0))</f>
        <v/>
      </c>
      <c r="G111" s="106" t="str">
        <f>IF(ISBLANK(Term4_Special_Day_1[[#This Row],[Activity]]),"",IF(_xlfn.XLOOKUP(Term4_Special_Day_1[[#This Row],[Activity]],Types_of_Activity[Type of Activity],Types_of_Activity[Classification])=2,Term4_Special_Day_1[[#This Row],[Elapsed]],0))</f>
        <v/>
      </c>
      <c r="H111"/>
      <c r="I111" s="136"/>
      <c r="J111" s="136"/>
      <c r="K111" s="103"/>
      <c r="L111" s="106" t="str">
        <f>IF(OR(ISBLANK(Term4_Special_Day_2[[#This Row],[Start]]),ISBLANK(Term4_Special_Day_2[[#This Row],[End]])),"",(Term4_Special_Day_2[[#This Row],[End]]-Term4_Special_Day_2[[#This Row],[Start]])*1440)</f>
        <v/>
      </c>
      <c r="M111" s="106" t="str">
        <f>IF(ISBLANK(Term4_Special_Day_2[[#This Row],[Activity]]),"",IF(_xlfn.XLOOKUP(Term4_Special_Day_2[[#This Row],[Activity]],Types_of_Activity[Type of Activity],Types_of_Activity[Classification])=1,Term4_Special_Day_2[[#This Row],[Elapsed]],0))</f>
        <v/>
      </c>
      <c r="N111" s="106" t="str">
        <f>IF(ISBLANK(Term4_Special_Day_2[[#This Row],[Activity]]),"",IF(_xlfn.XLOOKUP(Term4_Special_Day_2[[#This Row],[Activity]],Types_of_Activity[Type of Activity],Types_of_Activity[Classification])=2,Term4_Special_Day_2[[#This Row],[Elapsed]],0))</f>
        <v/>
      </c>
      <c r="O111"/>
      <c r="P111" s="136"/>
      <c r="Q111" s="136"/>
      <c r="R111" s="103"/>
      <c r="S111" s="106" t="str">
        <f>IF(OR(ISBLANK(Term4_Special_Day_3[[#This Row],[Start]]),ISBLANK(Term4_Special_Day_3[[#This Row],[End]])),"",(Term4_Special_Day_3[[#This Row],[End]]-Term4_Special_Day_3[[#This Row],[Start]])*1440)</f>
        <v/>
      </c>
      <c r="T111" s="106" t="str">
        <f>IF(ISBLANK(Term4_Special_Day_3[[#This Row],[Activity]]),"",IF(_xlfn.XLOOKUP(Term4_Special_Day_3[[#This Row],[Activity]],Types_of_Activity[Type of Activity],Types_of_Activity[Classification])=1,Term4_Special_Day_3[[#This Row],[Elapsed]],0))</f>
        <v/>
      </c>
      <c r="U111" s="106" t="str">
        <f>IF(ISBLANK(Term4_Special_Day_3[[#This Row],[Activity]]),"",IF(_xlfn.XLOOKUP(Term4_Special_Day_3[[#This Row],[Activity]],Types_of_Activity[Type of Activity],Types_of_Activity[Classification])=2,Term4_Special_Day_3[[#This Row],[Elapsed]],0))</f>
        <v/>
      </c>
      <c r="V111" s="106"/>
    </row>
    <row r="112" spans="2:22" x14ac:dyDescent="0.3">
      <c r="B112" s="136"/>
      <c r="C112" s="136"/>
      <c r="D112" s="103"/>
      <c r="E112" s="106" t="str">
        <f>IF(OR(ISBLANK(Term4_Special_Day_1[[#This Row],[Start]]),ISBLANK(Term4_Special_Day_1[[#This Row],[End]])),"",(Term4_Special_Day_1[[#This Row],[End]]-Term4_Special_Day_1[[#This Row],[Start]])*1440)</f>
        <v/>
      </c>
      <c r="F112" s="106" t="str">
        <f>IF(ISBLANK(Term4_Special_Day_1[[#This Row],[Activity]]),"",IF(_xlfn.XLOOKUP(Term4_Special_Day_1[[#This Row],[Activity]],Types_of_Activity[Type of Activity],Types_of_Activity[Classification])=1,Term4_Special_Day_1[[#This Row],[Elapsed]],0))</f>
        <v/>
      </c>
      <c r="G112" s="106" t="str">
        <f>IF(ISBLANK(Term4_Special_Day_1[[#This Row],[Activity]]),"",IF(_xlfn.XLOOKUP(Term4_Special_Day_1[[#This Row],[Activity]],Types_of_Activity[Type of Activity],Types_of_Activity[Classification])=2,Term4_Special_Day_1[[#This Row],[Elapsed]],0))</f>
        <v/>
      </c>
      <c r="H112"/>
      <c r="I112" s="136"/>
      <c r="J112" s="136"/>
      <c r="K112" s="103"/>
      <c r="L112" s="106" t="str">
        <f>IF(OR(ISBLANK(Term4_Special_Day_2[[#This Row],[Start]]),ISBLANK(Term4_Special_Day_2[[#This Row],[End]])),"",(Term4_Special_Day_2[[#This Row],[End]]-Term4_Special_Day_2[[#This Row],[Start]])*1440)</f>
        <v/>
      </c>
      <c r="M112" s="106" t="str">
        <f>IF(ISBLANK(Term4_Special_Day_2[[#This Row],[Activity]]),"",IF(_xlfn.XLOOKUP(Term4_Special_Day_2[[#This Row],[Activity]],Types_of_Activity[Type of Activity],Types_of_Activity[Classification])=1,Term4_Special_Day_2[[#This Row],[Elapsed]],0))</f>
        <v/>
      </c>
      <c r="N112" s="106" t="str">
        <f>IF(ISBLANK(Term4_Special_Day_2[[#This Row],[Activity]]),"",IF(_xlfn.XLOOKUP(Term4_Special_Day_2[[#This Row],[Activity]],Types_of_Activity[Type of Activity],Types_of_Activity[Classification])=2,Term4_Special_Day_2[[#This Row],[Elapsed]],0))</f>
        <v/>
      </c>
      <c r="O112"/>
      <c r="P112" s="136"/>
      <c r="Q112" s="136"/>
      <c r="R112" s="103"/>
      <c r="S112" s="106" t="str">
        <f>IF(OR(ISBLANK(Term4_Special_Day_3[[#This Row],[Start]]),ISBLANK(Term4_Special_Day_3[[#This Row],[End]])),"",(Term4_Special_Day_3[[#This Row],[End]]-Term4_Special_Day_3[[#This Row],[Start]])*1440)</f>
        <v/>
      </c>
      <c r="T112" s="106" t="str">
        <f>IF(ISBLANK(Term4_Special_Day_3[[#This Row],[Activity]]),"",IF(_xlfn.XLOOKUP(Term4_Special_Day_3[[#This Row],[Activity]],Types_of_Activity[Type of Activity],Types_of_Activity[Classification])=1,Term4_Special_Day_3[[#This Row],[Elapsed]],0))</f>
        <v/>
      </c>
      <c r="U112" s="106" t="str">
        <f>IF(ISBLANK(Term4_Special_Day_3[[#This Row],[Activity]]),"",IF(_xlfn.XLOOKUP(Term4_Special_Day_3[[#This Row],[Activity]],Types_of_Activity[Type of Activity],Types_of_Activity[Classification])=2,Term4_Special_Day_3[[#This Row],[Elapsed]],0))</f>
        <v/>
      </c>
      <c r="V112" s="106"/>
    </row>
    <row r="113" spans="2:22" x14ac:dyDescent="0.3">
      <c r="B113" s="136"/>
      <c r="C113" s="136"/>
      <c r="D113" s="103"/>
      <c r="E113" s="106" t="str">
        <f>IF(OR(ISBLANK(Term4_Special_Day_1[[#This Row],[Start]]),ISBLANK(Term4_Special_Day_1[[#This Row],[End]])),"",(Term4_Special_Day_1[[#This Row],[End]]-Term4_Special_Day_1[[#This Row],[Start]])*1440)</f>
        <v/>
      </c>
      <c r="F113" s="106" t="str">
        <f>IF(ISBLANK(Term4_Special_Day_1[[#This Row],[Activity]]),"",IF(_xlfn.XLOOKUP(Term4_Special_Day_1[[#This Row],[Activity]],Types_of_Activity[Type of Activity],Types_of_Activity[Classification])=1,Term4_Special_Day_1[[#This Row],[Elapsed]],0))</f>
        <v/>
      </c>
      <c r="G113" s="106" t="str">
        <f>IF(ISBLANK(Term4_Special_Day_1[[#This Row],[Activity]]),"",IF(_xlfn.XLOOKUP(Term4_Special_Day_1[[#This Row],[Activity]],Types_of_Activity[Type of Activity],Types_of_Activity[Classification])=2,Term4_Special_Day_1[[#This Row],[Elapsed]],0))</f>
        <v/>
      </c>
      <c r="H113"/>
      <c r="I113" s="136"/>
      <c r="J113" s="136"/>
      <c r="K113" s="103"/>
      <c r="L113" s="106" t="str">
        <f>IF(OR(ISBLANK(Term4_Special_Day_2[[#This Row],[Start]]),ISBLANK(Term4_Special_Day_2[[#This Row],[End]])),"",(Term4_Special_Day_2[[#This Row],[End]]-Term4_Special_Day_2[[#This Row],[Start]])*1440)</f>
        <v/>
      </c>
      <c r="M113" s="106" t="str">
        <f>IF(ISBLANK(Term4_Special_Day_2[[#This Row],[Activity]]),"",IF(_xlfn.XLOOKUP(Term4_Special_Day_2[[#This Row],[Activity]],Types_of_Activity[Type of Activity],Types_of_Activity[Classification])=1,Term4_Special_Day_2[[#This Row],[Elapsed]],0))</f>
        <v/>
      </c>
      <c r="N113" s="106" t="str">
        <f>IF(ISBLANK(Term4_Special_Day_2[[#This Row],[Activity]]),"",IF(_xlfn.XLOOKUP(Term4_Special_Day_2[[#This Row],[Activity]],Types_of_Activity[Type of Activity],Types_of_Activity[Classification])=2,Term4_Special_Day_2[[#This Row],[Elapsed]],0))</f>
        <v/>
      </c>
      <c r="O113"/>
      <c r="P113" s="136"/>
      <c r="Q113" s="136"/>
      <c r="R113" s="103"/>
      <c r="S113" s="106" t="str">
        <f>IF(OR(ISBLANK(Term4_Special_Day_3[[#This Row],[Start]]),ISBLANK(Term4_Special_Day_3[[#This Row],[End]])),"",(Term4_Special_Day_3[[#This Row],[End]]-Term4_Special_Day_3[[#This Row],[Start]])*1440)</f>
        <v/>
      </c>
      <c r="T113" s="106" t="str">
        <f>IF(ISBLANK(Term4_Special_Day_3[[#This Row],[Activity]]),"",IF(_xlfn.XLOOKUP(Term4_Special_Day_3[[#This Row],[Activity]],Types_of_Activity[Type of Activity],Types_of_Activity[Classification])=1,Term4_Special_Day_3[[#This Row],[Elapsed]],0))</f>
        <v/>
      </c>
      <c r="U113" s="106" t="str">
        <f>IF(ISBLANK(Term4_Special_Day_3[[#This Row],[Activity]]),"",IF(_xlfn.XLOOKUP(Term4_Special_Day_3[[#This Row],[Activity]],Types_of_Activity[Type of Activity],Types_of_Activity[Classification])=2,Term4_Special_Day_3[[#This Row],[Elapsed]],0))</f>
        <v/>
      </c>
      <c r="V113" s="106"/>
    </row>
    <row r="114" spans="2:22" x14ac:dyDescent="0.3">
      <c r="B114" s="136"/>
      <c r="C114" s="136"/>
      <c r="D114" s="103"/>
      <c r="E114" s="106" t="str">
        <f>IF(OR(ISBLANK(Term4_Special_Day_1[[#This Row],[Start]]),ISBLANK(Term4_Special_Day_1[[#This Row],[End]])),"",(Term4_Special_Day_1[[#This Row],[End]]-Term4_Special_Day_1[[#This Row],[Start]])*1440)</f>
        <v/>
      </c>
      <c r="F114" s="106" t="str">
        <f>IF(ISBLANK(Term4_Special_Day_1[[#This Row],[Activity]]),"",IF(_xlfn.XLOOKUP(Term4_Special_Day_1[[#This Row],[Activity]],Types_of_Activity[Type of Activity],Types_of_Activity[Classification])=1,Term4_Special_Day_1[[#This Row],[Elapsed]],0))</f>
        <v/>
      </c>
      <c r="G114" s="106" t="str">
        <f>IF(ISBLANK(Term4_Special_Day_1[[#This Row],[Activity]]),"",IF(_xlfn.XLOOKUP(Term4_Special_Day_1[[#This Row],[Activity]],Types_of_Activity[Type of Activity],Types_of_Activity[Classification])=2,Term4_Special_Day_1[[#This Row],[Elapsed]],0))</f>
        <v/>
      </c>
      <c r="H114"/>
      <c r="I114" s="136"/>
      <c r="J114" s="136"/>
      <c r="K114" s="103"/>
      <c r="L114" s="106" t="str">
        <f>IF(OR(ISBLANK(Term4_Special_Day_2[[#This Row],[Start]]),ISBLANK(Term4_Special_Day_2[[#This Row],[End]])),"",(Term4_Special_Day_2[[#This Row],[End]]-Term4_Special_Day_2[[#This Row],[Start]])*1440)</f>
        <v/>
      </c>
      <c r="M114" s="106" t="str">
        <f>IF(ISBLANK(Term4_Special_Day_2[[#This Row],[Activity]]),"",IF(_xlfn.XLOOKUP(Term4_Special_Day_2[[#This Row],[Activity]],Types_of_Activity[Type of Activity],Types_of_Activity[Classification])=1,Term4_Special_Day_2[[#This Row],[Elapsed]],0))</f>
        <v/>
      </c>
      <c r="N114" s="106" t="str">
        <f>IF(ISBLANK(Term4_Special_Day_2[[#This Row],[Activity]]),"",IF(_xlfn.XLOOKUP(Term4_Special_Day_2[[#This Row],[Activity]],Types_of_Activity[Type of Activity],Types_of_Activity[Classification])=2,Term4_Special_Day_2[[#This Row],[Elapsed]],0))</f>
        <v/>
      </c>
      <c r="O114"/>
      <c r="P114" s="136"/>
      <c r="Q114" s="136"/>
      <c r="R114" s="103"/>
      <c r="S114" s="106" t="str">
        <f>IF(OR(ISBLANK(Term4_Special_Day_3[[#This Row],[Start]]),ISBLANK(Term4_Special_Day_3[[#This Row],[End]])),"",(Term4_Special_Day_3[[#This Row],[End]]-Term4_Special_Day_3[[#This Row],[Start]])*1440)</f>
        <v/>
      </c>
      <c r="T114" s="106" t="str">
        <f>IF(ISBLANK(Term4_Special_Day_3[[#This Row],[Activity]]),"",IF(_xlfn.XLOOKUP(Term4_Special_Day_3[[#This Row],[Activity]],Types_of_Activity[Type of Activity],Types_of_Activity[Classification])=1,Term4_Special_Day_3[[#This Row],[Elapsed]],0))</f>
        <v/>
      </c>
      <c r="U114" s="106" t="str">
        <f>IF(ISBLANK(Term4_Special_Day_3[[#This Row],[Activity]]),"",IF(_xlfn.XLOOKUP(Term4_Special_Day_3[[#This Row],[Activity]],Types_of_Activity[Type of Activity],Types_of_Activity[Classification])=2,Term4_Special_Day_3[[#This Row],[Elapsed]],0))</f>
        <v/>
      </c>
      <c r="V114" s="106"/>
    </row>
    <row r="115" spans="2:22" x14ac:dyDescent="0.3">
      <c r="B115" s="136"/>
      <c r="C115" s="136"/>
      <c r="D115" s="103"/>
      <c r="E115" s="106" t="str">
        <f>IF(OR(ISBLANK(Term4_Special_Day_1[[#This Row],[Start]]),ISBLANK(Term4_Special_Day_1[[#This Row],[End]])),"",(Term4_Special_Day_1[[#This Row],[End]]-Term4_Special_Day_1[[#This Row],[Start]])*1440)</f>
        <v/>
      </c>
      <c r="F115" s="106" t="str">
        <f>IF(ISBLANK(Term4_Special_Day_1[[#This Row],[Activity]]),"",IF(_xlfn.XLOOKUP(Term4_Special_Day_1[[#This Row],[Activity]],Types_of_Activity[Type of Activity],Types_of_Activity[Classification])=1,Term4_Special_Day_1[[#This Row],[Elapsed]],0))</f>
        <v/>
      </c>
      <c r="G115" s="106" t="str">
        <f>IF(ISBLANK(Term4_Special_Day_1[[#This Row],[Activity]]),"",IF(_xlfn.XLOOKUP(Term4_Special_Day_1[[#This Row],[Activity]],Types_of_Activity[Type of Activity],Types_of_Activity[Classification])=2,Term4_Special_Day_1[[#This Row],[Elapsed]],0))</f>
        <v/>
      </c>
      <c r="H115"/>
      <c r="I115" s="136"/>
      <c r="J115" s="136"/>
      <c r="K115" s="103"/>
      <c r="L115" s="106" t="str">
        <f>IF(OR(ISBLANK(Term4_Special_Day_2[[#This Row],[Start]]),ISBLANK(Term4_Special_Day_2[[#This Row],[End]])),"",(Term4_Special_Day_2[[#This Row],[End]]-Term4_Special_Day_2[[#This Row],[Start]])*1440)</f>
        <v/>
      </c>
      <c r="M115" s="106" t="str">
        <f>IF(ISBLANK(Term4_Special_Day_2[[#This Row],[Activity]]),"",IF(_xlfn.XLOOKUP(Term4_Special_Day_2[[#This Row],[Activity]],Types_of_Activity[Type of Activity],Types_of_Activity[Classification])=1,Term4_Special_Day_2[[#This Row],[Elapsed]],0))</f>
        <v/>
      </c>
      <c r="N115" s="106" t="str">
        <f>IF(ISBLANK(Term4_Special_Day_2[[#This Row],[Activity]]),"",IF(_xlfn.XLOOKUP(Term4_Special_Day_2[[#This Row],[Activity]],Types_of_Activity[Type of Activity],Types_of_Activity[Classification])=2,Term4_Special_Day_2[[#This Row],[Elapsed]],0))</f>
        <v/>
      </c>
      <c r="O115"/>
      <c r="P115" s="136"/>
      <c r="Q115" s="136"/>
      <c r="R115" s="103"/>
      <c r="S115" s="106" t="str">
        <f>IF(OR(ISBLANK(Term4_Special_Day_3[[#This Row],[Start]]),ISBLANK(Term4_Special_Day_3[[#This Row],[End]])),"",(Term4_Special_Day_3[[#This Row],[End]]-Term4_Special_Day_3[[#This Row],[Start]])*1440)</f>
        <v/>
      </c>
      <c r="T115" s="106" t="str">
        <f>IF(ISBLANK(Term4_Special_Day_3[[#This Row],[Activity]]),"",IF(_xlfn.XLOOKUP(Term4_Special_Day_3[[#This Row],[Activity]],Types_of_Activity[Type of Activity],Types_of_Activity[Classification])=1,Term4_Special_Day_3[[#This Row],[Elapsed]],0))</f>
        <v/>
      </c>
      <c r="U115" s="106" t="str">
        <f>IF(ISBLANK(Term4_Special_Day_3[[#This Row],[Activity]]),"",IF(_xlfn.XLOOKUP(Term4_Special_Day_3[[#This Row],[Activity]],Types_of_Activity[Type of Activity],Types_of_Activity[Classification])=2,Term4_Special_Day_3[[#This Row],[Elapsed]],0))</f>
        <v/>
      </c>
      <c r="V115" s="106"/>
    </row>
    <row r="116" spans="2:22" x14ac:dyDescent="0.3">
      <c r="B116" s="136"/>
      <c r="C116" s="136"/>
      <c r="D116" s="103"/>
      <c r="E116" s="106" t="str">
        <f>IF(OR(ISBLANK(Term4_Special_Day_1[[#This Row],[Start]]),ISBLANK(Term4_Special_Day_1[[#This Row],[End]])),"",(Term4_Special_Day_1[[#This Row],[End]]-Term4_Special_Day_1[[#This Row],[Start]])*1440)</f>
        <v/>
      </c>
      <c r="F116" s="106" t="str">
        <f>IF(ISBLANK(Term4_Special_Day_1[[#This Row],[Activity]]),"",IF(_xlfn.XLOOKUP(Term4_Special_Day_1[[#This Row],[Activity]],Types_of_Activity[Type of Activity],Types_of_Activity[Classification])=1,Term4_Special_Day_1[[#This Row],[Elapsed]],0))</f>
        <v/>
      </c>
      <c r="G116" s="106" t="str">
        <f>IF(ISBLANK(Term4_Special_Day_1[[#This Row],[Activity]]),"",IF(_xlfn.XLOOKUP(Term4_Special_Day_1[[#This Row],[Activity]],Types_of_Activity[Type of Activity],Types_of_Activity[Classification])=2,Term4_Special_Day_1[[#This Row],[Elapsed]],0))</f>
        <v/>
      </c>
      <c r="H116"/>
      <c r="I116" s="136"/>
      <c r="J116" s="136"/>
      <c r="K116" s="103"/>
      <c r="L116" s="106" t="str">
        <f>IF(OR(ISBLANK(Term4_Special_Day_2[[#This Row],[Start]]),ISBLANK(Term4_Special_Day_2[[#This Row],[End]])),"",(Term4_Special_Day_2[[#This Row],[End]]-Term4_Special_Day_2[[#This Row],[Start]])*1440)</f>
        <v/>
      </c>
      <c r="M116" s="106" t="str">
        <f>IF(ISBLANK(Term4_Special_Day_2[[#This Row],[Activity]]),"",IF(_xlfn.XLOOKUP(Term4_Special_Day_2[[#This Row],[Activity]],Types_of_Activity[Type of Activity],Types_of_Activity[Classification])=1,Term4_Special_Day_2[[#This Row],[Elapsed]],0))</f>
        <v/>
      </c>
      <c r="N116" s="106" t="str">
        <f>IF(ISBLANK(Term4_Special_Day_2[[#This Row],[Activity]]),"",IF(_xlfn.XLOOKUP(Term4_Special_Day_2[[#This Row],[Activity]],Types_of_Activity[Type of Activity],Types_of_Activity[Classification])=2,Term4_Special_Day_2[[#This Row],[Elapsed]],0))</f>
        <v/>
      </c>
      <c r="O116"/>
      <c r="P116" s="136"/>
      <c r="Q116" s="136"/>
      <c r="R116" s="103"/>
      <c r="S116" s="106" t="str">
        <f>IF(OR(ISBLANK(Term4_Special_Day_3[[#This Row],[Start]]),ISBLANK(Term4_Special_Day_3[[#This Row],[End]])),"",(Term4_Special_Day_3[[#This Row],[End]]-Term4_Special_Day_3[[#This Row],[Start]])*1440)</f>
        <v/>
      </c>
      <c r="T116" s="106" t="str">
        <f>IF(ISBLANK(Term4_Special_Day_3[[#This Row],[Activity]]),"",IF(_xlfn.XLOOKUP(Term4_Special_Day_3[[#This Row],[Activity]],Types_of_Activity[Type of Activity],Types_of_Activity[Classification])=1,Term4_Special_Day_3[[#This Row],[Elapsed]],0))</f>
        <v/>
      </c>
      <c r="U116" s="106" t="str">
        <f>IF(ISBLANK(Term4_Special_Day_3[[#This Row],[Activity]]),"",IF(_xlfn.XLOOKUP(Term4_Special_Day_3[[#This Row],[Activity]],Types_of_Activity[Type of Activity],Types_of_Activity[Classification])=2,Term4_Special_Day_3[[#This Row],[Elapsed]],0))</f>
        <v/>
      </c>
      <c r="V116" s="106"/>
    </row>
    <row r="117" spans="2:22" x14ac:dyDescent="0.3">
      <c r="B117" s="136"/>
      <c r="C117" s="136"/>
      <c r="D117" s="103"/>
      <c r="E117" s="106" t="str">
        <f>IF(OR(ISBLANK(Term4_Special_Day_1[[#This Row],[Start]]),ISBLANK(Term4_Special_Day_1[[#This Row],[End]])),"",(Term4_Special_Day_1[[#This Row],[End]]-Term4_Special_Day_1[[#This Row],[Start]])*1440)</f>
        <v/>
      </c>
      <c r="F117" s="106" t="str">
        <f>IF(ISBLANK(Term4_Special_Day_1[[#This Row],[Activity]]),"",IF(_xlfn.XLOOKUP(Term4_Special_Day_1[[#This Row],[Activity]],Types_of_Activity[Type of Activity],Types_of_Activity[Classification])=1,Term4_Special_Day_1[[#This Row],[Elapsed]],0))</f>
        <v/>
      </c>
      <c r="G117" s="106" t="str">
        <f>IF(ISBLANK(Term4_Special_Day_1[[#This Row],[Activity]]),"",IF(_xlfn.XLOOKUP(Term4_Special_Day_1[[#This Row],[Activity]],Types_of_Activity[Type of Activity],Types_of_Activity[Classification])=2,Term4_Special_Day_1[[#This Row],[Elapsed]],0))</f>
        <v/>
      </c>
      <c r="H117"/>
      <c r="I117" s="136"/>
      <c r="J117" s="136"/>
      <c r="K117" s="103"/>
      <c r="L117" s="106" t="str">
        <f>IF(OR(ISBLANK(Term4_Special_Day_2[[#This Row],[Start]]),ISBLANK(Term4_Special_Day_2[[#This Row],[End]])),"",(Term4_Special_Day_2[[#This Row],[End]]-Term4_Special_Day_2[[#This Row],[Start]])*1440)</f>
        <v/>
      </c>
      <c r="M117" s="106" t="str">
        <f>IF(ISBLANK(Term4_Special_Day_2[[#This Row],[Activity]]),"",IF(_xlfn.XLOOKUP(Term4_Special_Day_2[[#This Row],[Activity]],Types_of_Activity[Type of Activity],Types_of_Activity[Classification])=1,Term4_Special_Day_2[[#This Row],[Elapsed]],0))</f>
        <v/>
      </c>
      <c r="N117" s="106" t="str">
        <f>IF(ISBLANK(Term4_Special_Day_2[[#This Row],[Activity]]),"",IF(_xlfn.XLOOKUP(Term4_Special_Day_2[[#This Row],[Activity]],Types_of_Activity[Type of Activity],Types_of_Activity[Classification])=2,Term4_Special_Day_2[[#This Row],[Elapsed]],0))</f>
        <v/>
      </c>
      <c r="O117"/>
      <c r="P117" s="136"/>
      <c r="Q117" s="136"/>
      <c r="R117" s="103"/>
      <c r="S117" s="106" t="str">
        <f>IF(OR(ISBLANK(Term4_Special_Day_3[[#This Row],[Start]]),ISBLANK(Term4_Special_Day_3[[#This Row],[End]])),"",(Term4_Special_Day_3[[#This Row],[End]]-Term4_Special_Day_3[[#This Row],[Start]])*1440)</f>
        <v/>
      </c>
      <c r="T117" s="106" t="str">
        <f>IF(ISBLANK(Term4_Special_Day_3[[#This Row],[Activity]]),"",IF(_xlfn.XLOOKUP(Term4_Special_Day_3[[#This Row],[Activity]],Types_of_Activity[Type of Activity],Types_of_Activity[Classification])=1,Term4_Special_Day_3[[#This Row],[Elapsed]],0))</f>
        <v/>
      </c>
      <c r="U117" s="106" t="str">
        <f>IF(ISBLANK(Term4_Special_Day_3[[#This Row],[Activity]]),"",IF(_xlfn.XLOOKUP(Term4_Special_Day_3[[#This Row],[Activity]],Types_of_Activity[Type of Activity],Types_of_Activity[Classification])=2,Term4_Special_Day_3[[#This Row],[Elapsed]],0))</f>
        <v/>
      </c>
      <c r="V117" s="106"/>
    </row>
    <row r="118" spans="2:22" x14ac:dyDescent="0.3">
      <c r="B118" s="136"/>
      <c r="C118" s="136"/>
      <c r="D118" s="103"/>
      <c r="E118" s="106" t="str">
        <f>IF(OR(ISBLANK(Term4_Special_Day_1[[#This Row],[Start]]),ISBLANK(Term4_Special_Day_1[[#This Row],[End]])),"",(Term4_Special_Day_1[[#This Row],[End]]-Term4_Special_Day_1[[#This Row],[Start]])*1440)</f>
        <v/>
      </c>
      <c r="F118" s="106" t="str">
        <f>IF(ISBLANK(Term4_Special_Day_1[[#This Row],[Activity]]),"",IF(_xlfn.XLOOKUP(Term4_Special_Day_1[[#This Row],[Activity]],Types_of_Activity[Type of Activity],Types_of_Activity[Classification])=1,Term4_Special_Day_1[[#This Row],[Elapsed]],0))</f>
        <v/>
      </c>
      <c r="G118" s="106" t="str">
        <f>IF(ISBLANK(Term4_Special_Day_1[[#This Row],[Activity]]),"",IF(_xlfn.XLOOKUP(Term4_Special_Day_1[[#This Row],[Activity]],Types_of_Activity[Type of Activity],Types_of_Activity[Classification])=2,Term4_Special_Day_1[[#This Row],[Elapsed]],0))</f>
        <v/>
      </c>
      <c r="H118"/>
      <c r="I118" s="136"/>
      <c r="J118" s="136"/>
      <c r="K118" s="103"/>
      <c r="L118" s="106" t="str">
        <f>IF(OR(ISBLANK(Term4_Special_Day_2[[#This Row],[Start]]),ISBLANK(Term4_Special_Day_2[[#This Row],[End]])),"",(Term4_Special_Day_2[[#This Row],[End]]-Term4_Special_Day_2[[#This Row],[Start]])*1440)</f>
        <v/>
      </c>
      <c r="M118" s="106" t="str">
        <f>IF(ISBLANK(Term4_Special_Day_2[[#This Row],[Activity]]),"",IF(_xlfn.XLOOKUP(Term4_Special_Day_2[[#This Row],[Activity]],Types_of_Activity[Type of Activity],Types_of_Activity[Classification])=1,Term4_Special_Day_2[[#This Row],[Elapsed]],0))</f>
        <v/>
      </c>
      <c r="N118" s="106" t="str">
        <f>IF(ISBLANK(Term4_Special_Day_2[[#This Row],[Activity]]),"",IF(_xlfn.XLOOKUP(Term4_Special_Day_2[[#This Row],[Activity]],Types_of_Activity[Type of Activity],Types_of_Activity[Classification])=2,Term4_Special_Day_2[[#This Row],[Elapsed]],0))</f>
        <v/>
      </c>
      <c r="O118"/>
      <c r="P118" s="136"/>
      <c r="Q118" s="136"/>
      <c r="R118" s="103"/>
      <c r="S118" s="106" t="str">
        <f>IF(OR(ISBLANK(Term4_Special_Day_3[[#This Row],[Start]]),ISBLANK(Term4_Special_Day_3[[#This Row],[End]])),"",(Term4_Special_Day_3[[#This Row],[End]]-Term4_Special_Day_3[[#This Row],[Start]])*1440)</f>
        <v/>
      </c>
      <c r="T118" s="106" t="str">
        <f>IF(ISBLANK(Term4_Special_Day_3[[#This Row],[Activity]]),"",IF(_xlfn.XLOOKUP(Term4_Special_Day_3[[#This Row],[Activity]],Types_of_Activity[Type of Activity],Types_of_Activity[Classification])=1,Term4_Special_Day_3[[#This Row],[Elapsed]],0))</f>
        <v/>
      </c>
      <c r="U118" s="106" t="str">
        <f>IF(ISBLANK(Term4_Special_Day_3[[#This Row],[Activity]]),"",IF(_xlfn.XLOOKUP(Term4_Special_Day_3[[#This Row],[Activity]],Types_of_Activity[Type of Activity],Types_of_Activity[Classification])=2,Term4_Special_Day_3[[#This Row],[Elapsed]],0))</f>
        <v/>
      </c>
      <c r="V118" s="106"/>
    </row>
    <row r="119" spans="2:22" x14ac:dyDescent="0.3">
      <c r="B119" s="136"/>
      <c r="C119" s="136"/>
      <c r="D119" s="103"/>
      <c r="E119" s="106" t="str">
        <f>IF(OR(ISBLANK(Term4_Special_Day_1[[#This Row],[Start]]),ISBLANK(Term4_Special_Day_1[[#This Row],[End]])),"",(Term4_Special_Day_1[[#This Row],[End]]-Term4_Special_Day_1[[#This Row],[Start]])*1440)</f>
        <v/>
      </c>
      <c r="F119" s="106" t="str">
        <f>IF(ISBLANK(Term4_Special_Day_1[[#This Row],[Activity]]),"",IF(_xlfn.XLOOKUP(Term4_Special_Day_1[[#This Row],[Activity]],Types_of_Activity[Type of Activity],Types_of_Activity[Classification])=1,Term4_Special_Day_1[[#This Row],[Elapsed]],0))</f>
        <v/>
      </c>
      <c r="G119" s="106" t="str">
        <f>IF(ISBLANK(Term4_Special_Day_1[[#This Row],[Activity]]),"",IF(_xlfn.XLOOKUP(Term4_Special_Day_1[[#This Row],[Activity]],Types_of_Activity[Type of Activity],Types_of_Activity[Classification])=2,Term4_Special_Day_1[[#This Row],[Elapsed]],0))</f>
        <v/>
      </c>
      <c r="H119"/>
      <c r="I119" s="136"/>
      <c r="J119" s="136"/>
      <c r="K119" s="103"/>
      <c r="L119" s="106" t="str">
        <f>IF(OR(ISBLANK(Term4_Special_Day_2[[#This Row],[Start]]),ISBLANK(Term4_Special_Day_2[[#This Row],[End]])),"",(Term4_Special_Day_2[[#This Row],[End]]-Term4_Special_Day_2[[#This Row],[Start]])*1440)</f>
        <v/>
      </c>
      <c r="M119" s="106" t="str">
        <f>IF(ISBLANK(Term4_Special_Day_2[[#This Row],[Activity]]),"",IF(_xlfn.XLOOKUP(Term4_Special_Day_2[[#This Row],[Activity]],Types_of_Activity[Type of Activity],Types_of_Activity[Classification])=1,Term4_Special_Day_2[[#This Row],[Elapsed]],0))</f>
        <v/>
      </c>
      <c r="N119" s="106" t="str">
        <f>IF(ISBLANK(Term4_Special_Day_2[[#This Row],[Activity]]),"",IF(_xlfn.XLOOKUP(Term4_Special_Day_2[[#This Row],[Activity]],Types_of_Activity[Type of Activity],Types_of_Activity[Classification])=2,Term4_Special_Day_2[[#This Row],[Elapsed]],0))</f>
        <v/>
      </c>
      <c r="O119"/>
      <c r="P119" s="136"/>
      <c r="Q119" s="136"/>
      <c r="R119" s="103"/>
      <c r="S119" s="106" t="str">
        <f>IF(OR(ISBLANK(Term4_Special_Day_3[[#This Row],[Start]]),ISBLANK(Term4_Special_Day_3[[#This Row],[End]])),"",(Term4_Special_Day_3[[#This Row],[End]]-Term4_Special_Day_3[[#This Row],[Start]])*1440)</f>
        <v/>
      </c>
      <c r="T119" s="106" t="str">
        <f>IF(ISBLANK(Term4_Special_Day_3[[#This Row],[Activity]]),"",IF(_xlfn.XLOOKUP(Term4_Special_Day_3[[#This Row],[Activity]],Types_of_Activity[Type of Activity],Types_of_Activity[Classification])=1,Term4_Special_Day_3[[#This Row],[Elapsed]],0))</f>
        <v/>
      </c>
      <c r="U119" s="106" t="str">
        <f>IF(ISBLANK(Term4_Special_Day_3[[#This Row],[Activity]]),"",IF(_xlfn.XLOOKUP(Term4_Special_Day_3[[#This Row],[Activity]],Types_of_Activity[Type of Activity],Types_of_Activity[Classification])=2,Term4_Special_Day_3[[#This Row],[Elapsed]],0))</f>
        <v/>
      </c>
      <c r="V119" s="106"/>
    </row>
    <row r="120" spans="2:22" x14ac:dyDescent="0.3">
      <c r="B120" s="136"/>
      <c r="C120" s="136"/>
      <c r="D120" s="103"/>
      <c r="E120" s="106" t="str">
        <f>IF(OR(ISBLANK(Term4_Special_Day_1[[#This Row],[Start]]),ISBLANK(Term4_Special_Day_1[[#This Row],[End]])),"",(Term4_Special_Day_1[[#This Row],[End]]-Term4_Special_Day_1[[#This Row],[Start]])*1440)</f>
        <v/>
      </c>
      <c r="F120" s="106" t="str">
        <f>IF(ISBLANK(Term4_Special_Day_1[[#This Row],[Activity]]),"",IF(_xlfn.XLOOKUP(Term4_Special_Day_1[[#This Row],[Activity]],Types_of_Activity[Type of Activity],Types_of_Activity[Classification])=1,Term4_Special_Day_1[[#This Row],[Elapsed]],0))</f>
        <v/>
      </c>
      <c r="G120" s="106" t="str">
        <f>IF(ISBLANK(Term4_Special_Day_1[[#This Row],[Activity]]),"",IF(_xlfn.XLOOKUP(Term4_Special_Day_1[[#This Row],[Activity]],Types_of_Activity[Type of Activity],Types_of_Activity[Classification])=2,Term4_Special_Day_1[[#This Row],[Elapsed]],0))</f>
        <v/>
      </c>
      <c r="H120"/>
      <c r="I120" s="136"/>
      <c r="J120" s="136"/>
      <c r="K120" s="103"/>
      <c r="L120" s="106" t="str">
        <f>IF(OR(ISBLANK(Term4_Special_Day_2[[#This Row],[Start]]),ISBLANK(Term4_Special_Day_2[[#This Row],[End]])),"",(Term4_Special_Day_2[[#This Row],[End]]-Term4_Special_Day_2[[#This Row],[Start]])*1440)</f>
        <v/>
      </c>
      <c r="M120" s="106" t="str">
        <f>IF(ISBLANK(Term4_Special_Day_2[[#This Row],[Activity]]),"",IF(_xlfn.XLOOKUP(Term4_Special_Day_2[[#This Row],[Activity]],Types_of_Activity[Type of Activity],Types_of_Activity[Classification])=1,Term4_Special_Day_2[[#This Row],[Elapsed]],0))</f>
        <v/>
      </c>
      <c r="N120" s="106" t="str">
        <f>IF(ISBLANK(Term4_Special_Day_2[[#This Row],[Activity]]),"",IF(_xlfn.XLOOKUP(Term4_Special_Day_2[[#This Row],[Activity]],Types_of_Activity[Type of Activity],Types_of_Activity[Classification])=2,Term4_Special_Day_2[[#This Row],[Elapsed]],0))</f>
        <v/>
      </c>
      <c r="O120"/>
      <c r="P120" s="136"/>
      <c r="Q120" s="136"/>
      <c r="R120" s="103"/>
      <c r="S120" s="106" t="str">
        <f>IF(OR(ISBLANK(Term4_Special_Day_3[[#This Row],[Start]]),ISBLANK(Term4_Special_Day_3[[#This Row],[End]])),"",(Term4_Special_Day_3[[#This Row],[End]]-Term4_Special_Day_3[[#This Row],[Start]])*1440)</f>
        <v/>
      </c>
      <c r="T120" s="106" t="str">
        <f>IF(ISBLANK(Term4_Special_Day_3[[#This Row],[Activity]]),"",IF(_xlfn.XLOOKUP(Term4_Special_Day_3[[#This Row],[Activity]],Types_of_Activity[Type of Activity],Types_of_Activity[Classification])=1,Term4_Special_Day_3[[#This Row],[Elapsed]],0))</f>
        <v/>
      </c>
      <c r="U120" s="106" t="str">
        <f>IF(ISBLANK(Term4_Special_Day_3[[#This Row],[Activity]]),"",IF(_xlfn.XLOOKUP(Term4_Special_Day_3[[#This Row],[Activity]],Types_of_Activity[Type of Activity],Types_of_Activity[Classification])=2,Term4_Special_Day_3[[#This Row],[Elapsed]],0))</f>
        <v/>
      </c>
      <c r="V120" s="106"/>
    </row>
    <row r="121" spans="2:22" x14ac:dyDescent="0.3">
      <c r="B121" s="136"/>
      <c r="C121" s="136"/>
      <c r="D121" s="103"/>
      <c r="E121" s="106" t="str">
        <f>IF(OR(ISBLANK(Term4_Special_Day_1[[#This Row],[Start]]),ISBLANK(Term4_Special_Day_1[[#This Row],[End]])),"",(Term4_Special_Day_1[[#This Row],[End]]-Term4_Special_Day_1[[#This Row],[Start]])*1440)</f>
        <v/>
      </c>
      <c r="F121" s="106" t="str">
        <f>IF(ISBLANK(Term4_Special_Day_1[[#This Row],[Activity]]),"",IF(_xlfn.XLOOKUP(Term4_Special_Day_1[[#This Row],[Activity]],Types_of_Activity[Type of Activity],Types_of_Activity[Classification])=1,Term4_Special_Day_1[[#This Row],[Elapsed]],0))</f>
        <v/>
      </c>
      <c r="G121" s="106" t="str">
        <f>IF(ISBLANK(Term4_Special_Day_1[[#This Row],[Activity]]),"",IF(_xlfn.XLOOKUP(Term4_Special_Day_1[[#This Row],[Activity]],Types_of_Activity[Type of Activity],Types_of_Activity[Classification])=2,Term4_Special_Day_1[[#This Row],[Elapsed]],0))</f>
        <v/>
      </c>
      <c r="H121"/>
      <c r="I121" s="136"/>
      <c r="J121" s="136"/>
      <c r="K121" s="103"/>
      <c r="L121" s="106" t="str">
        <f>IF(OR(ISBLANK(Term4_Special_Day_2[[#This Row],[Start]]),ISBLANK(Term4_Special_Day_2[[#This Row],[End]])),"",(Term4_Special_Day_2[[#This Row],[End]]-Term4_Special_Day_2[[#This Row],[Start]])*1440)</f>
        <v/>
      </c>
      <c r="M121" s="106" t="str">
        <f>IF(ISBLANK(Term4_Special_Day_2[[#This Row],[Activity]]),"",IF(_xlfn.XLOOKUP(Term4_Special_Day_2[[#This Row],[Activity]],Types_of_Activity[Type of Activity],Types_of_Activity[Classification])=1,Term4_Special_Day_2[[#This Row],[Elapsed]],0))</f>
        <v/>
      </c>
      <c r="N121" s="106" t="str">
        <f>IF(ISBLANK(Term4_Special_Day_2[[#This Row],[Activity]]),"",IF(_xlfn.XLOOKUP(Term4_Special_Day_2[[#This Row],[Activity]],Types_of_Activity[Type of Activity],Types_of_Activity[Classification])=2,Term4_Special_Day_2[[#This Row],[Elapsed]],0))</f>
        <v/>
      </c>
      <c r="O121"/>
      <c r="P121" s="136"/>
      <c r="Q121" s="136"/>
      <c r="R121" s="103"/>
      <c r="S121" s="106" t="str">
        <f>IF(OR(ISBLANK(Term4_Special_Day_3[[#This Row],[Start]]),ISBLANK(Term4_Special_Day_3[[#This Row],[End]])),"",(Term4_Special_Day_3[[#This Row],[End]]-Term4_Special_Day_3[[#This Row],[Start]])*1440)</f>
        <v/>
      </c>
      <c r="T121" s="106" t="str">
        <f>IF(ISBLANK(Term4_Special_Day_3[[#This Row],[Activity]]),"",IF(_xlfn.XLOOKUP(Term4_Special_Day_3[[#This Row],[Activity]],Types_of_Activity[Type of Activity],Types_of_Activity[Classification])=1,Term4_Special_Day_3[[#This Row],[Elapsed]],0))</f>
        <v/>
      </c>
      <c r="U121" s="106" t="str">
        <f>IF(ISBLANK(Term4_Special_Day_3[[#This Row],[Activity]]),"",IF(_xlfn.XLOOKUP(Term4_Special_Day_3[[#This Row],[Activity]],Types_of_Activity[Type of Activity],Types_of_Activity[Classification])=2,Term4_Special_Day_3[[#This Row],[Elapsed]],0))</f>
        <v/>
      </c>
      <c r="V121" s="106"/>
    </row>
    <row r="122" spans="2:22" x14ac:dyDescent="0.3">
      <c r="B122" s="136"/>
      <c r="C122" s="136"/>
      <c r="D122" s="103"/>
      <c r="E122" s="106" t="str">
        <f>IF(OR(ISBLANK(Term4_Special_Day_1[[#This Row],[Start]]),ISBLANK(Term4_Special_Day_1[[#This Row],[End]])),"",(Term4_Special_Day_1[[#This Row],[End]]-Term4_Special_Day_1[[#This Row],[Start]])*1440)</f>
        <v/>
      </c>
      <c r="F122" s="106" t="str">
        <f>IF(ISBLANK(Term4_Special_Day_1[[#This Row],[Activity]]),"",IF(_xlfn.XLOOKUP(Term4_Special_Day_1[[#This Row],[Activity]],Types_of_Activity[Type of Activity],Types_of_Activity[Classification])=1,Term4_Special_Day_1[[#This Row],[Elapsed]],0))</f>
        <v/>
      </c>
      <c r="G122" s="106" t="str">
        <f>IF(ISBLANK(Term4_Special_Day_1[[#This Row],[Activity]]),"",IF(_xlfn.XLOOKUP(Term4_Special_Day_1[[#This Row],[Activity]],Types_of_Activity[Type of Activity],Types_of_Activity[Classification])=2,Term4_Special_Day_1[[#This Row],[Elapsed]],0))</f>
        <v/>
      </c>
      <c r="H122"/>
      <c r="I122" s="136"/>
      <c r="J122" s="136"/>
      <c r="K122" s="103"/>
      <c r="L122" s="106" t="str">
        <f>IF(OR(ISBLANK(Term4_Special_Day_2[[#This Row],[Start]]),ISBLANK(Term4_Special_Day_2[[#This Row],[End]])),"",(Term4_Special_Day_2[[#This Row],[End]]-Term4_Special_Day_2[[#This Row],[Start]])*1440)</f>
        <v/>
      </c>
      <c r="M122" s="106" t="str">
        <f>IF(ISBLANK(Term4_Special_Day_2[[#This Row],[Activity]]),"",IF(_xlfn.XLOOKUP(Term4_Special_Day_2[[#This Row],[Activity]],Types_of_Activity[Type of Activity],Types_of_Activity[Classification])=1,Term4_Special_Day_2[[#This Row],[Elapsed]],0))</f>
        <v/>
      </c>
      <c r="N122" s="106" t="str">
        <f>IF(ISBLANK(Term4_Special_Day_2[[#This Row],[Activity]]),"",IF(_xlfn.XLOOKUP(Term4_Special_Day_2[[#This Row],[Activity]],Types_of_Activity[Type of Activity],Types_of_Activity[Classification])=2,Term4_Special_Day_2[[#This Row],[Elapsed]],0))</f>
        <v/>
      </c>
      <c r="O122"/>
      <c r="P122" s="136"/>
      <c r="Q122" s="136"/>
      <c r="R122" s="103"/>
      <c r="S122" s="106" t="str">
        <f>IF(OR(ISBLANK(Term4_Special_Day_3[[#This Row],[Start]]),ISBLANK(Term4_Special_Day_3[[#This Row],[End]])),"",(Term4_Special_Day_3[[#This Row],[End]]-Term4_Special_Day_3[[#This Row],[Start]])*1440)</f>
        <v/>
      </c>
      <c r="T122" s="106" t="str">
        <f>IF(ISBLANK(Term4_Special_Day_3[[#This Row],[Activity]]),"",IF(_xlfn.XLOOKUP(Term4_Special_Day_3[[#This Row],[Activity]],Types_of_Activity[Type of Activity],Types_of_Activity[Classification])=1,Term4_Special_Day_3[[#This Row],[Elapsed]],0))</f>
        <v/>
      </c>
      <c r="U122" s="106" t="str">
        <f>IF(ISBLANK(Term4_Special_Day_3[[#This Row],[Activity]]),"",IF(_xlfn.XLOOKUP(Term4_Special_Day_3[[#This Row],[Activity]],Types_of_Activity[Type of Activity],Types_of_Activity[Classification])=2,Term4_Special_Day_3[[#This Row],[Elapsed]],0))</f>
        <v/>
      </c>
      <c r="V122" s="106"/>
    </row>
    <row r="123" spans="2:22" x14ac:dyDescent="0.3">
      <c r="B123" s="136"/>
      <c r="C123" s="136"/>
      <c r="D123" s="103"/>
      <c r="E123" s="106" t="str">
        <f>IF(OR(ISBLANK(Term4_Special_Day_1[[#This Row],[Start]]),ISBLANK(Term4_Special_Day_1[[#This Row],[End]])),"",(Term4_Special_Day_1[[#This Row],[End]]-Term4_Special_Day_1[[#This Row],[Start]])*1440)</f>
        <v/>
      </c>
      <c r="F123" s="106" t="str">
        <f>IF(ISBLANK(Term4_Special_Day_1[[#This Row],[Activity]]),"",IF(_xlfn.XLOOKUP(Term4_Special_Day_1[[#This Row],[Activity]],Types_of_Activity[Type of Activity],Types_of_Activity[Classification])=1,Term4_Special_Day_1[[#This Row],[Elapsed]],0))</f>
        <v/>
      </c>
      <c r="G123" s="106" t="str">
        <f>IF(ISBLANK(Term4_Special_Day_1[[#This Row],[Activity]]),"",IF(_xlfn.XLOOKUP(Term4_Special_Day_1[[#This Row],[Activity]],Types_of_Activity[Type of Activity],Types_of_Activity[Classification])=2,Term4_Special_Day_1[[#This Row],[Elapsed]],0))</f>
        <v/>
      </c>
      <c r="H123"/>
      <c r="I123" s="136"/>
      <c r="J123" s="136"/>
      <c r="K123" s="103"/>
      <c r="L123" s="106" t="str">
        <f>IF(OR(ISBLANK(Term4_Special_Day_2[[#This Row],[Start]]),ISBLANK(Term4_Special_Day_2[[#This Row],[End]])),"",(Term4_Special_Day_2[[#This Row],[End]]-Term4_Special_Day_2[[#This Row],[Start]])*1440)</f>
        <v/>
      </c>
      <c r="M123" s="106" t="str">
        <f>IF(ISBLANK(Term4_Special_Day_2[[#This Row],[Activity]]),"",IF(_xlfn.XLOOKUP(Term4_Special_Day_2[[#This Row],[Activity]],Types_of_Activity[Type of Activity],Types_of_Activity[Classification])=1,Term4_Special_Day_2[[#This Row],[Elapsed]],0))</f>
        <v/>
      </c>
      <c r="N123" s="106" t="str">
        <f>IF(ISBLANK(Term4_Special_Day_2[[#This Row],[Activity]]),"",IF(_xlfn.XLOOKUP(Term4_Special_Day_2[[#This Row],[Activity]],Types_of_Activity[Type of Activity],Types_of_Activity[Classification])=2,Term4_Special_Day_2[[#This Row],[Elapsed]],0))</f>
        <v/>
      </c>
      <c r="O123"/>
      <c r="P123" s="136"/>
      <c r="Q123" s="136"/>
      <c r="R123" s="103"/>
      <c r="S123" s="106" t="str">
        <f>IF(OR(ISBLANK(Term4_Special_Day_3[[#This Row],[Start]]),ISBLANK(Term4_Special_Day_3[[#This Row],[End]])),"",(Term4_Special_Day_3[[#This Row],[End]]-Term4_Special_Day_3[[#This Row],[Start]])*1440)</f>
        <v/>
      </c>
      <c r="T123" s="106" t="str">
        <f>IF(ISBLANK(Term4_Special_Day_3[[#This Row],[Activity]]),"",IF(_xlfn.XLOOKUP(Term4_Special_Day_3[[#This Row],[Activity]],Types_of_Activity[Type of Activity],Types_of_Activity[Classification])=1,Term4_Special_Day_3[[#This Row],[Elapsed]],0))</f>
        <v/>
      </c>
      <c r="U123" s="106" t="str">
        <f>IF(ISBLANK(Term4_Special_Day_3[[#This Row],[Activity]]),"",IF(_xlfn.XLOOKUP(Term4_Special_Day_3[[#This Row],[Activity]],Types_of_Activity[Type of Activity],Types_of_Activity[Classification])=2,Term4_Special_Day_3[[#This Row],[Elapsed]],0))</f>
        <v/>
      </c>
      <c r="V123" s="106"/>
    </row>
    <row r="124" spans="2:22" x14ac:dyDescent="0.3">
      <c r="B124" s="136"/>
      <c r="C124" s="136"/>
      <c r="D124" s="103"/>
      <c r="E124" s="106" t="str">
        <f>IF(OR(ISBLANK(Term4_Special_Day_1[[#This Row],[Start]]),ISBLANK(Term4_Special_Day_1[[#This Row],[End]])),"",(Term4_Special_Day_1[[#This Row],[End]]-Term4_Special_Day_1[[#This Row],[Start]])*1440)</f>
        <v/>
      </c>
      <c r="F124" s="106" t="str">
        <f>IF(ISBLANK(Term4_Special_Day_1[[#This Row],[Activity]]),"",IF(_xlfn.XLOOKUP(Term4_Special_Day_1[[#This Row],[Activity]],Types_of_Activity[Type of Activity],Types_of_Activity[Classification])=1,Term4_Special_Day_1[[#This Row],[Elapsed]],0))</f>
        <v/>
      </c>
      <c r="G124" s="106" t="str">
        <f>IF(ISBLANK(Term4_Special_Day_1[[#This Row],[Activity]]),"",IF(_xlfn.XLOOKUP(Term4_Special_Day_1[[#This Row],[Activity]],Types_of_Activity[Type of Activity],Types_of_Activity[Classification])=2,Term4_Special_Day_1[[#This Row],[Elapsed]],0))</f>
        <v/>
      </c>
      <c r="H124"/>
      <c r="I124" s="136"/>
      <c r="J124" s="136"/>
      <c r="K124" s="103"/>
      <c r="L124" s="106" t="str">
        <f>IF(OR(ISBLANK(Term4_Special_Day_2[[#This Row],[Start]]),ISBLANK(Term4_Special_Day_2[[#This Row],[End]])),"",(Term4_Special_Day_2[[#This Row],[End]]-Term4_Special_Day_2[[#This Row],[Start]])*1440)</f>
        <v/>
      </c>
      <c r="M124" s="106" t="str">
        <f>IF(ISBLANK(Term4_Special_Day_2[[#This Row],[Activity]]),"",IF(_xlfn.XLOOKUP(Term4_Special_Day_2[[#This Row],[Activity]],Types_of_Activity[Type of Activity],Types_of_Activity[Classification])=1,Term4_Special_Day_2[[#This Row],[Elapsed]],0))</f>
        <v/>
      </c>
      <c r="N124" s="106" t="str">
        <f>IF(ISBLANK(Term4_Special_Day_2[[#This Row],[Activity]]),"",IF(_xlfn.XLOOKUP(Term4_Special_Day_2[[#This Row],[Activity]],Types_of_Activity[Type of Activity],Types_of_Activity[Classification])=2,Term4_Special_Day_2[[#This Row],[Elapsed]],0))</f>
        <v/>
      </c>
      <c r="O124"/>
      <c r="P124" s="136"/>
      <c r="Q124" s="136"/>
      <c r="R124" s="103"/>
      <c r="S124" s="106" t="str">
        <f>IF(OR(ISBLANK(Term4_Special_Day_3[[#This Row],[Start]]),ISBLANK(Term4_Special_Day_3[[#This Row],[End]])),"",(Term4_Special_Day_3[[#This Row],[End]]-Term4_Special_Day_3[[#This Row],[Start]])*1440)</f>
        <v/>
      </c>
      <c r="T124" s="106" t="str">
        <f>IF(ISBLANK(Term4_Special_Day_3[[#This Row],[Activity]]),"",IF(_xlfn.XLOOKUP(Term4_Special_Day_3[[#This Row],[Activity]],Types_of_Activity[Type of Activity],Types_of_Activity[Classification])=1,Term4_Special_Day_3[[#This Row],[Elapsed]],0))</f>
        <v/>
      </c>
      <c r="U124" s="106" t="str">
        <f>IF(ISBLANK(Term4_Special_Day_3[[#This Row],[Activity]]),"",IF(_xlfn.XLOOKUP(Term4_Special_Day_3[[#This Row],[Activity]],Types_of_Activity[Type of Activity],Types_of_Activity[Classification])=2,Term4_Special_Day_3[[#This Row],[Elapsed]],0))</f>
        <v/>
      </c>
      <c r="V124" s="106"/>
    </row>
    <row r="125" spans="2:22" x14ac:dyDescent="0.3">
      <c r="B125" s="136"/>
      <c r="C125" s="136"/>
      <c r="D125" s="103"/>
      <c r="E125" s="106" t="str">
        <f>IF(OR(ISBLANK(Term4_Special_Day_1[[#This Row],[Start]]),ISBLANK(Term4_Special_Day_1[[#This Row],[End]])),"",(Term4_Special_Day_1[[#This Row],[End]]-Term4_Special_Day_1[[#This Row],[Start]])*1440)</f>
        <v/>
      </c>
      <c r="F125" s="106" t="str">
        <f>IF(ISBLANK(Term4_Special_Day_1[[#This Row],[Activity]]),"",IF(_xlfn.XLOOKUP(Term4_Special_Day_1[[#This Row],[Activity]],Types_of_Activity[Type of Activity],Types_of_Activity[Classification])=1,Term4_Special_Day_1[[#This Row],[Elapsed]],0))</f>
        <v/>
      </c>
      <c r="G125" s="106" t="str">
        <f>IF(ISBLANK(Term4_Special_Day_1[[#This Row],[Activity]]),"",IF(_xlfn.XLOOKUP(Term4_Special_Day_1[[#This Row],[Activity]],Types_of_Activity[Type of Activity],Types_of_Activity[Classification])=2,Term4_Special_Day_1[[#This Row],[Elapsed]],0))</f>
        <v/>
      </c>
      <c r="H125"/>
      <c r="I125" s="136"/>
      <c r="J125" s="136"/>
      <c r="K125" s="103"/>
      <c r="L125" s="106" t="str">
        <f>IF(OR(ISBLANK(Term4_Special_Day_2[[#This Row],[Start]]),ISBLANK(Term4_Special_Day_2[[#This Row],[End]])),"",(Term4_Special_Day_2[[#This Row],[End]]-Term4_Special_Day_2[[#This Row],[Start]])*1440)</f>
        <v/>
      </c>
      <c r="M125" s="106" t="str">
        <f>IF(ISBLANK(Term4_Special_Day_2[[#This Row],[Activity]]),"",IF(_xlfn.XLOOKUP(Term4_Special_Day_2[[#This Row],[Activity]],Types_of_Activity[Type of Activity],Types_of_Activity[Classification])=1,Term4_Special_Day_2[[#This Row],[Elapsed]],0))</f>
        <v/>
      </c>
      <c r="N125" s="106" t="str">
        <f>IF(ISBLANK(Term4_Special_Day_2[[#This Row],[Activity]]),"",IF(_xlfn.XLOOKUP(Term4_Special_Day_2[[#This Row],[Activity]],Types_of_Activity[Type of Activity],Types_of_Activity[Classification])=2,Term4_Special_Day_2[[#This Row],[Elapsed]],0))</f>
        <v/>
      </c>
      <c r="O125"/>
      <c r="P125" s="136"/>
      <c r="Q125" s="136"/>
      <c r="R125" s="103"/>
      <c r="S125" s="106" t="str">
        <f>IF(OR(ISBLANK(Term4_Special_Day_3[[#This Row],[Start]]),ISBLANK(Term4_Special_Day_3[[#This Row],[End]])),"",(Term4_Special_Day_3[[#This Row],[End]]-Term4_Special_Day_3[[#This Row],[Start]])*1440)</f>
        <v/>
      </c>
      <c r="T125" s="106" t="str">
        <f>IF(ISBLANK(Term4_Special_Day_3[[#This Row],[Activity]]),"",IF(_xlfn.XLOOKUP(Term4_Special_Day_3[[#This Row],[Activity]],Types_of_Activity[Type of Activity],Types_of_Activity[Classification])=1,Term4_Special_Day_3[[#This Row],[Elapsed]],0))</f>
        <v/>
      </c>
      <c r="U125" s="106" t="str">
        <f>IF(ISBLANK(Term4_Special_Day_3[[#This Row],[Activity]]),"",IF(_xlfn.XLOOKUP(Term4_Special_Day_3[[#This Row],[Activity]],Types_of_Activity[Type of Activity],Types_of_Activity[Classification])=2,Term4_Special_Day_3[[#This Row],[Elapsed]],0))</f>
        <v/>
      </c>
      <c r="V125" s="106"/>
    </row>
    <row r="126" spans="2:22" x14ac:dyDescent="0.3">
      <c r="B126" s="136"/>
      <c r="C126" s="136"/>
      <c r="D126" s="103"/>
      <c r="E126" s="106" t="str">
        <f>IF(OR(ISBLANK(Term4_Special_Day_1[[#This Row],[Start]]),ISBLANK(Term4_Special_Day_1[[#This Row],[End]])),"",(Term4_Special_Day_1[[#This Row],[End]]-Term4_Special_Day_1[[#This Row],[Start]])*1440)</f>
        <v/>
      </c>
      <c r="F126" s="106" t="str">
        <f>IF(ISBLANK(Term4_Special_Day_1[[#This Row],[Activity]]),"",IF(_xlfn.XLOOKUP(Term4_Special_Day_1[[#This Row],[Activity]],Types_of_Activity[Type of Activity],Types_of_Activity[Classification])=1,Term4_Special_Day_1[[#This Row],[Elapsed]],0))</f>
        <v/>
      </c>
      <c r="G126" s="106" t="str">
        <f>IF(ISBLANK(Term4_Special_Day_1[[#This Row],[Activity]]),"",IF(_xlfn.XLOOKUP(Term4_Special_Day_1[[#This Row],[Activity]],Types_of_Activity[Type of Activity],Types_of_Activity[Classification])=2,Term4_Special_Day_1[[#This Row],[Elapsed]],0))</f>
        <v/>
      </c>
      <c r="H126"/>
      <c r="I126" s="136"/>
      <c r="J126" s="136"/>
      <c r="K126" s="103"/>
      <c r="L126" s="106" t="str">
        <f>IF(OR(ISBLANK(Term4_Special_Day_2[[#This Row],[Start]]),ISBLANK(Term4_Special_Day_2[[#This Row],[End]])),"",(Term4_Special_Day_2[[#This Row],[End]]-Term4_Special_Day_2[[#This Row],[Start]])*1440)</f>
        <v/>
      </c>
      <c r="M126" s="106" t="str">
        <f>IF(ISBLANK(Term4_Special_Day_2[[#This Row],[Activity]]),"",IF(_xlfn.XLOOKUP(Term4_Special_Day_2[[#This Row],[Activity]],Types_of_Activity[Type of Activity],Types_of_Activity[Classification])=1,Term4_Special_Day_2[[#This Row],[Elapsed]],0))</f>
        <v/>
      </c>
      <c r="N126" s="106" t="str">
        <f>IF(ISBLANK(Term4_Special_Day_2[[#This Row],[Activity]]),"",IF(_xlfn.XLOOKUP(Term4_Special_Day_2[[#This Row],[Activity]],Types_of_Activity[Type of Activity],Types_of_Activity[Classification])=2,Term4_Special_Day_2[[#This Row],[Elapsed]],0))</f>
        <v/>
      </c>
      <c r="O126"/>
      <c r="P126" s="136"/>
      <c r="Q126" s="136"/>
      <c r="R126" s="103"/>
      <c r="S126" s="106" t="str">
        <f>IF(OR(ISBLANK(Term4_Special_Day_3[[#This Row],[Start]]),ISBLANK(Term4_Special_Day_3[[#This Row],[End]])),"",(Term4_Special_Day_3[[#This Row],[End]]-Term4_Special_Day_3[[#This Row],[Start]])*1440)</f>
        <v/>
      </c>
      <c r="T126" s="106" t="str">
        <f>IF(ISBLANK(Term4_Special_Day_3[[#This Row],[Activity]]),"",IF(_xlfn.XLOOKUP(Term4_Special_Day_3[[#This Row],[Activity]],Types_of_Activity[Type of Activity],Types_of_Activity[Classification])=1,Term4_Special_Day_3[[#This Row],[Elapsed]],0))</f>
        <v/>
      </c>
      <c r="U126" s="106" t="str">
        <f>IF(ISBLANK(Term4_Special_Day_3[[#This Row],[Activity]]),"",IF(_xlfn.XLOOKUP(Term4_Special_Day_3[[#This Row],[Activity]],Types_of_Activity[Type of Activity],Types_of_Activity[Classification])=2,Term4_Special_Day_3[[#This Row],[Elapsed]],0))</f>
        <v/>
      </c>
      <c r="V126" s="106"/>
    </row>
    <row r="127" spans="2:22" x14ac:dyDescent="0.3">
      <c r="B127" s="136"/>
      <c r="C127" s="136"/>
      <c r="D127" s="103"/>
      <c r="E127" s="106" t="str">
        <f>IF(OR(ISBLANK(Term4_Special_Day_1[[#This Row],[Start]]),ISBLANK(Term4_Special_Day_1[[#This Row],[End]])),"",(Term4_Special_Day_1[[#This Row],[End]]-Term4_Special_Day_1[[#This Row],[Start]])*1440)</f>
        <v/>
      </c>
      <c r="F127" s="106" t="str">
        <f>IF(ISBLANK(Term4_Special_Day_1[[#This Row],[Activity]]),"",IF(_xlfn.XLOOKUP(Term4_Special_Day_1[[#This Row],[Activity]],Types_of_Activity[Type of Activity],Types_of_Activity[Classification])=1,Term4_Special_Day_1[[#This Row],[Elapsed]],0))</f>
        <v/>
      </c>
      <c r="G127" s="106" t="str">
        <f>IF(ISBLANK(Term4_Special_Day_1[[#This Row],[Activity]]),"",IF(_xlfn.XLOOKUP(Term4_Special_Day_1[[#This Row],[Activity]],Types_of_Activity[Type of Activity],Types_of_Activity[Classification])=2,Term4_Special_Day_1[[#This Row],[Elapsed]],0))</f>
        <v/>
      </c>
      <c r="H127"/>
      <c r="I127" s="136"/>
      <c r="J127" s="136"/>
      <c r="K127" s="103"/>
      <c r="L127" s="106" t="str">
        <f>IF(OR(ISBLANK(Term4_Special_Day_2[[#This Row],[Start]]),ISBLANK(Term4_Special_Day_2[[#This Row],[End]])),"",(Term4_Special_Day_2[[#This Row],[End]]-Term4_Special_Day_2[[#This Row],[Start]])*1440)</f>
        <v/>
      </c>
      <c r="M127" s="106" t="str">
        <f>IF(ISBLANK(Term4_Special_Day_2[[#This Row],[Activity]]),"",IF(_xlfn.XLOOKUP(Term4_Special_Day_2[[#This Row],[Activity]],Types_of_Activity[Type of Activity],Types_of_Activity[Classification])=1,Term4_Special_Day_2[[#This Row],[Elapsed]],0))</f>
        <v/>
      </c>
      <c r="N127" s="106" t="str">
        <f>IF(ISBLANK(Term4_Special_Day_2[[#This Row],[Activity]]),"",IF(_xlfn.XLOOKUP(Term4_Special_Day_2[[#This Row],[Activity]],Types_of_Activity[Type of Activity],Types_of_Activity[Classification])=2,Term4_Special_Day_2[[#This Row],[Elapsed]],0))</f>
        <v/>
      </c>
      <c r="O127"/>
      <c r="P127" s="136"/>
      <c r="Q127" s="136"/>
      <c r="R127" s="103"/>
      <c r="S127" s="106" t="str">
        <f>IF(OR(ISBLANK(Term4_Special_Day_3[[#This Row],[Start]]),ISBLANK(Term4_Special_Day_3[[#This Row],[End]])),"",(Term4_Special_Day_3[[#This Row],[End]]-Term4_Special_Day_3[[#This Row],[Start]])*1440)</f>
        <v/>
      </c>
      <c r="T127" s="106" t="str">
        <f>IF(ISBLANK(Term4_Special_Day_3[[#This Row],[Activity]]),"",IF(_xlfn.XLOOKUP(Term4_Special_Day_3[[#This Row],[Activity]],Types_of_Activity[Type of Activity],Types_of_Activity[Classification])=1,Term4_Special_Day_3[[#This Row],[Elapsed]],0))</f>
        <v/>
      </c>
      <c r="U127" s="106" t="str">
        <f>IF(ISBLANK(Term4_Special_Day_3[[#This Row],[Activity]]),"",IF(_xlfn.XLOOKUP(Term4_Special_Day_3[[#This Row],[Activity]],Types_of_Activity[Type of Activity],Types_of_Activity[Classification])=2,Term4_Special_Day_3[[#This Row],[Elapsed]],0))</f>
        <v/>
      </c>
      <c r="V127" s="106"/>
    </row>
    <row r="128" spans="2:22" x14ac:dyDescent="0.3">
      <c r="B128" s="136"/>
      <c r="C128" s="136"/>
      <c r="D128" s="103"/>
      <c r="E128" s="106" t="str">
        <f>IF(OR(ISBLANK(Term4_Special_Day_1[[#This Row],[Start]]),ISBLANK(Term4_Special_Day_1[[#This Row],[End]])),"",(Term4_Special_Day_1[[#This Row],[End]]-Term4_Special_Day_1[[#This Row],[Start]])*1440)</f>
        <v/>
      </c>
      <c r="F128" s="106" t="str">
        <f>IF(ISBLANK(Term4_Special_Day_1[[#This Row],[Activity]]),"",IF(_xlfn.XLOOKUP(Term4_Special_Day_1[[#This Row],[Activity]],Types_of_Activity[Type of Activity],Types_of_Activity[Classification])=1,Term4_Special_Day_1[[#This Row],[Elapsed]],0))</f>
        <v/>
      </c>
      <c r="G128" s="106" t="str">
        <f>IF(ISBLANK(Term4_Special_Day_1[[#This Row],[Activity]]),"",IF(_xlfn.XLOOKUP(Term4_Special_Day_1[[#This Row],[Activity]],Types_of_Activity[Type of Activity],Types_of_Activity[Classification])=2,Term4_Special_Day_1[[#This Row],[Elapsed]],0))</f>
        <v/>
      </c>
      <c r="H128"/>
      <c r="I128" s="136"/>
      <c r="J128" s="136"/>
      <c r="K128" s="103"/>
      <c r="L128" s="106" t="str">
        <f>IF(OR(ISBLANK(Term4_Special_Day_2[[#This Row],[Start]]),ISBLANK(Term4_Special_Day_2[[#This Row],[End]])),"",(Term4_Special_Day_2[[#This Row],[End]]-Term4_Special_Day_2[[#This Row],[Start]])*1440)</f>
        <v/>
      </c>
      <c r="M128" s="106" t="str">
        <f>IF(ISBLANK(Term4_Special_Day_2[[#This Row],[Activity]]),"",IF(_xlfn.XLOOKUP(Term4_Special_Day_2[[#This Row],[Activity]],Types_of_Activity[Type of Activity],Types_of_Activity[Classification])=1,Term4_Special_Day_2[[#This Row],[Elapsed]],0))</f>
        <v/>
      </c>
      <c r="N128" s="106" t="str">
        <f>IF(ISBLANK(Term4_Special_Day_2[[#This Row],[Activity]]),"",IF(_xlfn.XLOOKUP(Term4_Special_Day_2[[#This Row],[Activity]],Types_of_Activity[Type of Activity],Types_of_Activity[Classification])=2,Term4_Special_Day_2[[#This Row],[Elapsed]],0))</f>
        <v/>
      </c>
      <c r="O128"/>
      <c r="P128" s="136"/>
      <c r="Q128" s="136"/>
      <c r="R128" s="103"/>
      <c r="S128" s="106" t="str">
        <f>IF(OR(ISBLANK(Term4_Special_Day_3[[#This Row],[Start]]),ISBLANK(Term4_Special_Day_3[[#This Row],[End]])),"",(Term4_Special_Day_3[[#This Row],[End]]-Term4_Special_Day_3[[#This Row],[Start]])*1440)</f>
        <v/>
      </c>
      <c r="T128" s="106" t="str">
        <f>IF(ISBLANK(Term4_Special_Day_3[[#This Row],[Activity]]),"",IF(_xlfn.XLOOKUP(Term4_Special_Day_3[[#This Row],[Activity]],Types_of_Activity[Type of Activity],Types_of_Activity[Classification])=1,Term4_Special_Day_3[[#This Row],[Elapsed]],0))</f>
        <v/>
      </c>
      <c r="U128" s="106" t="str">
        <f>IF(ISBLANK(Term4_Special_Day_3[[#This Row],[Activity]]),"",IF(_xlfn.XLOOKUP(Term4_Special_Day_3[[#This Row],[Activity]],Types_of_Activity[Type of Activity],Types_of_Activity[Classification])=2,Term4_Special_Day_3[[#This Row],[Elapsed]],0))</f>
        <v/>
      </c>
      <c r="V128" s="106"/>
    </row>
    <row r="129" spans="2:22" x14ac:dyDescent="0.3">
      <c r="B129" s="136"/>
      <c r="C129" s="136"/>
      <c r="D129" s="103"/>
      <c r="E129" s="106" t="str">
        <f>IF(OR(ISBLANK(Term4_Special_Day_1[[#This Row],[Start]]),ISBLANK(Term4_Special_Day_1[[#This Row],[End]])),"",(Term4_Special_Day_1[[#This Row],[End]]-Term4_Special_Day_1[[#This Row],[Start]])*1440)</f>
        <v/>
      </c>
      <c r="F129" s="106" t="str">
        <f>IF(ISBLANK(Term4_Special_Day_1[[#This Row],[Activity]]),"",IF(_xlfn.XLOOKUP(Term4_Special_Day_1[[#This Row],[Activity]],Types_of_Activity[Type of Activity],Types_of_Activity[Classification])=1,Term4_Special_Day_1[[#This Row],[Elapsed]],0))</f>
        <v/>
      </c>
      <c r="G129" s="106" t="str">
        <f>IF(ISBLANK(Term4_Special_Day_1[[#This Row],[Activity]]),"",IF(_xlfn.XLOOKUP(Term4_Special_Day_1[[#This Row],[Activity]],Types_of_Activity[Type of Activity],Types_of_Activity[Classification])=2,Term4_Special_Day_1[[#This Row],[Elapsed]],0))</f>
        <v/>
      </c>
      <c r="H129"/>
      <c r="I129" s="136"/>
      <c r="J129" s="136"/>
      <c r="K129" s="103"/>
      <c r="L129" s="106" t="str">
        <f>IF(OR(ISBLANK(Term4_Special_Day_2[[#This Row],[Start]]),ISBLANK(Term4_Special_Day_2[[#This Row],[End]])),"",(Term4_Special_Day_2[[#This Row],[End]]-Term4_Special_Day_2[[#This Row],[Start]])*1440)</f>
        <v/>
      </c>
      <c r="M129" s="106" t="str">
        <f>IF(ISBLANK(Term4_Special_Day_2[[#This Row],[Activity]]),"",IF(_xlfn.XLOOKUP(Term4_Special_Day_2[[#This Row],[Activity]],Types_of_Activity[Type of Activity],Types_of_Activity[Classification])=1,Term4_Special_Day_2[[#This Row],[Elapsed]],0))</f>
        <v/>
      </c>
      <c r="N129" s="106" t="str">
        <f>IF(ISBLANK(Term4_Special_Day_2[[#This Row],[Activity]]),"",IF(_xlfn.XLOOKUP(Term4_Special_Day_2[[#This Row],[Activity]],Types_of_Activity[Type of Activity],Types_of_Activity[Classification])=2,Term4_Special_Day_2[[#This Row],[Elapsed]],0))</f>
        <v/>
      </c>
      <c r="O129"/>
      <c r="P129" s="136"/>
      <c r="Q129" s="136"/>
      <c r="R129" s="103"/>
      <c r="S129" s="106" t="str">
        <f>IF(OR(ISBLANK(Term4_Special_Day_3[[#This Row],[Start]]),ISBLANK(Term4_Special_Day_3[[#This Row],[End]])),"",(Term4_Special_Day_3[[#This Row],[End]]-Term4_Special_Day_3[[#This Row],[Start]])*1440)</f>
        <v/>
      </c>
      <c r="T129" s="106" t="str">
        <f>IF(ISBLANK(Term4_Special_Day_3[[#This Row],[Activity]]),"",IF(_xlfn.XLOOKUP(Term4_Special_Day_3[[#This Row],[Activity]],Types_of_Activity[Type of Activity],Types_of_Activity[Classification])=1,Term4_Special_Day_3[[#This Row],[Elapsed]],0))</f>
        <v/>
      </c>
      <c r="U129" s="106" t="str">
        <f>IF(ISBLANK(Term4_Special_Day_3[[#This Row],[Activity]]),"",IF(_xlfn.XLOOKUP(Term4_Special_Day_3[[#This Row],[Activity]],Types_of_Activity[Type of Activity],Types_of_Activity[Classification])=2,Term4_Special_Day_3[[#This Row],[Elapsed]],0))</f>
        <v/>
      </c>
      <c r="V129" s="106"/>
    </row>
    <row r="130" spans="2:22" x14ac:dyDescent="0.3">
      <c r="B130" s="136"/>
      <c r="C130" s="136"/>
      <c r="D130" s="103"/>
      <c r="E130" s="106" t="str">
        <f>IF(OR(ISBLANK(Term4_Special_Day_1[[#This Row],[Start]]),ISBLANK(Term4_Special_Day_1[[#This Row],[End]])),"",(Term4_Special_Day_1[[#This Row],[End]]-Term4_Special_Day_1[[#This Row],[Start]])*1440)</f>
        <v/>
      </c>
      <c r="F130" s="106" t="str">
        <f>IF(ISBLANK(Term4_Special_Day_1[[#This Row],[Activity]]),"",IF(_xlfn.XLOOKUP(Term4_Special_Day_1[[#This Row],[Activity]],Types_of_Activity[Type of Activity],Types_of_Activity[Classification])=1,Term4_Special_Day_1[[#This Row],[Elapsed]],0))</f>
        <v/>
      </c>
      <c r="G130" s="106" t="str">
        <f>IF(ISBLANK(Term4_Special_Day_1[[#This Row],[Activity]]),"",IF(_xlfn.XLOOKUP(Term4_Special_Day_1[[#This Row],[Activity]],Types_of_Activity[Type of Activity],Types_of_Activity[Classification])=2,Term4_Special_Day_1[[#This Row],[Elapsed]],0))</f>
        <v/>
      </c>
      <c r="H130"/>
      <c r="I130" s="136"/>
      <c r="J130" s="136"/>
      <c r="K130" s="103"/>
      <c r="L130" s="106" t="str">
        <f>IF(OR(ISBLANK(Term4_Special_Day_2[[#This Row],[Start]]),ISBLANK(Term4_Special_Day_2[[#This Row],[End]])),"",(Term4_Special_Day_2[[#This Row],[End]]-Term4_Special_Day_2[[#This Row],[Start]])*1440)</f>
        <v/>
      </c>
      <c r="M130" s="106" t="str">
        <f>IF(ISBLANK(Term4_Special_Day_2[[#This Row],[Activity]]),"",IF(_xlfn.XLOOKUP(Term4_Special_Day_2[[#This Row],[Activity]],Types_of_Activity[Type of Activity],Types_of_Activity[Classification])=1,Term4_Special_Day_2[[#This Row],[Elapsed]],0))</f>
        <v/>
      </c>
      <c r="N130" s="106" t="str">
        <f>IF(ISBLANK(Term4_Special_Day_2[[#This Row],[Activity]]),"",IF(_xlfn.XLOOKUP(Term4_Special_Day_2[[#This Row],[Activity]],Types_of_Activity[Type of Activity],Types_of_Activity[Classification])=2,Term4_Special_Day_2[[#This Row],[Elapsed]],0))</f>
        <v/>
      </c>
      <c r="O130"/>
      <c r="P130" s="136"/>
      <c r="Q130" s="136"/>
      <c r="R130" s="103"/>
      <c r="S130" s="106" t="str">
        <f>IF(OR(ISBLANK(Term4_Special_Day_3[[#This Row],[Start]]),ISBLANK(Term4_Special_Day_3[[#This Row],[End]])),"",(Term4_Special_Day_3[[#This Row],[End]]-Term4_Special_Day_3[[#This Row],[Start]])*1440)</f>
        <v/>
      </c>
      <c r="T130" s="106" t="str">
        <f>IF(ISBLANK(Term4_Special_Day_3[[#This Row],[Activity]]),"",IF(_xlfn.XLOOKUP(Term4_Special_Day_3[[#This Row],[Activity]],Types_of_Activity[Type of Activity],Types_of_Activity[Classification])=1,Term4_Special_Day_3[[#This Row],[Elapsed]],0))</f>
        <v/>
      </c>
      <c r="U130" s="106" t="str">
        <f>IF(ISBLANK(Term4_Special_Day_3[[#This Row],[Activity]]),"",IF(_xlfn.XLOOKUP(Term4_Special_Day_3[[#This Row],[Activity]],Types_of_Activity[Type of Activity],Types_of_Activity[Classification])=2,Term4_Special_Day_3[[#This Row],[Elapsed]],0))</f>
        <v/>
      </c>
      <c r="V130" s="106"/>
    </row>
    <row r="131" spans="2:22" x14ac:dyDescent="0.3">
      <c r="B131" s="136"/>
      <c r="C131" s="136"/>
      <c r="D131" s="103"/>
      <c r="E131" s="106" t="str">
        <f>IF(OR(ISBLANK(Term4_Special_Day_1[[#This Row],[Start]]),ISBLANK(Term4_Special_Day_1[[#This Row],[End]])),"",(Term4_Special_Day_1[[#This Row],[End]]-Term4_Special_Day_1[[#This Row],[Start]])*1440)</f>
        <v/>
      </c>
      <c r="F131" s="106" t="str">
        <f>IF(ISBLANK(Term4_Special_Day_1[[#This Row],[Activity]]),"",IF(_xlfn.XLOOKUP(Term4_Special_Day_1[[#This Row],[Activity]],Types_of_Activity[Type of Activity],Types_of_Activity[Classification])=1,Term4_Special_Day_1[[#This Row],[Elapsed]],0))</f>
        <v/>
      </c>
      <c r="G131" s="106" t="str">
        <f>IF(ISBLANK(Term4_Special_Day_1[[#This Row],[Activity]]),"",IF(_xlfn.XLOOKUP(Term4_Special_Day_1[[#This Row],[Activity]],Types_of_Activity[Type of Activity],Types_of_Activity[Classification])=2,Term4_Special_Day_1[[#This Row],[Elapsed]],0))</f>
        <v/>
      </c>
      <c r="H131"/>
      <c r="I131" s="136"/>
      <c r="J131" s="136"/>
      <c r="K131" s="103"/>
      <c r="L131" s="106" t="str">
        <f>IF(OR(ISBLANK(Term4_Special_Day_2[[#This Row],[Start]]),ISBLANK(Term4_Special_Day_2[[#This Row],[End]])),"",(Term4_Special_Day_2[[#This Row],[End]]-Term4_Special_Day_2[[#This Row],[Start]])*1440)</f>
        <v/>
      </c>
      <c r="M131" s="106" t="str">
        <f>IF(ISBLANK(Term4_Special_Day_2[[#This Row],[Activity]]),"",IF(_xlfn.XLOOKUP(Term4_Special_Day_2[[#This Row],[Activity]],Types_of_Activity[Type of Activity],Types_of_Activity[Classification])=1,Term4_Special_Day_2[[#This Row],[Elapsed]],0))</f>
        <v/>
      </c>
      <c r="N131" s="106" t="str">
        <f>IF(ISBLANK(Term4_Special_Day_2[[#This Row],[Activity]]),"",IF(_xlfn.XLOOKUP(Term4_Special_Day_2[[#This Row],[Activity]],Types_of_Activity[Type of Activity],Types_of_Activity[Classification])=2,Term4_Special_Day_2[[#This Row],[Elapsed]],0))</f>
        <v/>
      </c>
      <c r="O131"/>
      <c r="P131" s="136"/>
      <c r="Q131" s="136"/>
      <c r="R131" s="103"/>
      <c r="S131" s="106" t="str">
        <f>IF(OR(ISBLANK(Term4_Special_Day_3[[#This Row],[Start]]),ISBLANK(Term4_Special_Day_3[[#This Row],[End]])),"",(Term4_Special_Day_3[[#This Row],[End]]-Term4_Special_Day_3[[#This Row],[Start]])*1440)</f>
        <v/>
      </c>
      <c r="T131" s="106" t="str">
        <f>IF(ISBLANK(Term4_Special_Day_3[[#This Row],[Activity]]),"",IF(_xlfn.XLOOKUP(Term4_Special_Day_3[[#This Row],[Activity]],Types_of_Activity[Type of Activity],Types_of_Activity[Classification])=1,Term4_Special_Day_3[[#This Row],[Elapsed]],0))</f>
        <v/>
      </c>
      <c r="U131" s="106" t="str">
        <f>IF(ISBLANK(Term4_Special_Day_3[[#This Row],[Activity]]),"",IF(_xlfn.XLOOKUP(Term4_Special_Day_3[[#This Row],[Activity]],Types_of_Activity[Type of Activity],Types_of_Activity[Classification])=2,Term4_Special_Day_3[[#This Row],[Elapsed]],0))</f>
        <v/>
      </c>
      <c r="V131" s="106"/>
    </row>
  </sheetData>
  <sheetProtection algorithmName="SHA-512" hashValue="g4EDj7enLf25PcuEFlLf7S2l6cHffkS7qJWeW2xctFCIEhgU6p2/WUTM7pc+T4B2LOqvQyktzgOrFEKFLSA3qg==" saltValue="45yxj4r99wbbq3RZL6RROQ==" spinCount="100000" sheet="1" selectLockedCells="1"/>
  <mergeCells count="1">
    <mergeCell ref="B14:N14"/>
  </mergeCells>
  <conditionalFormatting sqref="B14:N14">
    <cfRule type="expression" dxfId="2" priority="1">
      <formula>Num_Terms=2</formula>
    </cfRule>
    <cfRule type="expression" dxfId="1" priority="2">
      <formula>Num_Terms=1</formula>
    </cfRule>
    <cfRule type="expression" dxfId="0" priority="3">
      <formula>Num_Terms=3</formula>
    </cfRule>
  </conditionalFormatting>
  <dataValidations count="1">
    <dataValidation type="time" allowBlank="1" showInputMessage="1" showErrorMessage="1" sqref="BM18:BN31 P18:Q31 W18:X31 AD18:AE31 AK18:AL31 AR18:AS31 B57:C69 I18:J31 AY18:AZ31 BF18:BG31 B18:C50 W57:X69 AD57:AE69 AK57:AL69" xr:uid="{DC891B34-9E9B-46FB-A43A-77FCBC545B5F}">
      <formula1>0.208333333333333</formula1>
      <formula2>0.999305555555556</formula2>
    </dataValidation>
  </dataValidations>
  <pageMargins left="0.7" right="0.7" top="0.75" bottom="0.75" header="0.3" footer="0.3"/>
  <pageSetup orientation="portrait" r:id="rId1"/>
  <drawing r:id="rId2"/>
  <tableParts count="19">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s>
  <extLst>
    <ext xmlns:x14="http://schemas.microsoft.com/office/spreadsheetml/2009/9/main" uri="{CCE6A557-97BC-4b89-ADB6-D9C93CAAB3DF}">
      <x14:dataValidations xmlns:xm="http://schemas.microsoft.com/office/excel/2006/main" count="1">
        <x14:dataValidation type="list" allowBlank="1" showInputMessage="1" showErrorMessage="1" xr:uid="{4CC8BFA3-088F-4F93-A240-E181BFB2AE7E}">
          <x14:formula1>
            <xm:f>_xlfn.ANCHORARRAY(Parameters!$F$25)</xm:f>
          </x14:formula1>
          <xm:sqref>AT18:AT50 K18:K50 R57:R89 AF18:AF50 AM18:AM50 R18:R50 K99:K131 R99:R131 BO18:BO50 K57:K89 D57:D89 D99:D131 Y18:Y50 BA18:BA50 BH18:BH50 D18:D50 Y57:Y89 AF57:AF89 AM57:AM89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41598-9142-4519-95BF-2597C39E2633}">
  <dimension ref="A1:J2040"/>
  <sheetViews>
    <sheetView workbookViewId="0">
      <selection activeCell="B25" sqref="B25"/>
    </sheetView>
  </sheetViews>
  <sheetFormatPr defaultRowHeight="16.5" x14ac:dyDescent="0.3"/>
  <cols>
    <col min="1" max="1" width="11.75" bestFit="1" customWidth="1"/>
    <col min="2" max="2" width="57.375" bestFit="1" customWidth="1"/>
    <col min="3" max="3" width="10.625" bestFit="1" customWidth="1"/>
    <col min="4" max="4" width="58" bestFit="1" customWidth="1"/>
    <col min="8" max="8" width="57.375" bestFit="1" customWidth="1"/>
  </cols>
  <sheetData>
    <row r="1" spans="1:10" x14ac:dyDescent="0.3">
      <c r="A1" t="s">
        <v>54</v>
      </c>
      <c r="B1" t="s">
        <v>55</v>
      </c>
      <c r="C1" t="s">
        <v>56</v>
      </c>
      <c r="D1" t="s">
        <v>57</v>
      </c>
    </row>
    <row r="2" spans="1:10" x14ac:dyDescent="0.3">
      <c r="A2" t="s">
        <v>58</v>
      </c>
      <c r="B2" t="s">
        <v>59</v>
      </c>
      <c r="C2" t="s">
        <v>64</v>
      </c>
      <c r="D2" t="s">
        <v>65</v>
      </c>
      <c r="H2" t="str" cm="1">
        <f t="array" ref="H2:H62">_xlfn.UNIQUE(Schools[AuthName])</f>
        <v>The Aspen View School Division</v>
      </c>
      <c r="J2" t="str" cm="1">
        <f t="array" ref="J2">IFERROR(_xlfn._xlws.FILTER(Schools[SchName],Schools[AuthName]='START HERE'!C8),"Select school board first")</f>
        <v>Select school board first</v>
      </c>
    </row>
    <row r="3" spans="1:10" x14ac:dyDescent="0.3">
      <c r="A3" t="s">
        <v>58</v>
      </c>
      <c r="B3" t="s">
        <v>59</v>
      </c>
      <c r="C3" t="s">
        <v>92</v>
      </c>
      <c r="D3" t="s">
        <v>93</v>
      </c>
      <c r="H3" t="str">
        <v xml:space="preserve">The Battle River School Division </v>
      </c>
    </row>
    <row r="4" spans="1:10" x14ac:dyDescent="0.3">
      <c r="A4" t="s">
        <v>58</v>
      </c>
      <c r="B4" t="s">
        <v>59</v>
      </c>
      <c r="C4" t="s">
        <v>80</v>
      </c>
      <c r="D4" t="s">
        <v>81</v>
      </c>
      <c r="H4" t="str">
        <v xml:space="preserve">The Black Gold School Division </v>
      </c>
    </row>
    <row r="5" spans="1:10" x14ac:dyDescent="0.3">
      <c r="A5" t="s">
        <v>58</v>
      </c>
      <c r="B5" t="s">
        <v>59</v>
      </c>
      <c r="C5" t="s">
        <v>82</v>
      </c>
      <c r="D5" t="s">
        <v>83</v>
      </c>
      <c r="H5" t="str">
        <v>The Buffalo Trail School Division</v>
      </c>
    </row>
    <row r="6" spans="1:10" x14ac:dyDescent="0.3">
      <c r="A6" t="s">
        <v>58</v>
      </c>
      <c r="B6" t="s">
        <v>59</v>
      </c>
      <c r="C6" t="s">
        <v>78</v>
      </c>
      <c r="D6" t="s">
        <v>79</v>
      </c>
      <c r="H6" t="str">
        <v>The Calgary Roman Catholic Separate School Division</v>
      </c>
    </row>
    <row r="7" spans="1:10" x14ac:dyDescent="0.3">
      <c r="A7" t="s">
        <v>58</v>
      </c>
      <c r="B7" t="s">
        <v>59</v>
      </c>
      <c r="C7" t="s">
        <v>66</v>
      </c>
      <c r="D7" t="s">
        <v>67</v>
      </c>
      <c r="H7" t="str">
        <v>The Calgary School Division</v>
      </c>
    </row>
    <row r="8" spans="1:10" x14ac:dyDescent="0.3">
      <c r="A8" t="s">
        <v>58</v>
      </c>
      <c r="B8" t="s">
        <v>59</v>
      </c>
      <c r="C8" t="s">
        <v>90</v>
      </c>
      <c r="D8" t="s">
        <v>91</v>
      </c>
      <c r="H8" t="str">
        <v>The Canadian Rockies School Division</v>
      </c>
    </row>
    <row r="9" spans="1:10" x14ac:dyDescent="0.3">
      <c r="A9" t="s">
        <v>58</v>
      </c>
      <c r="B9" t="s">
        <v>59</v>
      </c>
      <c r="C9" t="s">
        <v>68</v>
      </c>
      <c r="D9" t="s">
        <v>69</v>
      </c>
      <c r="H9" t="str">
        <v>The Chinook's Edge School Division</v>
      </c>
    </row>
    <row r="10" spans="1:10" x14ac:dyDescent="0.3">
      <c r="A10" t="s">
        <v>58</v>
      </c>
      <c r="B10" t="s">
        <v>59</v>
      </c>
      <c r="C10" t="s">
        <v>76</v>
      </c>
      <c r="D10" t="s">
        <v>77</v>
      </c>
      <c r="H10" t="str">
        <v>The Christ the Redeemer Catholic Separate School Division</v>
      </c>
    </row>
    <row r="11" spans="1:10" x14ac:dyDescent="0.3">
      <c r="A11" t="s">
        <v>58</v>
      </c>
      <c r="B11" t="s">
        <v>59</v>
      </c>
      <c r="C11" t="s">
        <v>62</v>
      </c>
      <c r="D11" t="s">
        <v>63</v>
      </c>
      <c r="H11" t="str">
        <v>The Clearview School Division</v>
      </c>
    </row>
    <row r="12" spans="1:10" x14ac:dyDescent="0.3">
      <c r="A12" t="s">
        <v>58</v>
      </c>
      <c r="B12" t="s">
        <v>59</v>
      </c>
      <c r="C12" t="s">
        <v>70</v>
      </c>
      <c r="D12" t="s">
        <v>71</v>
      </c>
      <c r="H12" t="str">
        <v>The East Central Alberta Catholic Separate School Division</v>
      </c>
    </row>
    <row r="13" spans="1:10" x14ac:dyDescent="0.3">
      <c r="A13" t="s">
        <v>58</v>
      </c>
      <c r="B13" t="s">
        <v>59</v>
      </c>
      <c r="C13" t="s">
        <v>84</v>
      </c>
      <c r="D13" t="s">
        <v>85</v>
      </c>
      <c r="H13" t="str">
        <v>The East Central Francophone Education Region</v>
      </c>
    </row>
    <row r="14" spans="1:10" x14ac:dyDescent="0.3">
      <c r="A14" t="s">
        <v>58</v>
      </c>
      <c r="B14" t="s">
        <v>59</v>
      </c>
      <c r="C14" t="s">
        <v>86</v>
      </c>
      <c r="D14" t="s">
        <v>87</v>
      </c>
      <c r="H14" t="str">
        <v>The Edmonton Catholic Separate School Division</v>
      </c>
    </row>
    <row r="15" spans="1:10" x14ac:dyDescent="0.3">
      <c r="A15" t="s">
        <v>58</v>
      </c>
      <c r="B15" t="s">
        <v>59</v>
      </c>
      <c r="C15" t="s">
        <v>60</v>
      </c>
      <c r="D15" t="s">
        <v>61</v>
      </c>
      <c r="H15" t="str">
        <v>The Edmonton School Division</v>
      </c>
    </row>
    <row r="16" spans="1:10" x14ac:dyDescent="0.3">
      <c r="A16" t="s">
        <v>58</v>
      </c>
      <c r="B16" t="s">
        <v>59</v>
      </c>
      <c r="C16" t="s">
        <v>96</v>
      </c>
      <c r="D16" t="s">
        <v>97</v>
      </c>
      <c r="H16" t="str">
        <v>The Elk Island Catholic Separate School Division</v>
      </c>
    </row>
    <row r="17" spans="1:8" x14ac:dyDescent="0.3">
      <c r="A17" t="s">
        <v>58</v>
      </c>
      <c r="B17" t="s">
        <v>59</v>
      </c>
      <c r="C17" t="s">
        <v>88</v>
      </c>
      <c r="D17" t="s">
        <v>89</v>
      </c>
      <c r="H17" t="str">
        <v>The Elk Island School Division</v>
      </c>
    </row>
    <row r="18" spans="1:8" x14ac:dyDescent="0.3">
      <c r="A18" t="s">
        <v>58</v>
      </c>
      <c r="B18" t="s">
        <v>59</v>
      </c>
      <c r="C18" t="s">
        <v>72</v>
      </c>
      <c r="D18" t="s">
        <v>73</v>
      </c>
      <c r="H18" t="str">
        <v>The Evergreen Catholic Separate School Division</v>
      </c>
    </row>
    <row r="19" spans="1:8" x14ac:dyDescent="0.3">
      <c r="A19" t="s">
        <v>58</v>
      </c>
      <c r="B19" t="s">
        <v>59</v>
      </c>
      <c r="C19" t="s">
        <v>94</v>
      </c>
      <c r="D19" t="s">
        <v>95</v>
      </c>
      <c r="H19" t="str">
        <v>The Foothills School Division</v>
      </c>
    </row>
    <row r="20" spans="1:8" x14ac:dyDescent="0.3">
      <c r="A20" t="s">
        <v>58</v>
      </c>
      <c r="B20" t="s">
        <v>59</v>
      </c>
      <c r="C20" t="s">
        <v>74</v>
      </c>
      <c r="D20" t="s">
        <v>75</v>
      </c>
      <c r="H20" t="str">
        <v>The Fort McMurray Roman Catholic Separate School Division</v>
      </c>
    </row>
    <row r="21" spans="1:8" x14ac:dyDescent="0.3">
      <c r="A21" t="s">
        <v>98</v>
      </c>
      <c r="B21" t="s">
        <v>99</v>
      </c>
      <c r="C21" t="s">
        <v>106</v>
      </c>
      <c r="D21" t="s">
        <v>107</v>
      </c>
      <c r="H21" t="str">
        <v>The Fort McMurray School Division</v>
      </c>
    </row>
    <row r="22" spans="1:8" x14ac:dyDescent="0.3">
      <c r="A22" t="s">
        <v>98</v>
      </c>
      <c r="B22" t="s">
        <v>99</v>
      </c>
      <c r="C22" t="s">
        <v>158</v>
      </c>
      <c r="D22" t="s">
        <v>159</v>
      </c>
      <c r="H22" t="str">
        <v>The Fort Vermilion School Division</v>
      </c>
    </row>
    <row r="23" spans="1:8" x14ac:dyDescent="0.3">
      <c r="A23" t="s">
        <v>98</v>
      </c>
      <c r="B23" t="s">
        <v>99</v>
      </c>
      <c r="C23" t="s">
        <v>144</v>
      </c>
      <c r="D23" t="s">
        <v>145</v>
      </c>
      <c r="H23" t="str">
        <v>The Golden Hills School Division</v>
      </c>
    </row>
    <row r="24" spans="1:8" x14ac:dyDescent="0.3">
      <c r="A24" t="s">
        <v>98</v>
      </c>
      <c r="B24" t="s">
        <v>99</v>
      </c>
      <c r="C24" t="s">
        <v>146</v>
      </c>
      <c r="D24" t="s">
        <v>147</v>
      </c>
      <c r="H24" t="str">
        <v>The Grande Prairie Roman Catholic Separate School Division</v>
      </c>
    </row>
    <row r="25" spans="1:8" x14ac:dyDescent="0.3">
      <c r="A25" t="s">
        <v>98</v>
      </c>
      <c r="B25" t="s">
        <v>99</v>
      </c>
      <c r="C25" t="s">
        <v>128</v>
      </c>
      <c r="D25" t="s">
        <v>129</v>
      </c>
      <c r="H25" t="str">
        <v>The Grande Prairie School Division</v>
      </c>
    </row>
    <row r="26" spans="1:8" x14ac:dyDescent="0.3">
      <c r="A26" t="s">
        <v>98</v>
      </c>
      <c r="B26" t="s">
        <v>99</v>
      </c>
      <c r="C26" t="s">
        <v>140</v>
      </c>
      <c r="D26" t="s">
        <v>141</v>
      </c>
      <c r="H26" t="str">
        <v>The Grande Yellowhead School Division</v>
      </c>
    </row>
    <row r="27" spans="1:8" x14ac:dyDescent="0.3">
      <c r="A27" t="s">
        <v>98</v>
      </c>
      <c r="B27" t="s">
        <v>99</v>
      </c>
      <c r="C27" t="s">
        <v>108</v>
      </c>
      <c r="D27" t="s">
        <v>109</v>
      </c>
      <c r="H27" t="str">
        <v>The Grasslands School Division</v>
      </c>
    </row>
    <row r="28" spans="1:8" x14ac:dyDescent="0.3">
      <c r="A28" t="s">
        <v>98</v>
      </c>
      <c r="B28" t="s">
        <v>99</v>
      </c>
      <c r="C28" t="s">
        <v>166</v>
      </c>
      <c r="D28" t="s">
        <v>167</v>
      </c>
      <c r="H28" t="str">
        <v>The Greater North Central Francophone Education Region</v>
      </c>
    </row>
    <row r="29" spans="1:8" x14ac:dyDescent="0.3">
      <c r="A29" t="s">
        <v>98</v>
      </c>
      <c r="B29" t="s">
        <v>99</v>
      </c>
      <c r="C29" t="s">
        <v>134</v>
      </c>
      <c r="D29" t="s">
        <v>135</v>
      </c>
      <c r="H29" t="str">
        <v>The Greater St. Albert Roman Catholic Separate School Division</v>
      </c>
    </row>
    <row r="30" spans="1:8" x14ac:dyDescent="0.3">
      <c r="A30" t="s">
        <v>98</v>
      </c>
      <c r="B30" t="s">
        <v>99</v>
      </c>
      <c r="C30" t="s">
        <v>104</v>
      </c>
      <c r="D30" t="s">
        <v>105</v>
      </c>
      <c r="H30" t="str">
        <v>The High Prairie School Division</v>
      </c>
    </row>
    <row r="31" spans="1:8" x14ac:dyDescent="0.3">
      <c r="A31" t="s">
        <v>98</v>
      </c>
      <c r="B31" t="s">
        <v>99</v>
      </c>
      <c r="C31" t="s">
        <v>150</v>
      </c>
      <c r="D31" t="s">
        <v>151</v>
      </c>
      <c r="H31" t="str">
        <v>The Holy Family Catholic Separate School Division</v>
      </c>
    </row>
    <row r="32" spans="1:8" x14ac:dyDescent="0.3">
      <c r="A32" t="s">
        <v>98</v>
      </c>
      <c r="B32" t="s">
        <v>99</v>
      </c>
      <c r="C32" t="s">
        <v>160</v>
      </c>
      <c r="D32" t="s">
        <v>161</v>
      </c>
      <c r="H32" t="str">
        <v>The Holy Spirit Roman Catholic Separate School Division</v>
      </c>
    </row>
    <row r="33" spans="1:8" x14ac:dyDescent="0.3">
      <c r="A33" t="s">
        <v>98</v>
      </c>
      <c r="B33" t="s">
        <v>99</v>
      </c>
      <c r="C33" t="s">
        <v>112</v>
      </c>
      <c r="D33" t="s">
        <v>113</v>
      </c>
      <c r="H33" t="str">
        <v>The Horizon School Division</v>
      </c>
    </row>
    <row r="34" spans="1:8" x14ac:dyDescent="0.3">
      <c r="A34" t="s">
        <v>98</v>
      </c>
      <c r="B34" t="s">
        <v>99</v>
      </c>
      <c r="C34" t="s">
        <v>164</v>
      </c>
      <c r="D34" t="s">
        <v>165</v>
      </c>
      <c r="H34" t="str">
        <v>The Lakeland Roman Catholic Separate School Division</v>
      </c>
    </row>
    <row r="35" spans="1:8" x14ac:dyDescent="0.3">
      <c r="A35" t="s">
        <v>98</v>
      </c>
      <c r="B35" t="s">
        <v>99</v>
      </c>
      <c r="C35" t="s">
        <v>162</v>
      </c>
      <c r="D35" t="s">
        <v>163</v>
      </c>
      <c r="H35" t="str">
        <v>The Lethbridge School Division</v>
      </c>
    </row>
    <row r="36" spans="1:8" x14ac:dyDescent="0.3">
      <c r="A36" t="s">
        <v>98</v>
      </c>
      <c r="B36" t="s">
        <v>99</v>
      </c>
      <c r="C36" t="s">
        <v>132</v>
      </c>
      <c r="D36" t="s">
        <v>133</v>
      </c>
      <c r="H36" t="str">
        <v>The Living Waters Catholic Separate School Division</v>
      </c>
    </row>
    <row r="37" spans="1:8" x14ac:dyDescent="0.3">
      <c r="A37" t="s">
        <v>98</v>
      </c>
      <c r="B37" t="s">
        <v>99</v>
      </c>
      <c r="C37" t="s">
        <v>100</v>
      </c>
      <c r="D37" t="s">
        <v>101</v>
      </c>
      <c r="H37" t="str">
        <v>The Livingstone Range School Division</v>
      </c>
    </row>
    <row r="38" spans="1:8" x14ac:dyDescent="0.3">
      <c r="A38" t="s">
        <v>98</v>
      </c>
      <c r="B38" t="s">
        <v>99</v>
      </c>
      <c r="C38" t="s">
        <v>110</v>
      </c>
      <c r="D38" t="s">
        <v>111</v>
      </c>
      <c r="H38" t="str">
        <v>The Medicine Hat Roman Catholic Separate School Division</v>
      </c>
    </row>
    <row r="39" spans="1:8" x14ac:dyDescent="0.3">
      <c r="A39" t="s">
        <v>98</v>
      </c>
      <c r="B39" t="s">
        <v>99</v>
      </c>
      <c r="C39" t="s">
        <v>102</v>
      </c>
      <c r="D39" t="s">
        <v>103</v>
      </c>
      <c r="H39" t="str">
        <v>The Medicine Hat School Division</v>
      </c>
    </row>
    <row r="40" spans="1:8" x14ac:dyDescent="0.3">
      <c r="A40" t="s">
        <v>98</v>
      </c>
      <c r="B40" t="s">
        <v>99</v>
      </c>
      <c r="C40" t="s">
        <v>130</v>
      </c>
      <c r="D40" t="s">
        <v>131</v>
      </c>
      <c r="H40" t="str">
        <v>The Northern Gateway School Division</v>
      </c>
    </row>
    <row r="41" spans="1:8" x14ac:dyDescent="0.3">
      <c r="A41" t="s">
        <v>98</v>
      </c>
      <c r="B41" t="s">
        <v>99</v>
      </c>
      <c r="C41" t="s">
        <v>142</v>
      </c>
      <c r="D41" t="s">
        <v>143</v>
      </c>
      <c r="H41" t="str">
        <v>The Northern Lights School Division</v>
      </c>
    </row>
    <row r="42" spans="1:8" x14ac:dyDescent="0.3">
      <c r="A42" t="s">
        <v>98</v>
      </c>
      <c r="B42" t="s">
        <v>99</v>
      </c>
      <c r="C42" t="s">
        <v>148</v>
      </c>
      <c r="D42" t="s">
        <v>149</v>
      </c>
      <c r="H42" t="str">
        <v>The Northland School Division</v>
      </c>
    </row>
    <row r="43" spans="1:8" x14ac:dyDescent="0.3">
      <c r="A43" t="s">
        <v>98</v>
      </c>
      <c r="B43" t="s">
        <v>99</v>
      </c>
      <c r="C43" t="s">
        <v>152</v>
      </c>
      <c r="D43" t="s">
        <v>153</v>
      </c>
      <c r="H43" t="str">
        <v>The Northwest Francophone Education Region</v>
      </c>
    </row>
    <row r="44" spans="1:8" x14ac:dyDescent="0.3">
      <c r="A44" t="s">
        <v>98</v>
      </c>
      <c r="B44" t="s">
        <v>99</v>
      </c>
      <c r="C44" t="s">
        <v>114</v>
      </c>
      <c r="D44" t="s">
        <v>115</v>
      </c>
      <c r="H44" t="str">
        <v>The Palliser School Division</v>
      </c>
    </row>
    <row r="45" spans="1:8" x14ac:dyDescent="0.3">
      <c r="A45" t="s">
        <v>98</v>
      </c>
      <c r="B45" t="s">
        <v>99</v>
      </c>
      <c r="C45" t="s">
        <v>120</v>
      </c>
      <c r="D45" t="s">
        <v>121</v>
      </c>
      <c r="H45" t="str">
        <v>The Parkland School Division</v>
      </c>
    </row>
    <row r="46" spans="1:8" x14ac:dyDescent="0.3">
      <c r="A46" t="s">
        <v>98</v>
      </c>
      <c r="B46" t="s">
        <v>99</v>
      </c>
      <c r="C46" t="s">
        <v>122</v>
      </c>
      <c r="D46" t="s">
        <v>123</v>
      </c>
      <c r="H46" t="str">
        <v>The Peace River School Division</v>
      </c>
    </row>
    <row r="47" spans="1:8" x14ac:dyDescent="0.3">
      <c r="A47" t="s">
        <v>98</v>
      </c>
      <c r="B47" t="s">
        <v>99</v>
      </c>
      <c r="C47" t="s">
        <v>136</v>
      </c>
      <c r="D47" t="s">
        <v>137</v>
      </c>
      <c r="H47" t="str">
        <v>The Peace Wapiti School Division</v>
      </c>
    </row>
    <row r="48" spans="1:8" x14ac:dyDescent="0.3">
      <c r="A48" t="s">
        <v>98</v>
      </c>
      <c r="B48" t="s">
        <v>99</v>
      </c>
      <c r="C48" t="s">
        <v>116</v>
      </c>
      <c r="D48" t="s">
        <v>117</v>
      </c>
      <c r="H48" t="str">
        <v>The Pembina Hills School Division</v>
      </c>
    </row>
    <row r="49" spans="1:8" x14ac:dyDescent="0.3">
      <c r="A49" t="s">
        <v>98</v>
      </c>
      <c r="B49" t="s">
        <v>99</v>
      </c>
      <c r="C49" t="s">
        <v>156</v>
      </c>
      <c r="D49" t="s">
        <v>157</v>
      </c>
      <c r="H49" t="str">
        <v>The Prairie Land School Division</v>
      </c>
    </row>
    <row r="50" spans="1:8" x14ac:dyDescent="0.3">
      <c r="A50" t="s">
        <v>98</v>
      </c>
      <c r="B50" t="s">
        <v>99</v>
      </c>
      <c r="C50" t="s">
        <v>124</v>
      </c>
      <c r="D50" t="s">
        <v>125</v>
      </c>
      <c r="H50" t="str">
        <v>The Prairie Rose School Division</v>
      </c>
    </row>
    <row r="51" spans="1:8" x14ac:dyDescent="0.3">
      <c r="A51" t="s">
        <v>98</v>
      </c>
      <c r="B51" t="s">
        <v>99</v>
      </c>
      <c r="C51" t="s">
        <v>126</v>
      </c>
      <c r="D51" t="s">
        <v>127</v>
      </c>
      <c r="H51" t="str">
        <v>The Red Deer Catholic Separate School Division</v>
      </c>
    </row>
    <row r="52" spans="1:8" x14ac:dyDescent="0.3">
      <c r="A52" t="s">
        <v>98</v>
      </c>
      <c r="B52" t="s">
        <v>99</v>
      </c>
      <c r="C52" t="s">
        <v>138</v>
      </c>
      <c r="D52" t="s">
        <v>139</v>
      </c>
      <c r="H52" t="str">
        <v xml:space="preserve">The Red Deer School Division </v>
      </c>
    </row>
    <row r="53" spans="1:8" x14ac:dyDescent="0.3">
      <c r="A53" t="s">
        <v>98</v>
      </c>
      <c r="B53" t="s">
        <v>99</v>
      </c>
      <c r="C53" t="s">
        <v>118</v>
      </c>
      <c r="D53" t="s">
        <v>119</v>
      </c>
      <c r="H53" t="str">
        <v>The Rocky View School Division</v>
      </c>
    </row>
    <row r="54" spans="1:8" x14ac:dyDescent="0.3">
      <c r="A54" t="s">
        <v>98</v>
      </c>
      <c r="B54" t="s">
        <v>99</v>
      </c>
      <c r="C54" t="s">
        <v>154</v>
      </c>
      <c r="D54" t="s">
        <v>155</v>
      </c>
      <c r="H54" t="str">
        <v>The Southern Francophone Education Region</v>
      </c>
    </row>
    <row r="55" spans="1:8" x14ac:dyDescent="0.3">
      <c r="A55" t="s">
        <v>168</v>
      </c>
      <c r="B55" t="s">
        <v>169</v>
      </c>
      <c r="C55" t="s">
        <v>178</v>
      </c>
      <c r="D55" t="s">
        <v>179</v>
      </c>
      <c r="H55" t="str">
        <v>The St. Albert School Division</v>
      </c>
    </row>
    <row r="56" spans="1:8" x14ac:dyDescent="0.3">
      <c r="A56" t="s">
        <v>168</v>
      </c>
      <c r="B56" t="s">
        <v>169</v>
      </c>
      <c r="C56" t="s">
        <v>172</v>
      </c>
      <c r="D56" t="s">
        <v>173</v>
      </c>
      <c r="H56" t="str">
        <v>The St. Paul School Division</v>
      </c>
    </row>
    <row r="57" spans="1:8" x14ac:dyDescent="0.3">
      <c r="A57" t="s">
        <v>168</v>
      </c>
      <c r="B57" t="s">
        <v>169</v>
      </c>
      <c r="C57" t="s">
        <v>195</v>
      </c>
      <c r="D57" t="s">
        <v>196</v>
      </c>
      <c r="H57" t="str">
        <v xml:space="preserve">The St. Thomas Aquinas Roman Catholic Separate School Division </v>
      </c>
    </row>
    <row r="58" spans="1:8" x14ac:dyDescent="0.3">
      <c r="A58" t="s">
        <v>168</v>
      </c>
      <c r="B58" t="s">
        <v>169</v>
      </c>
      <c r="C58" t="s">
        <v>227</v>
      </c>
      <c r="D58" t="s">
        <v>228</v>
      </c>
      <c r="H58" t="str">
        <v>The Sturgeon School Division</v>
      </c>
    </row>
    <row r="59" spans="1:8" x14ac:dyDescent="0.3">
      <c r="A59" t="s">
        <v>168</v>
      </c>
      <c r="B59" t="s">
        <v>169</v>
      </c>
      <c r="C59" t="s">
        <v>190</v>
      </c>
      <c r="D59" t="s">
        <v>191</v>
      </c>
      <c r="H59" t="str">
        <v>The Westwind School Division</v>
      </c>
    </row>
    <row r="60" spans="1:8" x14ac:dyDescent="0.3">
      <c r="A60" t="s">
        <v>168</v>
      </c>
      <c r="B60" t="s">
        <v>169</v>
      </c>
      <c r="C60" t="s">
        <v>4148</v>
      </c>
      <c r="D60" t="s">
        <v>4149</v>
      </c>
      <c r="H60" t="str">
        <v>The Wetaskiwin School Division</v>
      </c>
    </row>
    <row r="61" spans="1:8" x14ac:dyDescent="0.3">
      <c r="A61" t="s">
        <v>168</v>
      </c>
      <c r="B61" t="s">
        <v>169</v>
      </c>
      <c r="C61" t="s">
        <v>170</v>
      </c>
      <c r="D61" t="s">
        <v>171</v>
      </c>
      <c r="H61" t="str">
        <v xml:space="preserve">The Wild Rose School Division </v>
      </c>
    </row>
    <row r="62" spans="1:8" x14ac:dyDescent="0.3">
      <c r="A62" t="s">
        <v>168</v>
      </c>
      <c r="B62" t="s">
        <v>169</v>
      </c>
      <c r="C62" t="s">
        <v>188</v>
      </c>
      <c r="D62" t="s">
        <v>189</v>
      </c>
      <c r="H62" t="str">
        <v>The Wolf Creek School Division</v>
      </c>
    </row>
    <row r="63" spans="1:8" x14ac:dyDescent="0.3">
      <c r="A63" t="s">
        <v>168</v>
      </c>
      <c r="B63" t="s">
        <v>169</v>
      </c>
      <c r="C63" t="s">
        <v>197</v>
      </c>
      <c r="D63" t="s">
        <v>198</v>
      </c>
    </row>
    <row r="64" spans="1:8" x14ac:dyDescent="0.3">
      <c r="A64" t="s">
        <v>168</v>
      </c>
      <c r="B64" t="s">
        <v>169</v>
      </c>
      <c r="C64" t="s">
        <v>180</v>
      </c>
      <c r="D64" t="s">
        <v>181</v>
      </c>
    </row>
    <row r="65" spans="1:4" x14ac:dyDescent="0.3">
      <c r="A65" t="s">
        <v>168</v>
      </c>
      <c r="B65" t="s">
        <v>169</v>
      </c>
      <c r="C65" t="s">
        <v>176</v>
      </c>
      <c r="D65" t="s">
        <v>177</v>
      </c>
    </row>
    <row r="66" spans="1:4" x14ac:dyDescent="0.3">
      <c r="A66" t="s">
        <v>168</v>
      </c>
      <c r="B66" t="s">
        <v>169</v>
      </c>
      <c r="C66" t="s">
        <v>193</v>
      </c>
      <c r="D66" t="s">
        <v>194</v>
      </c>
    </row>
    <row r="67" spans="1:4" x14ac:dyDescent="0.3">
      <c r="A67" t="s">
        <v>168</v>
      </c>
      <c r="B67" t="s">
        <v>169</v>
      </c>
      <c r="C67" t="s">
        <v>207</v>
      </c>
      <c r="D67" t="s">
        <v>208</v>
      </c>
    </row>
    <row r="68" spans="1:4" x14ac:dyDescent="0.3">
      <c r="A68" t="s">
        <v>168</v>
      </c>
      <c r="B68" t="s">
        <v>169</v>
      </c>
      <c r="C68" t="s">
        <v>201</v>
      </c>
      <c r="D68" t="s">
        <v>202</v>
      </c>
    </row>
    <row r="69" spans="1:4" x14ac:dyDescent="0.3">
      <c r="A69" t="s">
        <v>168</v>
      </c>
      <c r="B69" t="s">
        <v>169</v>
      </c>
      <c r="C69" t="s">
        <v>184</v>
      </c>
      <c r="D69" t="s">
        <v>185</v>
      </c>
    </row>
    <row r="70" spans="1:4" x14ac:dyDescent="0.3">
      <c r="A70" t="s">
        <v>168</v>
      </c>
      <c r="B70" t="s">
        <v>169</v>
      </c>
      <c r="C70" t="s">
        <v>209</v>
      </c>
      <c r="D70" t="s">
        <v>210</v>
      </c>
    </row>
    <row r="71" spans="1:4" x14ac:dyDescent="0.3">
      <c r="A71" t="s">
        <v>168</v>
      </c>
      <c r="B71" t="s">
        <v>169</v>
      </c>
      <c r="C71" t="s">
        <v>229</v>
      </c>
      <c r="D71" t="s">
        <v>230</v>
      </c>
    </row>
    <row r="72" spans="1:4" x14ac:dyDescent="0.3">
      <c r="A72" t="s">
        <v>168</v>
      </c>
      <c r="B72" t="s">
        <v>169</v>
      </c>
      <c r="C72" t="s">
        <v>211</v>
      </c>
      <c r="D72" t="s">
        <v>212</v>
      </c>
    </row>
    <row r="73" spans="1:4" x14ac:dyDescent="0.3">
      <c r="A73" t="s">
        <v>168</v>
      </c>
      <c r="B73" t="s">
        <v>169</v>
      </c>
      <c r="C73" t="s">
        <v>213</v>
      </c>
      <c r="D73" t="s">
        <v>214</v>
      </c>
    </row>
    <row r="74" spans="1:4" x14ac:dyDescent="0.3">
      <c r="A74" t="s">
        <v>168</v>
      </c>
      <c r="B74" t="s">
        <v>169</v>
      </c>
      <c r="C74" t="s">
        <v>221</v>
      </c>
      <c r="D74" t="s">
        <v>222</v>
      </c>
    </row>
    <row r="75" spans="1:4" x14ac:dyDescent="0.3">
      <c r="A75" t="s">
        <v>168</v>
      </c>
      <c r="B75" t="s">
        <v>169</v>
      </c>
      <c r="C75" t="s">
        <v>219</v>
      </c>
      <c r="D75" t="s">
        <v>220</v>
      </c>
    </row>
    <row r="76" spans="1:4" x14ac:dyDescent="0.3">
      <c r="A76" t="s">
        <v>168</v>
      </c>
      <c r="B76" t="s">
        <v>169</v>
      </c>
      <c r="C76" t="s">
        <v>186</v>
      </c>
      <c r="D76" t="s">
        <v>187</v>
      </c>
    </row>
    <row r="77" spans="1:4" x14ac:dyDescent="0.3">
      <c r="A77" t="s">
        <v>168</v>
      </c>
      <c r="B77" t="s">
        <v>169</v>
      </c>
      <c r="C77" t="s">
        <v>225</v>
      </c>
      <c r="D77" t="s">
        <v>226</v>
      </c>
    </row>
    <row r="78" spans="1:4" x14ac:dyDescent="0.3">
      <c r="A78" t="s">
        <v>168</v>
      </c>
      <c r="B78" t="s">
        <v>169</v>
      </c>
      <c r="C78" t="s">
        <v>223</v>
      </c>
      <c r="D78" t="s">
        <v>224</v>
      </c>
    </row>
    <row r="79" spans="1:4" x14ac:dyDescent="0.3">
      <c r="A79" t="s">
        <v>168</v>
      </c>
      <c r="B79" t="s">
        <v>169</v>
      </c>
      <c r="C79" t="s">
        <v>203</v>
      </c>
      <c r="D79" t="s">
        <v>204</v>
      </c>
    </row>
    <row r="80" spans="1:4" x14ac:dyDescent="0.3">
      <c r="A80" t="s">
        <v>168</v>
      </c>
      <c r="B80" t="s">
        <v>169</v>
      </c>
      <c r="C80" t="s">
        <v>199</v>
      </c>
      <c r="D80" t="s">
        <v>200</v>
      </c>
    </row>
    <row r="81" spans="1:4" x14ac:dyDescent="0.3">
      <c r="A81" t="s">
        <v>168</v>
      </c>
      <c r="B81" t="s">
        <v>169</v>
      </c>
      <c r="C81" t="s">
        <v>192</v>
      </c>
      <c r="D81" t="s">
        <v>4253</v>
      </c>
    </row>
    <row r="82" spans="1:4" x14ac:dyDescent="0.3">
      <c r="A82" t="s">
        <v>168</v>
      </c>
      <c r="B82" t="s">
        <v>169</v>
      </c>
      <c r="C82" t="s">
        <v>205</v>
      </c>
      <c r="D82" t="s">
        <v>206</v>
      </c>
    </row>
    <row r="83" spans="1:4" x14ac:dyDescent="0.3">
      <c r="A83" t="s">
        <v>168</v>
      </c>
      <c r="B83" t="s">
        <v>169</v>
      </c>
      <c r="C83" t="s">
        <v>217</v>
      </c>
      <c r="D83" t="s">
        <v>218</v>
      </c>
    </row>
    <row r="84" spans="1:4" x14ac:dyDescent="0.3">
      <c r="A84" t="s">
        <v>168</v>
      </c>
      <c r="B84" t="s">
        <v>169</v>
      </c>
      <c r="C84" t="s">
        <v>215</v>
      </c>
      <c r="D84" t="s">
        <v>216</v>
      </c>
    </row>
    <row r="85" spans="1:4" x14ac:dyDescent="0.3">
      <c r="A85" t="s">
        <v>168</v>
      </c>
      <c r="B85" t="s">
        <v>169</v>
      </c>
      <c r="C85" t="s">
        <v>174</v>
      </c>
      <c r="D85" t="s">
        <v>175</v>
      </c>
    </row>
    <row r="86" spans="1:4" x14ac:dyDescent="0.3">
      <c r="A86" t="s">
        <v>168</v>
      </c>
      <c r="B86" t="s">
        <v>169</v>
      </c>
      <c r="C86" t="s">
        <v>182</v>
      </c>
      <c r="D86" t="s">
        <v>183</v>
      </c>
    </row>
    <row r="87" spans="1:4" x14ac:dyDescent="0.3">
      <c r="A87" t="s">
        <v>231</v>
      </c>
      <c r="B87" t="s">
        <v>232</v>
      </c>
      <c r="C87" t="s">
        <v>281</v>
      </c>
      <c r="D87" t="s">
        <v>282</v>
      </c>
    </row>
    <row r="88" spans="1:4" x14ac:dyDescent="0.3">
      <c r="A88" t="s">
        <v>231</v>
      </c>
      <c r="B88" t="s">
        <v>232</v>
      </c>
      <c r="C88" t="s">
        <v>277</v>
      </c>
      <c r="D88" t="s">
        <v>278</v>
      </c>
    </row>
    <row r="89" spans="1:4" x14ac:dyDescent="0.3">
      <c r="A89" t="s">
        <v>231</v>
      </c>
      <c r="B89" t="s">
        <v>232</v>
      </c>
      <c r="C89" t="s">
        <v>273</v>
      </c>
      <c r="D89" t="s">
        <v>274</v>
      </c>
    </row>
    <row r="90" spans="1:4" x14ac:dyDescent="0.3">
      <c r="A90" t="s">
        <v>231</v>
      </c>
      <c r="B90" t="s">
        <v>232</v>
      </c>
      <c r="C90" t="s">
        <v>239</v>
      </c>
      <c r="D90" t="s">
        <v>240</v>
      </c>
    </row>
    <row r="91" spans="1:4" x14ac:dyDescent="0.3">
      <c r="A91" t="s">
        <v>231</v>
      </c>
      <c r="B91" t="s">
        <v>232</v>
      </c>
      <c r="C91" t="s">
        <v>263</v>
      </c>
      <c r="D91" t="s">
        <v>264</v>
      </c>
    </row>
    <row r="92" spans="1:4" x14ac:dyDescent="0.3">
      <c r="A92" t="s">
        <v>231</v>
      </c>
      <c r="B92" t="s">
        <v>232</v>
      </c>
      <c r="C92" t="s">
        <v>267</v>
      </c>
      <c r="D92" t="s">
        <v>268</v>
      </c>
    </row>
    <row r="93" spans="1:4" x14ac:dyDescent="0.3">
      <c r="A93" t="s">
        <v>231</v>
      </c>
      <c r="B93" t="s">
        <v>232</v>
      </c>
      <c r="C93" t="s">
        <v>237</v>
      </c>
      <c r="D93" t="s">
        <v>238</v>
      </c>
    </row>
    <row r="94" spans="1:4" x14ac:dyDescent="0.3">
      <c r="A94" t="s">
        <v>231</v>
      </c>
      <c r="B94" t="s">
        <v>232</v>
      </c>
      <c r="C94" t="s">
        <v>241</v>
      </c>
      <c r="D94" t="s">
        <v>242</v>
      </c>
    </row>
    <row r="95" spans="1:4" x14ac:dyDescent="0.3">
      <c r="A95" t="s">
        <v>231</v>
      </c>
      <c r="B95" t="s">
        <v>232</v>
      </c>
      <c r="C95" t="s">
        <v>259</v>
      </c>
      <c r="D95" t="s">
        <v>260</v>
      </c>
    </row>
    <row r="96" spans="1:4" x14ac:dyDescent="0.3">
      <c r="A96" t="s">
        <v>231</v>
      </c>
      <c r="B96" t="s">
        <v>232</v>
      </c>
      <c r="C96" t="s">
        <v>261</v>
      </c>
      <c r="D96" t="s">
        <v>262</v>
      </c>
    </row>
    <row r="97" spans="1:4" x14ac:dyDescent="0.3">
      <c r="A97" t="s">
        <v>231</v>
      </c>
      <c r="B97" t="s">
        <v>232</v>
      </c>
      <c r="C97" t="s">
        <v>265</v>
      </c>
      <c r="D97" t="s">
        <v>266</v>
      </c>
    </row>
    <row r="98" spans="1:4" x14ac:dyDescent="0.3">
      <c r="A98" t="s">
        <v>231</v>
      </c>
      <c r="B98" t="s">
        <v>232</v>
      </c>
      <c r="C98" t="s">
        <v>235</v>
      </c>
      <c r="D98" t="s">
        <v>236</v>
      </c>
    </row>
    <row r="99" spans="1:4" x14ac:dyDescent="0.3">
      <c r="A99" t="s">
        <v>231</v>
      </c>
      <c r="B99" t="s">
        <v>232</v>
      </c>
      <c r="C99" t="s">
        <v>245</v>
      </c>
      <c r="D99" t="s">
        <v>246</v>
      </c>
    </row>
    <row r="100" spans="1:4" x14ac:dyDescent="0.3">
      <c r="A100" t="s">
        <v>231</v>
      </c>
      <c r="B100" t="s">
        <v>232</v>
      </c>
      <c r="C100" t="s">
        <v>257</v>
      </c>
      <c r="D100" t="s">
        <v>258</v>
      </c>
    </row>
    <row r="101" spans="1:4" x14ac:dyDescent="0.3">
      <c r="A101" t="s">
        <v>231</v>
      </c>
      <c r="B101" t="s">
        <v>232</v>
      </c>
      <c r="C101" t="s">
        <v>279</v>
      </c>
      <c r="D101" t="s">
        <v>280</v>
      </c>
    </row>
    <row r="102" spans="1:4" x14ac:dyDescent="0.3">
      <c r="A102" t="s">
        <v>231</v>
      </c>
      <c r="B102" t="s">
        <v>232</v>
      </c>
      <c r="C102" t="s">
        <v>275</v>
      </c>
      <c r="D102" t="s">
        <v>276</v>
      </c>
    </row>
    <row r="103" spans="1:4" x14ac:dyDescent="0.3">
      <c r="A103" t="s">
        <v>231</v>
      </c>
      <c r="B103" t="s">
        <v>232</v>
      </c>
      <c r="C103" t="s">
        <v>243</v>
      </c>
      <c r="D103" t="s">
        <v>244</v>
      </c>
    </row>
    <row r="104" spans="1:4" x14ac:dyDescent="0.3">
      <c r="A104" t="s">
        <v>231</v>
      </c>
      <c r="B104" t="s">
        <v>232</v>
      </c>
      <c r="C104" t="s">
        <v>247</v>
      </c>
      <c r="D104" t="s">
        <v>248</v>
      </c>
    </row>
    <row r="105" spans="1:4" x14ac:dyDescent="0.3">
      <c r="A105" t="s">
        <v>231</v>
      </c>
      <c r="B105" t="s">
        <v>232</v>
      </c>
      <c r="C105" t="s">
        <v>255</v>
      </c>
      <c r="D105" t="s">
        <v>256</v>
      </c>
    </row>
    <row r="106" spans="1:4" x14ac:dyDescent="0.3">
      <c r="A106" t="s">
        <v>231</v>
      </c>
      <c r="B106" t="s">
        <v>232</v>
      </c>
      <c r="C106" t="s">
        <v>285</v>
      </c>
      <c r="D106" t="s">
        <v>286</v>
      </c>
    </row>
    <row r="107" spans="1:4" x14ac:dyDescent="0.3">
      <c r="A107" t="s">
        <v>231</v>
      </c>
      <c r="B107" t="s">
        <v>232</v>
      </c>
      <c r="C107" t="s">
        <v>283</v>
      </c>
      <c r="D107" t="s">
        <v>284</v>
      </c>
    </row>
    <row r="108" spans="1:4" x14ac:dyDescent="0.3">
      <c r="A108" t="s">
        <v>231</v>
      </c>
      <c r="B108" t="s">
        <v>232</v>
      </c>
      <c r="C108" t="s">
        <v>251</v>
      </c>
      <c r="D108" t="s">
        <v>252</v>
      </c>
    </row>
    <row r="109" spans="1:4" x14ac:dyDescent="0.3">
      <c r="A109" t="s">
        <v>231</v>
      </c>
      <c r="B109" t="s">
        <v>232</v>
      </c>
      <c r="C109" t="s">
        <v>271</v>
      </c>
      <c r="D109" t="s">
        <v>272</v>
      </c>
    </row>
    <row r="110" spans="1:4" x14ac:dyDescent="0.3">
      <c r="A110" t="s">
        <v>231</v>
      </c>
      <c r="B110" t="s">
        <v>232</v>
      </c>
      <c r="C110" t="s">
        <v>233</v>
      </c>
      <c r="D110" t="s">
        <v>234</v>
      </c>
    </row>
    <row r="111" spans="1:4" x14ac:dyDescent="0.3">
      <c r="A111" t="s">
        <v>231</v>
      </c>
      <c r="B111" t="s">
        <v>232</v>
      </c>
      <c r="C111" t="s">
        <v>253</v>
      </c>
      <c r="D111" t="s">
        <v>254</v>
      </c>
    </row>
    <row r="112" spans="1:4" x14ac:dyDescent="0.3">
      <c r="A112" t="s">
        <v>231</v>
      </c>
      <c r="B112" t="s">
        <v>232</v>
      </c>
      <c r="C112" t="s">
        <v>269</v>
      </c>
      <c r="D112" t="s">
        <v>270</v>
      </c>
    </row>
    <row r="113" spans="1:4" x14ac:dyDescent="0.3">
      <c r="A113" t="s">
        <v>231</v>
      </c>
      <c r="B113" t="s">
        <v>232</v>
      </c>
      <c r="C113" t="s">
        <v>249</v>
      </c>
      <c r="D113" t="s">
        <v>250</v>
      </c>
    </row>
    <row r="114" spans="1:4" x14ac:dyDescent="0.3">
      <c r="A114" t="s">
        <v>287</v>
      </c>
      <c r="B114" t="s">
        <v>288</v>
      </c>
      <c r="C114" t="s">
        <v>357</v>
      </c>
      <c r="D114" t="s">
        <v>358</v>
      </c>
    </row>
    <row r="115" spans="1:4" x14ac:dyDescent="0.3">
      <c r="A115" t="s">
        <v>287</v>
      </c>
      <c r="B115" t="s">
        <v>288</v>
      </c>
      <c r="C115" t="s">
        <v>293</v>
      </c>
      <c r="D115" t="s">
        <v>294</v>
      </c>
    </row>
    <row r="116" spans="1:4" x14ac:dyDescent="0.3">
      <c r="A116" t="s">
        <v>287</v>
      </c>
      <c r="B116" t="s">
        <v>288</v>
      </c>
      <c r="C116" t="s">
        <v>484</v>
      </c>
      <c r="D116" t="s">
        <v>485</v>
      </c>
    </row>
    <row r="117" spans="1:4" x14ac:dyDescent="0.3">
      <c r="A117" t="s">
        <v>287</v>
      </c>
      <c r="B117" t="s">
        <v>288</v>
      </c>
      <c r="C117" t="s">
        <v>329</v>
      </c>
      <c r="D117" t="s">
        <v>330</v>
      </c>
    </row>
    <row r="118" spans="1:4" x14ac:dyDescent="0.3">
      <c r="A118" t="s">
        <v>287</v>
      </c>
      <c r="B118" t="s">
        <v>288</v>
      </c>
      <c r="C118" t="s">
        <v>394</v>
      </c>
      <c r="D118" t="s">
        <v>395</v>
      </c>
    </row>
    <row r="119" spans="1:4" x14ac:dyDescent="0.3">
      <c r="A119" t="s">
        <v>287</v>
      </c>
      <c r="B119" t="s">
        <v>288</v>
      </c>
      <c r="C119" t="s">
        <v>301</v>
      </c>
      <c r="D119" t="s">
        <v>302</v>
      </c>
    </row>
    <row r="120" spans="1:4" x14ac:dyDescent="0.3">
      <c r="A120" t="s">
        <v>287</v>
      </c>
      <c r="B120" t="s">
        <v>288</v>
      </c>
      <c r="C120" t="s">
        <v>430</v>
      </c>
      <c r="D120" t="s">
        <v>431</v>
      </c>
    </row>
    <row r="121" spans="1:4" x14ac:dyDescent="0.3">
      <c r="A121" t="s">
        <v>287</v>
      </c>
      <c r="B121" t="s">
        <v>288</v>
      </c>
      <c r="C121" t="s">
        <v>355</v>
      </c>
      <c r="D121" t="s">
        <v>356</v>
      </c>
    </row>
    <row r="122" spans="1:4" x14ac:dyDescent="0.3">
      <c r="A122" t="s">
        <v>287</v>
      </c>
      <c r="B122" t="s">
        <v>288</v>
      </c>
      <c r="C122" t="s">
        <v>369</v>
      </c>
      <c r="D122" t="s">
        <v>370</v>
      </c>
    </row>
    <row r="123" spans="1:4" x14ac:dyDescent="0.3">
      <c r="A123" t="s">
        <v>287</v>
      </c>
      <c r="B123" t="s">
        <v>288</v>
      </c>
      <c r="C123" t="s">
        <v>434</v>
      </c>
      <c r="D123" t="s">
        <v>435</v>
      </c>
    </row>
    <row r="124" spans="1:4" x14ac:dyDescent="0.3">
      <c r="A124" t="s">
        <v>287</v>
      </c>
      <c r="B124" t="s">
        <v>288</v>
      </c>
      <c r="C124" t="s">
        <v>422</v>
      </c>
      <c r="D124" t="s">
        <v>423</v>
      </c>
    </row>
    <row r="125" spans="1:4" x14ac:dyDescent="0.3">
      <c r="A125" t="s">
        <v>287</v>
      </c>
      <c r="B125" t="s">
        <v>288</v>
      </c>
      <c r="C125" t="s">
        <v>416</v>
      </c>
      <c r="D125" t="s">
        <v>417</v>
      </c>
    </row>
    <row r="126" spans="1:4" x14ac:dyDescent="0.3">
      <c r="A126" t="s">
        <v>287</v>
      </c>
      <c r="B126" t="s">
        <v>288</v>
      </c>
      <c r="C126" t="s">
        <v>518</v>
      </c>
      <c r="D126" t="s">
        <v>519</v>
      </c>
    </row>
    <row r="127" spans="1:4" x14ac:dyDescent="0.3">
      <c r="A127" t="s">
        <v>287</v>
      </c>
      <c r="B127" t="s">
        <v>288</v>
      </c>
      <c r="C127" t="s">
        <v>365</v>
      </c>
      <c r="D127" t="s">
        <v>366</v>
      </c>
    </row>
    <row r="128" spans="1:4" x14ac:dyDescent="0.3">
      <c r="A128" t="s">
        <v>287</v>
      </c>
      <c r="B128" t="s">
        <v>288</v>
      </c>
      <c r="C128" t="s">
        <v>363</v>
      </c>
      <c r="D128" t="s">
        <v>364</v>
      </c>
    </row>
    <row r="129" spans="1:4" x14ac:dyDescent="0.3">
      <c r="A129" t="s">
        <v>287</v>
      </c>
      <c r="B129" t="s">
        <v>288</v>
      </c>
      <c r="C129" t="s">
        <v>390</v>
      </c>
      <c r="D129" t="s">
        <v>391</v>
      </c>
    </row>
    <row r="130" spans="1:4" x14ac:dyDescent="0.3">
      <c r="A130" t="s">
        <v>287</v>
      </c>
      <c r="B130" t="s">
        <v>288</v>
      </c>
      <c r="C130" t="s">
        <v>404</v>
      </c>
      <c r="D130" t="s">
        <v>405</v>
      </c>
    </row>
    <row r="131" spans="1:4" x14ac:dyDescent="0.3">
      <c r="A131" t="s">
        <v>287</v>
      </c>
      <c r="B131" t="s">
        <v>288</v>
      </c>
      <c r="C131" t="s">
        <v>456</v>
      </c>
      <c r="D131" t="s">
        <v>457</v>
      </c>
    </row>
    <row r="132" spans="1:4" x14ac:dyDescent="0.3">
      <c r="A132" t="s">
        <v>287</v>
      </c>
      <c r="B132" t="s">
        <v>288</v>
      </c>
      <c r="C132" t="s">
        <v>506</v>
      </c>
      <c r="D132" t="s">
        <v>507</v>
      </c>
    </row>
    <row r="133" spans="1:4" x14ac:dyDescent="0.3">
      <c r="A133" t="s">
        <v>287</v>
      </c>
      <c r="B133" t="s">
        <v>288</v>
      </c>
      <c r="C133" t="s">
        <v>454</v>
      </c>
      <c r="D133" t="s">
        <v>455</v>
      </c>
    </row>
    <row r="134" spans="1:4" x14ac:dyDescent="0.3">
      <c r="A134" t="s">
        <v>287</v>
      </c>
      <c r="B134" t="s">
        <v>288</v>
      </c>
      <c r="C134" t="s">
        <v>381</v>
      </c>
      <c r="D134" t="s">
        <v>382</v>
      </c>
    </row>
    <row r="135" spans="1:4" x14ac:dyDescent="0.3">
      <c r="A135" t="s">
        <v>287</v>
      </c>
      <c r="B135" t="s">
        <v>288</v>
      </c>
      <c r="C135" t="s">
        <v>325</v>
      </c>
      <c r="D135" t="s">
        <v>326</v>
      </c>
    </row>
    <row r="136" spans="1:4" x14ac:dyDescent="0.3">
      <c r="A136" t="s">
        <v>287</v>
      </c>
      <c r="B136" t="s">
        <v>288</v>
      </c>
      <c r="C136" t="s">
        <v>305</v>
      </c>
      <c r="D136" t="s">
        <v>306</v>
      </c>
    </row>
    <row r="137" spans="1:4" x14ac:dyDescent="0.3">
      <c r="A137" t="s">
        <v>287</v>
      </c>
      <c r="B137" t="s">
        <v>288</v>
      </c>
      <c r="C137" t="s">
        <v>375</v>
      </c>
      <c r="D137" t="s">
        <v>376</v>
      </c>
    </row>
    <row r="138" spans="1:4" x14ac:dyDescent="0.3">
      <c r="A138" t="s">
        <v>287</v>
      </c>
      <c r="B138" t="s">
        <v>288</v>
      </c>
      <c r="C138" t="s">
        <v>347</v>
      </c>
      <c r="D138" t="s">
        <v>348</v>
      </c>
    </row>
    <row r="139" spans="1:4" x14ac:dyDescent="0.3">
      <c r="A139" t="s">
        <v>287</v>
      </c>
      <c r="B139" t="s">
        <v>288</v>
      </c>
      <c r="C139" t="s">
        <v>323</v>
      </c>
      <c r="D139" t="s">
        <v>324</v>
      </c>
    </row>
    <row r="140" spans="1:4" x14ac:dyDescent="0.3">
      <c r="A140" t="s">
        <v>287</v>
      </c>
      <c r="B140" t="s">
        <v>288</v>
      </c>
      <c r="C140" t="s">
        <v>388</v>
      </c>
      <c r="D140" t="s">
        <v>389</v>
      </c>
    </row>
    <row r="141" spans="1:4" x14ac:dyDescent="0.3">
      <c r="A141" t="s">
        <v>287</v>
      </c>
      <c r="B141" t="s">
        <v>288</v>
      </c>
      <c r="C141" t="s">
        <v>446</v>
      </c>
      <c r="D141" t="s">
        <v>447</v>
      </c>
    </row>
    <row r="142" spans="1:4" x14ac:dyDescent="0.3">
      <c r="A142" t="s">
        <v>287</v>
      </c>
      <c r="B142" t="s">
        <v>288</v>
      </c>
      <c r="C142" t="s">
        <v>345</v>
      </c>
      <c r="D142" t="s">
        <v>346</v>
      </c>
    </row>
    <row r="143" spans="1:4" x14ac:dyDescent="0.3">
      <c r="A143" t="s">
        <v>287</v>
      </c>
      <c r="B143" t="s">
        <v>288</v>
      </c>
      <c r="C143" t="s">
        <v>384</v>
      </c>
      <c r="D143" t="s">
        <v>385</v>
      </c>
    </row>
    <row r="144" spans="1:4" x14ac:dyDescent="0.3">
      <c r="A144" t="s">
        <v>287</v>
      </c>
      <c r="B144" t="s">
        <v>288</v>
      </c>
      <c r="C144" t="s">
        <v>379</v>
      </c>
      <c r="D144" t="s">
        <v>380</v>
      </c>
    </row>
    <row r="145" spans="1:4" x14ac:dyDescent="0.3">
      <c r="A145" t="s">
        <v>287</v>
      </c>
      <c r="B145" t="s">
        <v>288</v>
      </c>
      <c r="C145" t="s">
        <v>476</v>
      </c>
      <c r="D145" t="s">
        <v>477</v>
      </c>
    </row>
    <row r="146" spans="1:4" x14ac:dyDescent="0.3">
      <c r="A146" t="s">
        <v>287</v>
      </c>
      <c r="B146" t="s">
        <v>288</v>
      </c>
      <c r="C146" t="s">
        <v>367</v>
      </c>
      <c r="D146" t="s">
        <v>368</v>
      </c>
    </row>
    <row r="147" spans="1:4" x14ac:dyDescent="0.3">
      <c r="A147" t="s">
        <v>287</v>
      </c>
      <c r="B147" t="s">
        <v>288</v>
      </c>
      <c r="C147" t="s">
        <v>291</v>
      </c>
      <c r="D147" t="s">
        <v>292</v>
      </c>
    </row>
    <row r="148" spans="1:4" x14ac:dyDescent="0.3">
      <c r="A148" t="s">
        <v>287</v>
      </c>
      <c r="B148" t="s">
        <v>288</v>
      </c>
      <c r="C148" t="s">
        <v>327</v>
      </c>
      <c r="D148" t="s">
        <v>328</v>
      </c>
    </row>
    <row r="149" spans="1:4" x14ac:dyDescent="0.3">
      <c r="A149" t="s">
        <v>287</v>
      </c>
      <c r="B149" t="s">
        <v>288</v>
      </c>
      <c r="C149" t="s">
        <v>331</v>
      </c>
      <c r="D149" t="s">
        <v>332</v>
      </c>
    </row>
    <row r="150" spans="1:4" x14ac:dyDescent="0.3">
      <c r="A150" t="s">
        <v>287</v>
      </c>
      <c r="B150" t="s">
        <v>288</v>
      </c>
      <c r="C150" t="s">
        <v>289</v>
      </c>
      <c r="D150" t="s">
        <v>290</v>
      </c>
    </row>
    <row r="151" spans="1:4" x14ac:dyDescent="0.3">
      <c r="A151" t="s">
        <v>287</v>
      </c>
      <c r="B151" t="s">
        <v>288</v>
      </c>
      <c r="C151" t="s">
        <v>309</v>
      </c>
      <c r="D151" t="s">
        <v>310</v>
      </c>
    </row>
    <row r="152" spans="1:4" x14ac:dyDescent="0.3">
      <c r="A152" t="s">
        <v>287</v>
      </c>
      <c r="B152" t="s">
        <v>288</v>
      </c>
      <c r="C152" t="s">
        <v>303</v>
      </c>
      <c r="D152" t="s">
        <v>304</v>
      </c>
    </row>
    <row r="153" spans="1:4" x14ac:dyDescent="0.3">
      <c r="A153" t="s">
        <v>287</v>
      </c>
      <c r="B153" t="s">
        <v>288</v>
      </c>
      <c r="C153" t="s">
        <v>520</v>
      </c>
      <c r="D153" t="s">
        <v>521</v>
      </c>
    </row>
    <row r="154" spans="1:4" x14ac:dyDescent="0.3">
      <c r="A154" t="s">
        <v>287</v>
      </c>
      <c r="B154" t="s">
        <v>288</v>
      </c>
      <c r="C154" t="s">
        <v>436</v>
      </c>
      <c r="D154" t="s">
        <v>437</v>
      </c>
    </row>
    <row r="155" spans="1:4" x14ac:dyDescent="0.3">
      <c r="A155" t="s">
        <v>287</v>
      </c>
      <c r="B155" t="s">
        <v>288</v>
      </c>
      <c r="C155" t="s">
        <v>448</v>
      </c>
      <c r="D155" t="s">
        <v>449</v>
      </c>
    </row>
    <row r="156" spans="1:4" x14ac:dyDescent="0.3">
      <c r="A156" t="s">
        <v>287</v>
      </c>
      <c r="B156" t="s">
        <v>288</v>
      </c>
      <c r="C156" t="s">
        <v>466</v>
      </c>
      <c r="D156" t="s">
        <v>467</v>
      </c>
    </row>
    <row r="157" spans="1:4" x14ac:dyDescent="0.3">
      <c r="A157" t="s">
        <v>287</v>
      </c>
      <c r="B157" t="s">
        <v>288</v>
      </c>
      <c r="C157" t="s">
        <v>339</v>
      </c>
      <c r="D157" t="s">
        <v>340</v>
      </c>
    </row>
    <row r="158" spans="1:4" x14ac:dyDescent="0.3">
      <c r="A158" t="s">
        <v>287</v>
      </c>
      <c r="B158" t="s">
        <v>288</v>
      </c>
      <c r="C158" t="s">
        <v>4150</v>
      </c>
      <c r="D158" t="s">
        <v>4151</v>
      </c>
    </row>
    <row r="159" spans="1:4" x14ac:dyDescent="0.3">
      <c r="A159" t="s">
        <v>287</v>
      </c>
      <c r="B159" t="s">
        <v>288</v>
      </c>
      <c r="C159" t="s">
        <v>4265</v>
      </c>
      <c r="D159" t="s">
        <v>4252</v>
      </c>
    </row>
    <row r="160" spans="1:4" x14ac:dyDescent="0.3">
      <c r="A160" t="s">
        <v>287</v>
      </c>
      <c r="B160" t="s">
        <v>288</v>
      </c>
      <c r="C160" t="s">
        <v>383</v>
      </c>
      <c r="D160" t="s">
        <v>4254</v>
      </c>
    </row>
    <row r="161" spans="1:4" x14ac:dyDescent="0.3">
      <c r="A161" t="s">
        <v>287</v>
      </c>
      <c r="B161" t="s">
        <v>288</v>
      </c>
      <c r="C161" t="s">
        <v>307</v>
      </c>
      <c r="D161" t="s">
        <v>308</v>
      </c>
    </row>
    <row r="162" spans="1:4" x14ac:dyDescent="0.3">
      <c r="A162" t="s">
        <v>287</v>
      </c>
      <c r="B162" t="s">
        <v>288</v>
      </c>
      <c r="C162" t="s">
        <v>444</v>
      </c>
      <c r="D162" t="s">
        <v>445</v>
      </c>
    </row>
    <row r="163" spans="1:4" x14ac:dyDescent="0.3">
      <c r="A163" t="s">
        <v>287</v>
      </c>
      <c r="B163" t="s">
        <v>288</v>
      </c>
      <c r="C163" t="s">
        <v>335</v>
      </c>
      <c r="D163" t="s">
        <v>336</v>
      </c>
    </row>
    <row r="164" spans="1:4" x14ac:dyDescent="0.3">
      <c r="A164" t="s">
        <v>287</v>
      </c>
      <c r="B164" t="s">
        <v>288</v>
      </c>
      <c r="C164" t="s">
        <v>337</v>
      </c>
      <c r="D164" t="s">
        <v>338</v>
      </c>
    </row>
    <row r="165" spans="1:4" x14ac:dyDescent="0.3">
      <c r="A165" t="s">
        <v>287</v>
      </c>
      <c r="B165" t="s">
        <v>288</v>
      </c>
      <c r="C165" t="s">
        <v>341</v>
      </c>
      <c r="D165" t="s">
        <v>342</v>
      </c>
    </row>
    <row r="166" spans="1:4" x14ac:dyDescent="0.3">
      <c r="A166" t="s">
        <v>287</v>
      </c>
      <c r="B166" t="s">
        <v>288</v>
      </c>
      <c r="C166" t="s">
        <v>494</v>
      </c>
      <c r="D166" t="s">
        <v>495</v>
      </c>
    </row>
    <row r="167" spans="1:4" x14ac:dyDescent="0.3">
      <c r="A167" t="s">
        <v>287</v>
      </c>
      <c r="B167" t="s">
        <v>288</v>
      </c>
      <c r="C167" t="s">
        <v>396</v>
      </c>
      <c r="D167" t="s">
        <v>397</v>
      </c>
    </row>
    <row r="168" spans="1:4" x14ac:dyDescent="0.3">
      <c r="A168" t="s">
        <v>287</v>
      </c>
      <c r="B168" t="s">
        <v>288</v>
      </c>
      <c r="C168" t="s">
        <v>408</v>
      </c>
      <c r="D168" t="s">
        <v>409</v>
      </c>
    </row>
    <row r="169" spans="1:4" x14ac:dyDescent="0.3">
      <c r="A169" t="s">
        <v>287</v>
      </c>
      <c r="B169" t="s">
        <v>288</v>
      </c>
      <c r="C169" t="s">
        <v>420</v>
      </c>
      <c r="D169" t="s">
        <v>421</v>
      </c>
    </row>
    <row r="170" spans="1:4" x14ac:dyDescent="0.3">
      <c r="A170" t="s">
        <v>287</v>
      </c>
      <c r="B170" t="s">
        <v>288</v>
      </c>
      <c r="C170" t="s">
        <v>400</v>
      </c>
      <c r="D170" t="s">
        <v>401</v>
      </c>
    </row>
    <row r="171" spans="1:4" x14ac:dyDescent="0.3">
      <c r="A171" t="s">
        <v>287</v>
      </c>
      <c r="B171" t="s">
        <v>288</v>
      </c>
      <c r="C171" t="s">
        <v>472</v>
      </c>
      <c r="D171" t="s">
        <v>473</v>
      </c>
    </row>
    <row r="172" spans="1:4" x14ac:dyDescent="0.3">
      <c r="A172" t="s">
        <v>287</v>
      </c>
      <c r="B172" t="s">
        <v>288</v>
      </c>
      <c r="C172" t="s">
        <v>4266</v>
      </c>
      <c r="D172" t="s">
        <v>4257</v>
      </c>
    </row>
    <row r="173" spans="1:4" x14ac:dyDescent="0.3">
      <c r="A173" t="s">
        <v>287</v>
      </c>
      <c r="B173" t="s">
        <v>288</v>
      </c>
      <c r="C173" t="s">
        <v>313</v>
      </c>
      <c r="D173" t="s">
        <v>314</v>
      </c>
    </row>
    <row r="174" spans="1:4" x14ac:dyDescent="0.3">
      <c r="A174" t="s">
        <v>287</v>
      </c>
      <c r="B174" t="s">
        <v>288</v>
      </c>
      <c r="C174" t="s">
        <v>514</v>
      </c>
      <c r="D174" t="s">
        <v>515</v>
      </c>
    </row>
    <row r="175" spans="1:4" x14ac:dyDescent="0.3">
      <c r="A175" t="s">
        <v>287</v>
      </c>
      <c r="B175" t="s">
        <v>288</v>
      </c>
      <c r="C175" t="s">
        <v>522</v>
      </c>
      <c r="D175" t="s">
        <v>523</v>
      </c>
    </row>
    <row r="176" spans="1:4" x14ac:dyDescent="0.3">
      <c r="A176" t="s">
        <v>287</v>
      </c>
      <c r="B176" t="s">
        <v>288</v>
      </c>
      <c r="C176" t="s">
        <v>526</v>
      </c>
      <c r="D176" t="s">
        <v>527</v>
      </c>
    </row>
    <row r="177" spans="1:4" x14ac:dyDescent="0.3">
      <c r="A177" t="s">
        <v>287</v>
      </c>
      <c r="B177" t="s">
        <v>288</v>
      </c>
      <c r="C177" t="s">
        <v>492</v>
      </c>
      <c r="D177" t="s">
        <v>493</v>
      </c>
    </row>
    <row r="178" spans="1:4" x14ac:dyDescent="0.3">
      <c r="A178" t="s">
        <v>287</v>
      </c>
      <c r="B178" t="s">
        <v>288</v>
      </c>
      <c r="C178" t="s">
        <v>428</v>
      </c>
      <c r="D178" t="s">
        <v>429</v>
      </c>
    </row>
    <row r="179" spans="1:4" x14ac:dyDescent="0.3">
      <c r="A179" t="s">
        <v>287</v>
      </c>
      <c r="B179" t="s">
        <v>288</v>
      </c>
      <c r="C179" t="s">
        <v>414</v>
      </c>
      <c r="D179" t="s">
        <v>415</v>
      </c>
    </row>
    <row r="180" spans="1:4" x14ac:dyDescent="0.3">
      <c r="A180" t="s">
        <v>287</v>
      </c>
      <c r="B180" t="s">
        <v>288</v>
      </c>
      <c r="C180" t="s">
        <v>418</v>
      </c>
      <c r="D180" t="s">
        <v>419</v>
      </c>
    </row>
    <row r="181" spans="1:4" x14ac:dyDescent="0.3">
      <c r="A181" t="s">
        <v>287</v>
      </c>
      <c r="B181" t="s">
        <v>288</v>
      </c>
      <c r="C181" t="s">
        <v>442</v>
      </c>
      <c r="D181" t="s">
        <v>443</v>
      </c>
    </row>
    <row r="182" spans="1:4" x14ac:dyDescent="0.3">
      <c r="A182" t="s">
        <v>287</v>
      </c>
      <c r="B182" t="s">
        <v>288</v>
      </c>
      <c r="C182" t="s">
        <v>480</v>
      </c>
      <c r="D182" t="s">
        <v>481</v>
      </c>
    </row>
    <row r="183" spans="1:4" x14ac:dyDescent="0.3">
      <c r="A183" t="s">
        <v>287</v>
      </c>
      <c r="B183" t="s">
        <v>288</v>
      </c>
      <c r="C183" t="s">
        <v>510</v>
      </c>
      <c r="D183" t="s">
        <v>511</v>
      </c>
    </row>
    <row r="184" spans="1:4" x14ac:dyDescent="0.3">
      <c r="A184" t="s">
        <v>287</v>
      </c>
      <c r="B184" t="s">
        <v>288</v>
      </c>
      <c r="C184" t="s">
        <v>524</v>
      </c>
      <c r="D184" t="s">
        <v>525</v>
      </c>
    </row>
    <row r="185" spans="1:4" x14ac:dyDescent="0.3">
      <c r="A185" t="s">
        <v>287</v>
      </c>
      <c r="B185" t="s">
        <v>288</v>
      </c>
      <c r="C185" t="s">
        <v>512</v>
      </c>
      <c r="D185" t="s">
        <v>513</v>
      </c>
    </row>
    <row r="186" spans="1:4" x14ac:dyDescent="0.3">
      <c r="A186" t="s">
        <v>287</v>
      </c>
      <c r="B186" t="s">
        <v>288</v>
      </c>
      <c r="C186" t="s">
        <v>496</v>
      </c>
      <c r="D186" t="s">
        <v>497</v>
      </c>
    </row>
    <row r="187" spans="1:4" x14ac:dyDescent="0.3">
      <c r="A187" t="s">
        <v>287</v>
      </c>
      <c r="B187" t="s">
        <v>288</v>
      </c>
      <c r="C187" t="s">
        <v>516</v>
      </c>
      <c r="D187" t="s">
        <v>517</v>
      </c>
    </row>
    <row r="188" spans="1:4" x14ac:dyDescent="0.3">
      <c r="A188" t="s">
        <v>287</v>
      </c>
      <c r="B188" t="s">
        <v>288</v>
      </c>
      <c r="C188" t="s">
        <v>406</v>
      </c>
      <c r="D188" t="s">
        <v>407</v>
      </c>
    </row>
    <row r="189" spans="1:4" x14ac:dyDescent="0.3">
      <c r="A189" t="s">
        <v>287</v>
      </c>
      <c r="B189" t="s">
        <v>288</v>
      </c>
      <c r="C189" t="s">
        <v>468</v>
      </c>
      <c r="D189" t="s">
        <v>469</v>
      </c>
    </row>
    <row r="190" spans="1:4" x14ac:dyDescent="0.3">
      <c r="A190" t="s">
        <v>287</v>
      </c>
      <c r="B190" t="s">
        <v>288</v>
      </c>
      <c r="C190" t="s">
        <v>500</v>
      </c>
      <c r="D190" t="s">
        <v>501</v>
      </c>
    </row>
    <row r="191" spans="1:4" x14ac:dyDescent="0.3">
      <c r="A191" t="s">
        <v>287</v>
      </c>
      <c r="B191" t="s">
        <v>288</v>
      </c>
      <c r="C191" t="s">
        <v>504</v>
      </c>
      <c r="D191" t="s">
        <v>505</v>
      </c>
    </row>
    <row r="192" spans="1:4" x14ac:dyDescent="0.3">
      <c r="A192" t="s">
        <v>287</v>
      </c>
      <c r="B192" t="s">
        <v>288</v>
      </c>
      <c r="C192" t="s">
        <v>460</v>
      </c>
      <c r="D192" t="s">
        <v>461</v>
      </c>
    </row>
    <row r="193" spans="1:4" x14ac:dyDescent="0.3">
      <c r="A193" t="s">
        <v>287</v>
      </c>
      <c r="B193" t="s">
        <v>288</v>
      </c>
      <c r="C193" t="s">
        <v>426</v>
      </c>
      <c r="D193" t="s">
        <v>427</v>
      </c>
    </row>
    <row r="194" spans="1:4" x14ac:dyDescent="0.3">
      <c r="A194" t="s">
        <v>287</v>
      </c>
      <c r="B194" t="s">
        <v>288</v>
      </c>
      <c r="C194" t="s">
        <v>315</v>
      </c>
      <c r="D194" t="s">
        <v>316</v>
      </c>
    </row>
    <row r="195" spans="1:4" x14ac:dyDescent="0.3">
      <c r="A195" t="s">
        <v>287</v>
      </c>
      <c r="B195" t="s">
        <v>288</v>
      </c>
      <c r="C195" t="s">
        <v>470</v>
      </c>
      <c r="D195" t="s">
        <v>471</v>
      </c>
    </row>
    <row r="196" spans="1:4" x14ac:dyDescent="0.3">
      <c r="A196" t="s">
        <v>287</v>
      </c>
      <c r="B196" t="s">
        <v>288</v>
      </c>
      <c r="C196" t="s">
        <v>361</v>
      </c>
      <c r="D196" t="s">
        <v>362</v>
      </c>
    </row>
    <row r="197" spans="1:4" x14ac:dyDescent="0.3">
      <c r="A197" t="s">
        <v>287</v>
      </c>
      <c r="B197" t="s">
        <v>288</v>
      </c>
      <c r="C197" t="s">
        <v>359</v>
      </c>
      <c r="D197" t="s">
        <v>360</v>
      </c>
    </row>
    <row r="198" spans="1:4" x14ac:dyDescent="0.3">
      <c r="A198" t="s">
        <v>287</v>
      </c>
      <c r="B198" t="s">
        <v>288</v>
      </c>
      <c r="C198" t="s">
        <v>353</v>
      </c>
      <c r="D198" t="s">
        <v>354</v>
      </c>
    </row>
    <row r="199" spans="1:4" x14ac:dyDescent="0.3">
      <c r="A199" t="s">
        <v>287</v>
      </c>
      <c r="B199" t="s">
        <v>288</v>
      </c>
      <c r="C199" t="s">
        <v>478</v>
      </c>
      <c r="D199" t="s">
        <v>479</v>
      </c>
    </row>
    <row r="200" spans="1:4" x14ac:dyDescent="0.3">
      <c r="A200" t="s">
        <v>287</v>
      </c>
      <c r="B200" t="s">
        <v>288</v>
      </c>
      <c r="C200" t="s">
        <v>351</v>
      </c>
      <c r="D200" t="s">
        <v>352</v>
      </c>
    </row>
    <row r="201" spans="1:4" x14ac:dyDescent="0.3">
      <c r="A201" t="s">
        <v>287</v>
      </c>
      <c r="B201" t="s">
        <v>288</v>
      </c>
      <c r="C201" t="s">
        <v>343</v>
      </c>
      <c r="D201" t="s">
        <v>344</v>
      </c>
    </row>
    <row r="202" spans="1:4" x14ac:dyDescent="0.3">
      <c r="A202" t="s">
        <v>287</v>
      </c>
      <c r="B202" t="s">
        <v>288</v>
      </c>
      <c r="C202" t="s">
        <v>373</v>
      </c>
      <c r="D202" t="s">
        <v>374</v>
      </c>
    </row>
    <row r="203" spans="1:4" x14ac:dyDescent="0.3">
      <c r="A203" t="s">
        <v>287</v>
      </c>
      <c r="B203" t="s">
        <v>288</v>
      </c>
      <c r="C203" t="s">
        <v>297</v>
      </c>
      <c r="D203" t="s">
        <v>298</v>
      </c>
    </row>
    <row r="204" spans="1:4" x14ac:dyDescent="0.3">
      <c r="A204" t="s">
        <v>287</v>
      </c>
      <c r="B204" t="s">
        <v>288</v>
      </c>
      <c r="C204" t="s">
        <v>452</v>
      </c>
      <c r="D204" t="s">
        <v>453</v>
      </c>
    </row>
    <row r="205" spans="1:4" x14ac:dyDescent="0.3">
      <c r="A205" t="s">
        <v>287</v>
      </c>
      <c r="B205" t="s">
        <v>288</v>
      </c>
      <c r="C205" t="s">
        <v>333</v>
      </c>
      <c r="D205" t="s">
        <v>334</v>
      </c>
    </row>
    <row r="206" spans="1:4" x14ac:dyDescent="0.3">
      <c r="A206" t="s">
        <v>287</v>
      </c>
      <c r="B206" t="s">
        <v>288</v>
      </c>
      <c r="C206" t="s">
        <v>386</v>
      </c>
      <c r="D206" t="s">
        <v>387</v>
      </c>
    </row>
    <row r="207" spans="1:4" x14ac:dyDescent="0.3">
      <c r="A207" t="s">
        <v>287</v>
      </c>
      <c r="B207" t="s">
        <v>288</v>
      </c>
      <c r="C207" t="s">
        <v>392</v>
      </c>
      <c r="D207" t="s">
        <v>393</v>
      </c>
    </row>
    <row r="208" spans="1:4" x14ac:dyDescent="0.3">
      <c r="A208" t="s">
        <v>287</v>
      </c>
      <c r="B208" t="s">
        <v>288</v>
      </c>
      <c r="C208" t="s">
        <v>402</v>
      </c>
      <c r="D208" t="s">
        <v>403</v>
      </c>
    </row>
    <row r="209" spans="1:4" x14ac:dyDescent="0.3">
      <c r="A209" t="s">
        <v>287</v>
      </c>
      <c r="B209" t="s">
        <v>288</v>
      </c>
      <c r="C209" t="s">
        <v>410</v>
      </c>
      <c r="D209" t="s">
        <v>411</v>
      </c>
    </row>
    <row r="210" spans="1:4" x14ac:dyDescent="0.3">
      <c r="A210" t="s">
        <v>287</v>
      </c>
      <c r="B210" t="s">
        <v>288</v>
      </c>
      <c r="C210" t="s">
        <v>438</v>
      </c>
      <c r="D210" t="s">
        <v>439</v>
      </c>
    </row>
    <row r="211" spans="1:4" x14ac:dyDescent="0.3">
      <c r="A211" t="s">
        <v>287</v>
      </c>
      <c r="B211" t="s">
        <v>288</v>
      </c>
      <c r="C211" t="s">
        <v>440</v>
      </c>
      <c r="D211" t="s">
        <v>441</v>
      </c>
    </row>
    <row r="212" spans="1:4" x14ac:dyDescent="0.3">
      <c r="A212" t="s">
        <v>287</v>
      </c>
      <c r="B212" t="s">
        <v>288</v>
      </c>
      <c r="C212" t="s">
        <v>450</v>
      </c>
      <c r="D212" t="s">
        <v>451</v>
      </c>
    </row>
    <row r="213" spans="1:4" x14ac:dyDescent="0.3">
      <c r="A213" t="s">
        <v>287</v>
      </c>
      <c r="B213" t="s">
        <v>288</v>
      </c>
      <c r="C213" t="s">
        <v>464</v>
      </c>
      <c r="D213" t="s">
        <v>465</v>
      </c>
    </row>
    <row r="214" spans="1:4" x14ac:dyDescent="0.3">
      <c r="A214" t="s">
        <v>287</v>
      </c>
      <c r="B214" t="s">
        <v>288</v>
      </c>
      <c r="C214" t="s">
        <v>474</v>
      </c>
      <c r="D214" t="s">
        <v>475</v>
      </c>
    </row>
    <row r="215" spans="1:4" x14ac:dyDescent="0.3">
      <c r="A215" t="s">
        <v>287</v>
      </c>
      <c r="B215" t="s">
        <v>288</v>
      </c>
      <c r="C215" t="s">
        <v>488</v>
      </c>
      <c r="D215" t="s">
        <v>489</v>
      </c>
    </row>
    <row r="216" spans="1:4" x14ac:dyDescent="0.3">
      <c r="A216" t="s">
        <v>287</v>
      </c>
      <c r="B216" t="s">
        <v>288</v>
      </c>
      <c r="C216" t="s">
        <v>490</v>
      </c>
      <c r="D216" t="s">
        <v>491</v>
      </c>
    </row>
    <row r="217" spans="1:4" x14ac:dyDescent="0.3">
      <c r="A217" t="s">
        <v>287</v>
      </c>
      <c r="B217" t="s">
        <v>288</v>
      </c>
      <c r="C217" t="s">
        <v>508</v>
      </c>
      <c r="D217" t="s">
        <v>509</v>
      </c>
    </row>
    <row r="218" spans="1:4" x14ac:dyDescent="0.3">
      <c r="A218" t="s">
        <v>287</v>
      </c>
      <c r="B218" t="s">
        <v>288</v>
      </c>
      <c r="C218" t="s">
        <v>412</v>
      </c>
      <c r="D218" t="s">
        <v>413</v>
      </c>
    </row>
    <row r="219" spans="1:4" x14ac:dyDescent="0.3">
      <c r="A219" t="s">
        <v>287</v>
      </c>
      <c r="B219" t="s">
        <v>288</v>
      </c>
      <c r="C219" t="s">
        <v>502</v>
      </c>
      <c r="D219" t="s">
        <v>503</v>
      </c>
    </row>
    <row r="220" spans="1:4" x14ac:dyDescent="0.3">
      <c r="A220" t="s">
        <v>287</v>
      </c>
      <c r="B220" t="s">
        <v>288</v>
      </c>
      <c r="C220" t="s">
        <v>424</v>
      </c>
      <c r="D220" t="s">
        <v>425</v>
      </c>
    </row>
    <row r="221" spans="1:4" x14ac:dyDescent="0.3">
      <c r="A221" t="s">
        <v>287</v>
      </c>
      <c r="B221" t="s">
        <v>288</v>
      </c>
      <c r="C221" t="s">
        <v>498</v>
      </c>
      <c r="D221" t="s">
        <v>499</v>
      </c>
    </row>
    <row r="222" spans="1:4" x14ac:dyDescent="0.3">
      <c r="A222" t="s">
        <v>287</v>
      </c>
      <c r="B222" t="s">
        <v>288</v>
      </c>
      <c r="C222" t="s">
        <v>482</v>
      </c>
      <c r="D222" t="s">
        <v>483</v>
      </c>
    </row>
    <row r="223" spans="1:4" x14ac:dyDescent="0.3">
      <c r="A223" t="s">
        <v>287</v>
      </c>
      <c r="B223" t="s">
        <v>288</v>
      </c>
      <c r="C223" t="s">
        <v>462</v>
      </c>
      <c r="D223" t="s">
        <v>463</v>
      </c>
    </row>
    <row r="224" spans="1:4" x14ac:dyDescent="0.3">
      <c r="A224" t="s">
        <v>287</v>
      </c>
      <c r="B224" t="s">
        <v>288</v>
      </c>
      <c r="C224" t="s">
        <v>311</v>
      </c>
      <c r="D224" t="s">
        <v>312</v>
      </c>
    </row>
    <row r="225" spans="1:4" x14ac:dyDescent="0.3">
      <c r="A225" t="s">
        <v>287</v>
      </c>
      <c r="B225" t="s">
        <v>288</v>
      </c>
      <c r="C225" t="s">
        <v>349</v>
      </c>
      <c r="D225" t="s">
        <v>350</v>
      </c>
    </row>
    <row r="226" spans="1:4" x14ac:dyDescent="0.3">
      <c r="A226" t="s">
        <v>287</v>
      </c>
      <c r="B226" t="s">
        <v>288</v>
      </c>
      <c r="C226" t="s">
        <v>317</v>
      </c>
      <c r="D226" t="s">
        <v>318</v>
      </c>
    </row>
    <row r="227" spans="1:4" x14ac:dyDescent="0.3">
      <c r="A227" t="s">
        <v>287</v>
      </c>
      <c r="B227" t="s">
        <v>288</v>
      </c>
      <c r="C227" t="s">
        <v>321</v>
      </c>
      <c r="D227" t="s">
        <v>322</v>
      </c>
    </row>
    <row r="228" spans="1:4" x14ac:dyDescent="0.3">
      <c r="A228" t="s">
        <v>287</v>
      </c>
      <c r="B228" t="s">
        <v>288</v>
      </c>
      <c r="C228" t="s">
        <v>458</v>
      </c>
      <c r="D228" t="s">
        <v>459</v>
      </c>
    </row>
    <row r="229" spans="1:4" x14ac:dyDescent="0.3">
      <c r="A229" t="s">
        <v>287</v>
      </c>
      <c r="B229" t="s">
        <v>288</v>
      </c>
      <c r="C229" t="s">
        <v>371</v>
      </c>
      <c r="D229" t="s">
        <v>372</v>
      </c>
    </row>
    <row r="230" spans="1:4" x14ac:dyDescent="0.3">
      <c r="A230" t="s">
        <v>287</v>
      </c>
      <c r="B230" t="s">
        <v>288</v>
      </c>
      <c r="C230" t="s">
        <v>377</v>
      </c>
      <c r="D230" t="s">
        <v>378</v>
      </c>
    </row>
    <row r="231" spans="1:4" x14ac:dyDescent="0.3">
      <c r="A231" t="s">
        <v>287</v>
      </c>
      <c r="B231" t="s">
        <v>288</v>
      </c>
      <c r="C231" t="s">
        <v>432</v>
      </c>
      <c r="D231" t="s">
        <v>433</v>
      </c>
    </row>
    <row r="232" spans="1:4" x14ac:dyDescent="0.3">
      <c r="A232" t="s">
        <v>287</v>
      </c>
      <c r="B232" t="s">
        <v>288</v>
      </c>
      <c r="C232" t="s">
        <v>319</v>
      </c>
      <c r="D232" t="s">
        <v>320</v>
      </c>
    </row>
    <row r="233" spans="1:4" x14ac:dyDescent="0.3">
      <c r="A233" t="s">
        <v>287</v>
      </c>
      <c r="B233" t="s">
        <v>288</v>
      </c>
      <c r="C233" t="s">
        <v>486</v>
      </c>
      <c r="D233" t="s">
        <v>487</v>
      </c>
    </row>
    <row r="234" spans="1:4" x14ac:dyDescent="0.3">
      <c r="A234" t="s">
        <v>287</v>
      </c>
      <c r="B234" t="s">
        <v>288</v>
      </c>
      <c r="C234" t="s">
        <v>295</v>
      </c>
      <c r="D234" t="s">
        <v>296</v>
      </c>
    </row>
    <row r="235" spans="1:4" x14ac:dyDescent="0.3">
      <c r="A235" t="s">
        <v>287</v>
      </c>
      <c r="B235" t="s">
        <v>288</v>
      </c>
      <c r="C235" t="s">
        <v>398</v>
      </c>
      <c r="D235" t="s">
        <v>399</v>
      </c>
    </row>
    <row r="236" spans="1:4" x14ac:dyDescent="0.3">
      <c r="A236" t="s">
        <v>287</v>
      </c>
      <c r="B236" t="s">
        <v>288</v>
      </c>
      <c r="C236" t="s">
        <v>299</v>
      </c>
      <c r="D236" t="s">
        <v>300</v>
      </c>
    </row>
    <row r="237" spans="1:4" x14ac:dyDescent="0.3">
      <c r="A237" t="s">
        <v>528</v>
      </c>
      <c r="B237" t="s">
        <v>529</v>
      </c>
      <c r="C237" t="s">
        <v>849</v>
      </c>
      <c r="D237" t="s">
        <v>850</v>
      </c>
    </row>
    <row r="238" spans="1:4" x14ac:dyDescent="0.3">
      <c r="A238" t="s">
        <v>528</v>
      </c>
      <c r="B238" t="s">
        <v>529</v>
      </c>
      <c r="C238" t="s">
        <v>982</v>
      </c>
      <c r="D238" t="s">
        <v>983</v>
      </c>
    </row>
    <row r="239" spans="1:4" x14ac:dyDescent="0.3">
      <c r="A239" t="s">
        <v>528</v>
      </c>
      <c r="B239" t="s">
        <v>529</v>
      </c>
      <c r="C239" t="s">
        <v>775</v>
      </c>
      <c r="D239" t="s">
        <v>776</v>
      </c>
    </row>
    <row r="240" spans="1:4" x14ac:dyDescent="0.3">
      <c r="A240" t="s">
        <v>528</v>
      </c>
      <c r="B240" t="s">
        <v>529</v>
      </c>
      <c r="C240" t="s">
        <v>673</v>
      </c>
      <c r="D240" t="s">
        <v>674</v>
      </c>
    </row>
    <row r="241" spans="1:4" x14ac:dyDescent="0.3">
      <c r="A241" t="s">
        <v>528</v>
      </c>
      <c r="B241" t="s">
        <v>529</v>
      </c>
      <c r="C241" t="s">
        <v>568</v>
      </c>
      <c r="D241" t="s">
        <v>569</v>
      </c>
    </row>
    <row r="242" spans="1:4" x14ac:dyDescent="0.3">
      <c r="A242" t="s">
        <v>528</v>
      </c>
      <c r="B242" t="s">
        <v>529</v>
      </c>
      <c r="C242" t="s">
        <v>851</v>
      </c>
      <c r="D242" t="s">
        <v>852</v>
      </c>
    </row>
    <row r="243" spans="1:4" x14ac:dyDescent="0.3">
      <c r="A243" t="s">
        <v>528</v>
      </c>
      <c r="B243" t="s">
        <v>529</v>
      </c>
      <c r="C243" t="s">
        <v>687</v>
      </c>
      <c r="D243" t="s">
        <v>688</v>
      </c>
    </row>
    <row r="244" spans="1:4" x14ac:dyDescent="0.3">
      <c r="A244" t="s">
        <v>528</v>
      </c>
      <c r="B244" t="s">
        <v>529</v>
      </c>
      <c r="C244" t="s">
        <v>940</v>
      </c>
      <c r="D244" t="s">
        <v>941</v>
      </c>
    </row>
    <row r="245" spans="1:4" x14ac:dyDescent="0.3">
      <c r="A245" t="s">
        <v>528</v>
      </c>
      <c r="B245" t="s">
        <v>529</v>
      </c>
      <c r="C245" t="s">
        <v>667</v>
      </c>
      <c r="D245" t="s">
        <v>668</v>
      </c>
    </row>
    <row r="246" spans="1:4" x14ac:dyDescent="0.3">
      <c r="A246" t="s">
        <v>528</v>
      </c>
      <c r="B246" t="s">
        <v>529</v>
      </c>
      <c r="C246" t="s">
        <v>659</v>
      </c>
      <c r="D246" t="s">
        <v>660</v>
      </c>
    </row>
    <row r="247" spans="1:4" x14ac:dyDescent="0.3">
      <c r="A247" t="s">
        <v>528</v>
      </c>
      <c r="B247" t="s">
        <v>529</v>
      </c>
      <c r="C247" t="s">
        <v>888</v>
      </c>
      <c r="D247" t="s">
        <v>889</v>
      </c>
    </row>
    <row r="248" spans="1:4" x14ac:dyDescent="0.3">
      <c r="A248" t="s">
        <v>528</v>
      </c>
      <c r="B248" t="s">
        <v>529</v>
      </c>
      <c r="C248" t="s">
        <v>616</v>
      </c>
      <c r="D248" t="s">
        <v>617</v>
      </c>
    </row>
    <row r="249" spans="1:4" x14ac:dyDescent="0.3">
      <c r="A249" t="s">
        <v>528</v>
      </c>
      <c r="B249" t="s">
        <v>529</v>
      </c>
      <c r="C249" t="s">
        <v>996</v>
      </c>
      <c r="D249" t="s">
        <v>997</v>
      </c>
    </row>
    <row r="250" spans="1:4" x14ac:dyDescent="0.3">
      <c r="A250" t="s">
        <v>528</v>
      </c>
      <c r="B250" t="s">
        <v>529</v>
      </c>
      <c r="C250" t="s">
        <v>962</v>
      </c>
      <c r="D250" t="s">
        <v>963</v>
      </c>
    </row>
    <row r="251" spans="1:4" x14ac:dyDescent="0.3">
      <c r="A251" t="s">
        <v>528</v>
      </c>
      <c r="B251" t="s">
        <v>529</v>
      </c>
      <c r="C251" t="s">
        <v>803</v>
      </c>
      <c r="D251" t="s">
        <v>804</v>
      </c>
    </row>
    <row r="252" spans="1:4" x14ac:dyDescent="0.3">
      <c r="A252" t="s">
        <v>528</v>
      </c>
      <c r="B252" t="s">
        <v>529</v>
      </c>
      <c r="C252" t="s">
        <v>683</v>
      </c>
      <c r="D252" t="s">
        <v>684</v>
      </c>
    </row>
    <row r="253" spans="1:4" x14ac:dyDescent="0.3">
      <c r="A253" t="s">
        <v>528</v>
      </c>
      <c r="B253" t="s">
        <v>529</v>
      </c>
      <c r="C253" t="s">
        <v>622</v>
      </c>
      <c r="D253" t="s">
        <v>623</v>
      </c>
    </row>
    <row r="254" spans="1:4" x14ac:dyDescent="0.3">
      <c r="A254" t="s">
        <v>528</v>
      </c>
      <c r="B254" t="s">
        <v>529</v>
      </c>
      <c r="C254" t="s">
        <v>966</v>
      </c>
      <c r="D254" t="s">
        <v>967</v>
      </c>
    </row>
    <row r="255" spans="1:4" x14ac:dyDescent="0.3">
      <c r="A255" t="s">
        <v>528</v>
      </c>
      <c r="B255" t="s">
        <v>529</v>
      </c>
      <c r="C255" t="s">
        <v>1020</v>
      </c>
      <c r="D255" t="s">
        <v>1021</v>
      </c>
    </row>
    <row r="256" spans="1:4" x14ac:dyDescent="0.3">
      <c r="A256" t="s">
        <v>528</v>
      </c>
      <c r="B256" t="s">
        <v>529</v>
      </c>
      <c r="C256" t="s">
        <v>558</v>
      </c>
      <c r="D256" t="s">
        <v>559</v>
      </c>
    </row>
    <row r="257" spans="1:4" x14ac:dyDescent="0.3">
      <c r="A257" t="s">
        <v>528</v>
      </c>
      <c r="B257" t="s">
        <v>529</v>
      </c>
      <c r="C257" t="s">
        <v>626</v>
      </c>
      <c r="D257" t="s">
        <v>627</v>
      </c>
    </row>
    <row r="258" spans="1:4" x14ac:dyDescent="0.3">
      <c r="A258" t="s">
        <v>528</v>
      </c>
      <c r="B258" t="s">
        <v>529</v>
      </c>
      <c r="C258" t="s">
        <v>640</v>
      </c>
      <c r="D258" t="s">
        <v>641</v>
      </c>
    </row>
    <row r="259" spans="1:4" x14ac:dyDescent="0.3">
      <c r="A259" t="s">
        <v>528</v>
      </c>
      <c r="B259" t="s">
        <v>529</v>
      </c>
      <c r="C259" t="s">
        <v>857</v>
      </c>
      <c r="D259" t="s">
        <v>858</v>
      </c>
    </row>
    <row r="260" spans="1:4" x14ac:dyDescent="0.3">
      <c r="A260" t="s">
        <v>528</v>
      </c>
      <c r="B260" t="s">
        <v>529</v>
      </c>
      <c r="C260" t="s">
        <v>904</v>
      </c>
      <c r="D260" t="s">
        <v>905</v>
      </c>
    </row>
    <row r="261" spans="1:4" x14ac:dyDescent="0.3">
      <c r="A261" t="s">
        <v>528</v>
      </c>
      <c r="B261" t="s">
        <v>529</v>
      </c>
      <c r="C261" t="s">
        <v>990</v>
      </c>
      <c r="D261" t="s">
        <v>991</v>
      </c>
    </row>
    <row r="262" spans="1:4" x14ac:dyDescent="0.3">
      <c r="A262" t="s">
        <v>528</v>
      </c>
      <c r="B262" t="s">
        <v>529</v>
      </c>
      <c r="C262" t="s">
        <v>974</v>
      </c>
      <c r="D262" t="s">
        <v>975</v>
      </c>
    </row>
    <row r="263" spans="1:4" x14ac:dyDescent="0.3">
      <c r="A263" t="s">
        <v>528</v>
      </c>
      <c r="B263" t="s">
        <v>529</v>
      </c>
      <c r="C263" t="s">
        <v>938</v>
      </c>
      <c r="D263" t="s">
        <v>939</v>
      </c>
    </row>
    <row r="264" spans="1:4" x14ac:dyDescent="0.3">
      <c r="A264" t="s">
        <v>528</v>
      </c>
      <c r="B264" t="s">
        <v>529</v>
      </c>
      <c r="C264" t="s">
        <v>880</v>
      </c>
      <c r="D264" t="s">
        <v>881</v>
      </c>
    </row>
    <row r="265" spans="1:4" x14ac:dyDescent="0.3">
      <c r="A265" t="s">
        <v>528</v>
      </c>
      <c r="B265" t="s">
        <v>529</v>
      </c>
      <c r="C265" t="s">
        <v>845</v>
      </c>
      <c r="D265" t="s">
        <v>846</v>
      </c>
    </row>
    <row r="266" spans="1:4" x14ac:dyDescent="0.3">
      <c r="A266" t="s">
        <v>528</v>
      </c>
      <c r="B266" t="s">
        <v>529</v>
      </c>
      <c r="C266" t="s">
        <v>594</v>
      </c>
      <c r="D266" t="s">
        <v>595</v>
      </c>
    </row>
    <row r="267" spans="1:4" x14ac:dyDescent="0.3">
      <c r="A267" t="s">
        <v>528</v>
      </c>
      <c r="B267" t="s">
        <v>529</v>
      </c>
      <c r="C267" t="s">
        <v>669</v>
      </c>
      <c r="D267" t="s">
        <v>670</v>
      </c>
    </row>
    <row r="268" spans="1:4" x14ac:dyDescent="0.3">
      <c r="A268" t="s">
        <v>528</v>
      </c>
      <c r="B268" t="s">
        <v>529</v>
      </c>
      <c r="C268" t="s">
        <v>733</v>
      </c>
      <c r="D268" t="s">
        <v>734</v>
      </c>
    </row>
    <row r="269" spans="1:4" x14ac:dyDescent="0.3">
      <c r="A269" t="s">
        <v>528</v>
      </c>
      <c r="B269" t="s">
        <v>529</v>
      </c>
      <c r="C269" t="s">
        <v>930</v>
      </c>
      <c r="D269" t="s">
        <v>931</v>
      </c>
    </row>
    <row r="270" spans="1:4" x14ac:dyDescent="0.3">
      <c r="A270" t="s">
        <v>528</v>
      </c>
      <c r="B270" t="s">
        <v>529</v>
      </c>
      <c r="C270" t="s">
        <v>934</v>
      </c>
      <c r="D270" t="s">
        <v>935</v>
      </c>
    </row>
    <row r="271" spans="1:4" x14ac:dyDescent="0.3">
      <c r="A271" t="s">
        <v>528</v>
      </c>
      <c r="B271" t="s">
        <v>529</v>
      </c>
      <c r="C271" t="s">
        <v>1016</v>
      </c>
      <c r="D271" t="s">
        <v>1017</v>
      </c>
    </row>
    <row r="272" spans="1:4" x14ac:dyDescent="0.3">
      <c r="A272" t="s">
        <v>528</v>
      </c>
      <c r="B272" t="s">
        <v>529</v>
      </c>
      <c r="C272" t="s">
        <v>546</v>
      </c>
      <c r="D272" t="s">
        <v>547</v>
      </c>
    </row>
    <row r="273" spans="1:4" x14ac:dyDescent="0.3">
      <c r="A273" t="s">
        <v>528</v>
      </c>
      <c r="B273" t="s">
        <v>529</v>
      </c>
      <c r="C273" t="s">
        <v>874</v>
      </c>
      <c r="D273" t="s">
        <v>875</v>
      </c>
    </row>
    <row r="274" spans="1:4" x14ac:dyDescent="0.3">
      <c r="A274" t="s">
        <v>528</v>
      </c>
      <c r="B274" t="s">
        <v>529</v>
      </c>
      <c r="C274" t="s">
        <v>612</v>
      </c>
      <c r="D274" t="s">
        <v>613</v>
      </c>
    </row>
    <row r="275" spans="1:4" x14ac:dyDescent="0.3">
      <c r="A275" t="s">
        <v>528</v>
      </c>
      <c r="B275" t="s">
        <v>529</v>
      </c>
      <c r="C275" t="s">
        <v>976</v>
      </c>
      <c r="D275" t="s">
        <v>977</v>
      </c>
    </row>
    <row r="276" spans="1:4" x14ac:dyDescent="0.3">
      <c r="A276" t="s">
        <v>528</v>
      </c>
      <c r="B276" t="s">
        <v>529</v>
      </c>
      <c r="C276" t="s">
        <v>992</v>
      </c>
      <c r="D276" t="s">
        <v>993</v>
      </c>
    </row>
    <row r="277" spans="1:4" x14ac:dyDescent="0.3">
      <c r="A277" t="s">
        <v>528</v>
      </c>
      <c r="B277" t="s">
        <v>529</v>
      </c>
      <c r="C277" t="s">
        <v>918</v>
      </c>
      <c r="D277" t="s">
        <v>919</v>
      </c>
    </row>
    <row r="278" spans="1:4" x14ac:dyDescent="0.3">
      <c r="A278" t="s">
        <v>528</v>
      </c>
      <c r="B278" t="s">
        <v>529</v>
      </c>
      <c r="C278" t="s">
        <v>538</v>
      </c>
      <c r="D278" t="s">
        <v>539</v>
      </c>
    </row>
    <row r="279" spans="1:4" x14ac:dyDescent="0.3">
      <c r="A279" t="s">
        <v>528</v>
      </c>
      <c r="B279" t="s">
        <v>529</v>
      </c>
      <c r="C279" t="s">
        <v>861</v>
      </c>
      <c r="D279" t="s">
        <v>862</v>
      </c>
    </row>
    <row r="280" spans="1:4" x14ac:dyDescent="0.3">
      <c r="A280" t="s">
        <v>528</v>
      </c>
      <c r="B280" t="s">
        <v>529</v>
      </c>
      <c r="C280" t="s">
        <v>598</v>
      </c>
      <c r="D280" t="s">
        <v>599</v>
      </c>
    </row>
    <row r="281" spans="1:4" x14ac:dyDescent="0.3">
      <c r="A281" t="s">
        <v>528</v>
      </c>
      <c r="B281" t="s">
        <v>529</v>
      </c>
      <c r="C281" t="s">
        <v>721</v>
      </c>
      <c r="D281" t="s">
        <v>722</v>
      </c>
    </row>
    <row r="282" spans="1:4" x14ac:dyDescent="0.3">
      <c r="A282" t="s">
        <v>528</v>
      </c>
      <c r="B282" t="s">
        <v>529</v>
      </c>
      <c r="C282" t="s">
        <v>709</v>
      </c>
      <c r="D282" t="s">
        <v>710</v>
      </c>
    </row>
    <row r="283" spans="1:4" x14ac:dyDescent="0.3">
      <c r="A283" t="s">
        <v>528</v>
      </c>
      <c r="B283" t="s">
        <v>529</v>
      </c>
      <c r="C283" t="s">
        <v>841</v>
      </c>
      <c r="D283" t="s">
        <v>842</v>
      </c>
    </row>
    <row r="284" spans="1:4" x14ac:dyDescent="0.3">
      <c r="A284" t="s">
        <v>528</v>
      </c>
      <c r="B284" t="s">
        <v>529</v>
      </c>
      <c r="C284" t="s">
        <v>781</v>
      </c>
      <c r="D284" t="s">
        <v>782</v>
      </c>
    </row>
    <row r="285" spans="1:4" x14ac:dyDescent="0.3">
      <c r="A285" t="s">
        <v>528</v>
      </c>
      <c r="B285" t="s">
        <v>529</v>
      </c>
      <c r="C285" t="s">
        <v>1030</v>
      </c>
      <c r="D285" t="s">
        <v>1031</v>
      </c>
    </row>
    <row r="286" spans="1:4" x14ac:dyDescent="0.3">
      <c r="A286" t="s">
        <v>528</v>
      </c>
      <c r="B286" t="s">
        <v>529</v>
      </c>
      <c r="C286" t="s">
        <v>886</v>
      </c>
      <c r="D286" t="s">
        <v>887</v>
      </c>
    </row>
    <row r="287" spans="1:4" x14ac:dyDescent="0.3">
      <c r="A287" t="s">
        <v>528</v>
      </c>
      <c r="B287" t="s">
        <v>529</v>
      </c>
      <c r="C287" t="s">
        <v>837</v>
      </c>
      <c r="D287" t="s">
        <v>838</v>
      </c>
    </row>
    <row r="288" spans="1:4" x14ac:dyDescent="0.3">
      <c r="A288" t="s">
        <v>528</v>
      </c>
      <c r="B288" t="s">
        <v>529</v>
      </c>
      <c r="C288" t="s">
        <v>705</v>
      </c>
      <c r="D288" t="s">
        <v>706</v>
      </c>
    </row>
    <row r="289" spans="1:4" x14ac:dyDescent="0.3">
      <c r="A289" t="s">
        <v>528</v>
      </c>
      <c r="B289" t="s">
        <v>529</v>
      </c>
      <c r="C289" t="s">
        <v>863</v>
      </c>
      <c r="D289" t="s">
        <v>864</v>
      </c>
    </row>
    <row r="290" spans="1:4" x14ac:dyDescent="0.3">
      <c r="A290" t="s">
        <v>528</v>
      </c>
      <c r="B290" t="s">
        <v>529</v>
      </c>
      <c r="C290" t="s">
        <v>695</v>
      </c>
      <c r="D290" t="s">
        <v>696</v>
      </c>
    </row>
    <row r="291" spans="1:4" x14ac:dyDescent="0.3">
      <c r="A291" t="s">
        <v>528</v>
      </c>
      <c r="B291" t="s">
        <v>529</v>
      </c>
      <c r="C291" t="s">
        <v>560</v>
      </c>
      <c r="D291" t="s">
        <v>561</v>
      </c>
    </row>
    <row r="292" spans="1:4" x14ac:dyDescent="0.3">
      <c r="A292" t="s">
        <v>528</v>
      </c>
      <c r="B292" t="s">
        <v>529</v>
      </c>
      <c r="C292" t="s">
        <v>665</v>
      </c>
      <c r="D292" t="s">
        <v>666</v>
      </c>
    </row>
    <row r="293" spans="1:4" x14ac:dyDescent="0.3">
      <c r="A293" t="s">
        <v>528</v>
      </c>
      <c r="B293" t="s">
        <v>529</v>
      </c>
      <c r="C293" t="s">
        <v>1014</v>
      </c>
      <c r="D293" t="s">
        <v>1015</v>
      </c>
    </row>
    <row r="294" spans="1:4" x14ac:dyDescent="0.3">
      <c r="A294" t="s">
        <v>528</v>
      </c>
      <c r="B294" t="s">
        <v>529</v>
      </c>
      <c r="C294" t="s">
        <v>807</v>
      </c>
      <c r="D294" t="s">
        <v>808</v>
      </c>
    </row>
    <row r="295" spans="1:4" x14ac:dyDescent="0.3">
      <c r="A295" t="s">
        <v>528</v>
      </c>
      <c r="B295" t="s">
        <v>529</v>
      </c>
      <c r="C295" t="s">
        <v>867</v>
      </c>
      <c r="D295" t="s">
        <v>868</v>
      </c>
    </row>
    <row r="296" spans="1:4" x14ac:dyDescent="0.3">
      <c r="A296" t="s">
        <v>528</v>
      </c>
      <c r="B296" t="s">
        <v>529</v>
      </c>
      <c r="C296" t="s">
        <v>829</v>
      </c>
      <c r="D296" t="s">
        <v>830</v>
      </c>
    </row>
    <row r="297" spans="1:4" x14ac:dyDescent="0.3">
      <c r="A297" t="s">
        <v>528</v>
      </c>
      <c r="B297" t="s">
        <v>529</v>
      </c>
      <c r="C297" t="s">
        <v>924</v>
      </c>
      <c r="D297" t="s">
        <v>925</v>
      </c>
    </row>
    <row r="298" spans="1:4" x14ac:dyDescent="0.3">
      <c r="A298" t="s">
        <v>528</v>
      </c>
      <c r="B298" t="s">
        <v>529</v>
      </c>
      <c r="C298" t="s">
        <v>759</v>
      </c>
      <c r="D298" t="s">
        <v>760</v>
      </c>
    </row>
    <row r="299" spans="1:4" x14ac:dyDescent="0.3">
      <c r="A299" t="s">
        <v>528</v>
      </c>
      <c r="B299" t="s">
        <v>529</v>
      </c>
      <c r="C299" t="s">
        <v>797</v>
      </c>
      <c r="D299" t="s">
        <v>798</v>
      </c>
    </row>
    <row r="300" spans="1:4" x14ac:dyDescent="0.3">
      <c r="A300" t="s">
        <v>528</v>
      </c>
      <c r="B300" t="s">
        <v>529</v>
      </c>
      <c r="C300" t="s">
        <v>168</v>
      </c>
      <c r="D300" t="s">
        <v>648</v>
      </c>
    </row>
    <row r="301" spans="1:4" x14ac:dyDescent="0.3">
      <c r="A301" t="s">
        <v>528</v>
      </c>
      <c r="B301" t="s">
        <v>529</v>
      </c>
      <c r="C301" t="s">
        <v>646</v>
      </c>
      <c r="D301" t="s">
        <v>647</v>
      </c>
    </row>
    <row r="302" spans="1:4" x14ac:dyDescent="0.3">
      <c r="A302" t="s">
        <v>528</v>
      </c>
      <c r="B302" t="s">
        <v>529</v>
      </c>
      <c r="C302" t="s">
        <v>649</v>
      </c>
      <c r="D302" t="s">
        <v>650</v>
      </c>
    </row>
    <row r="303" spans="1:4" x14ac:dyDescent="0.3">
      <c r="A303" t="s">
        <v>528</v>
      </c>
      <c r="B303" t="s">
        <v>529</v>
      </c>
      <c r="C303" t="s">
        <v>693</v>
      </c>
      <c r="D303" t="s">
        <v>694</v>
      </c>
    </row>
    <row r="304" spans="1:4" x14ac:dyDescent="0.3">
      <c r="A304" t="s">
        <v>528</v>
      </c>
      <c r="B304" t="s">
        <v>529</v>
      </c>
      <c r="C304" t="s">
        <v>946</v>
      </c>
      <c r="D304" t="s">
        <v>947</v>
      </c>
    </row>
    <row r="305" spans="1:4" x14ac:dyDescent="0.3">
      <c r="A305" t="s">
        <v>528</v>
      </c>
      <c r="B305" t="s">
        <v>529</v>
      </c>
      <c r="C305" t="s">
        <v>872</v>
      </c>
      <c r="D305" t="s">
        <v>873</v>
      </c>
    </row>
    <row r="306" spans="1:4" x14ac:dyDescent="0.3">
      <c r="A306" t="s">
        <v>528</v>
      </c>
      <c r="B306" t="s">
        <v>529</v>
      </c>
      <c r="C306" t="s">
        <v>827</v>
      </c>
      <c r="D306" t="s">
        <v>828</v>
      </c>
    </row>
    <row r="307" spans="1:4" x14ac:dyDescent="0.3">
      <c r="A307" t="s">
        <v>528</v>
      </c>
      <c r="B307" t="s">
        <v>529</v>
      </c>
      <c r="C307" t="s">
        <v>815</v>
      </c>
      <c r="D307" t="s">
        <v>816</v>
      </c>
    </row>
    <row r="308" spans="1:4" x14ac:dyDescent="0.3">
      <c r="A308" t="s">
        <v>528</v>
      </c>
      <c r="B308" t="s">
        <v>529</v>
      </c>
      <c r="C308" t="s">
        <v>570</v>
      </c>
      <c r="D308" t="s">
        <v>571</v>
      </c>
    </row>
    <row r="309" spans="1:4" x14ac:dyDescent="0.3">
      <c r="A309" t="s">
        <v>528</v>
      </c>
      <c r="B309" t="s">
        <v>529</v>
      </c>
      <c r="C309" t="s">
        <v>892</v>
      </c>
      <c r="D309" t="s">
        <v>893</v>
      </c>
    </row>
    <row r="310" spans="1:4" x14ac:dyDescent="0.3">
      <c r="A310" t="s">
        <v>528</v>
      </c>
      <c r="B310" t="s">
        <v>529</v>
      </c>
      <c r="C310" t="s">
        <v>644</v>
      </c>
      <c r="D310" t="s">
        <v>645</v>
      </c>
    </row>
    <row r="311" spans="1:4" x14ac:dyDescent="0.3">
      <c r="A311" t="s">
        <v>528</v>
      </c>
      <c r="B311" t="s">
        <v>529</v>
      </c>
      <c r="C311" t="s">
        <v>869</v>
      </c>
      <c r="D311" t="s">
        <v>4154</v>
      </c>
    </row>
    <row r="312" spans="1:4" x14ac:dyDescent="0.3">
      <c r="A312" t="s">
        <v>528</v>
      </c>
      <c r="B312" t="s">
        <v>529</v>
      </c>
      <c r="C312" t="s">
        <v>4152</v>
      </c>
      <c r="D312" t="s">
        <v>4153</v>
      </c>
    </row>
    <row r="313" spans="1:4" x14ac:dyDescent="0.3">
      <c r="A313" t="s">
        <v>528</v>
      </c>
      <c r="B313" t="s">
        <v>529</v>
      </c>
      <c r="C313" t="s">
        <v>630</v>
      </c>
      <c r="D313" t="s">
        <v>631</v>
      </c>
    </row>
    <row r="314" spans="1:4" x14ac:dyDescent="0.3">
      <c r="A314" t="s">
        <v>528</v>
      </c>
      <c r="B314" t="s">
        <v>529</v>
      </c>
      <c r="C314" t="s">
        <v>1034</v>
      </c>
      <c r="D314" t="s">
        <v>1035</v>
      </c>
    </row>
    <row r="315" spans="1:4" x14ac:dyDescent="0.3">
      <c r="A315" t="s">
        <v>528</v>
      </c>
      <c r="B315" t="s">
        <v>529</v>
      </c>
      <c r="C315" t="s">
        <v>1045</v>
      </c>
      <c r="D315" t="s">
        <v>1046</v>
      </c>
    </row>
    <row r="316" spans="1:4" x14ac:dyDescent="0.3">
      <c r="A316" t="s">
        <v>528</v>
      </c>
      <c r="B316" t="s">
        <v>529</v>
      </c>
      <c r="C316" t="s">
        <v>719</v>
      </c>
      <c r="D316" t="s">
        <v>720</v>
      </c>
    </row>
    <row r="317" spans="1:4" x14ac:dyDescent="0.3">
      <c r="A317" t="s">
        <v>528</v>
      </c>
      <c r="B317" t="s">
        <v>529</v>
      </c>
      <c r="C317" t="s">
        <v>638</v>
      </c>
      <c r="D317" t="s">
        <v>639</v>
      </c>
    </row>
    <row r="318" spans="1:4" x14ac:dyDescent="0.3">
      <c r="A318" t="s">
        <v>528</v>
      </c>
      <c r="B318" t="s">
        <v>529</v>
      </c>
      <c r="C318" t="s">
        <v>910</v>
      </c>
      <c r="D318" t="s">
        <v>911</v>
      </c>
    </row>
    <row r="319" spans="1:4" x14ac:dyDescent="0.3">
      <c r="A319" t="s">
        <v>528</v>
      </c>
      <c r="B319" t="s">
        <v>529</v>
      </c>
      <c r="C319" t="s">
        <v>542</v>
      </c>
      <c r="D319" t="s">
        <v>543</v>
      </c>
    </row>
    <row r="320" spans="1:4" x14ac:dyDescent="0.3">
      <c r="A320" t="s">
        <v>528</v>
      </c>
      <c r="B320" t="s">
        <v>529</v>
      </c>
      <c r="C320" t="s">
        <v>795</v>
      </c>
      <c r="D320" t="s">
        <v>796</v>
      </c>
    </row>
    <row r="321" spans="1:4" x14ac:dyDescent="0.3">
      <c r="A321" t="s">
        <v>528</v>
      </c>
      <c r="B321" t="s">
        <v>529</v>
      </c>
      <c r="C321" t="s">
        <v>809</v>
      </c>
      <c r="D321" t="s">
        <v>810</v>
      </c>
    </row>
    <row r="322" spans="1:4" x14ac:dyDescent="0.3">
      <c r="A322" t="s">
        <v>528</v>
      </c>
      <c r="B322" t="s">
        <v>529</v>
      </c>
      <c r="C322" t="s">
        <v>548</v>
      </c>
      <c r="D322" t="s">
        <v>549</v>
      </c>
    </row>
    <row r="323" spans="1:4" x14ac:dyDescent="0.3">
      <c r="A323" t="s">
        <v>528</v>
      </c>
      <c r="B323" t="s">
        <v>529</v>
      </c>
      <c r="C323" t="s">
        <v>576</v>
      </c>
      <c r="D323" t="s">
        <v>577</v>
      </c>
    </row>
    <row r="324" spans="1:4" x14ac:dyDescent="0.3">
      <c r="A324" t="s">
        <v>528</v>
      </c>
      <c r="B324" t="s">
        <v>529</v>
      </c>
      <c r="C324" t="s">
        <v>582</v>
      </c>
      <c r="D324" t="s">
        <v>583</v>
      </c>
    </row>
    <row r="325" spans="1:4" x14ac:dyDescent="0.3">
      <c r="A325" t="s">
        <v>528</v>
      </c>
      <c r="B325" t="s">
        <v>529</v>
      </c>
      <c r="C325" t="s">
        <v>663</v>
      </c>
      <c r="D325" t="s">
        <v>664</v>
      </c>
    </row>
    <row r="326" spans="1:4" x14ac:dyDescent="0.3">
      <c r="A326" t="s">
        <v>528</v>
      </c>
      <c r="B326" t="s">
        <v>529</v>
      </c>
      <c r="C326" t="s">
        <v>711</v>
      </c>
      <c r="D326" t="s">
        <v>712</v>
      </c>
    </row>
    <row r="327" spans="1:4" x14ac:dyDescent="0.3">
      <c r="A327" t="s">
        <v>528</v>
      </c>
      <c r="B327" t="s">
        <v>529</v>
      </c>
      <c r="C327" t="s">
        <v>715</v>
      </c>
      <c r="D327" t="s">
        <v>716</v>
      </c>
    </row>
    <row r="328" spans="1:4" x14ac:dyDescent="0.3">
      <c r="A328" t="s">
        <v>528</v>
      </c>
      <c r="B328" t="s">
        <v>529</v>
      </c>
      <c r="C328" t="s">
        <v>749</v>
      </c>
      <c r="D328" t="s">
        <v>750</v>
      </c>
    </row>
    <row r="329" spans="1:4" x14ac:dyDescent="0.3">
      <c r="A329" t="s">
        <v>528</v>
      </c>
      <c r="B329" t="s">
        <v>529</v>
      </c>
      <c r="C329" t="s">
        <v>751</v>
      </c>
      <c r="D329" t="s">
        <v>752</v>
      </c>
    </row>
    <row r="330" spans="1:4" x14ac:dyDescent="0.3">
      <c r="A330" t="s">
        <v>528</v>
      </c>
      <c r="B330" t="s">
        <v>529</v>
      </c>
      <c r="C330" t="s">
        <v>755</v>
      </c>
      <c r="D330" t="s">
        <v>756</v>
      </c>
    </row>
    <row r="331" spans="1:4" x14ac:dyDescent="0.3">
      <c r="A331" t="s">
        <v>528</v>
      </c>
      <c r="B331" t="s">
        <v>529</v>
      </c>
      <c r="C331" t="s">
        <v>906</v>
      </c>
      <c r="D331" t="s">
        <v>907</v>
      </c>
    </row>
    <row r="332" spans="1:4" x14ac:dyDescent="0.3">
      <c r="A332" t="s">
        <v>528</v>
      </c>
      <c r="B332" t="s">
        <v>529</v>
      </c>
      <c r="C332" t="s">
        <v>978</v>
      </c>
      <c r="D332" t="s">
        <v>979</v>
      </c>
    </row>
    <row r="333" spans="1:4" x14ac:dyDescent="0.3">
      <c r="A333" t="s">
        <v>528</v>
      </c>
      <c r="B333" t="s">
        <v>529</v>
      </c>
      <c r="C333" t="s">
        <v>1024</v>
      </c>
      <c r="D333" t="s">
        <v>1025</v>
      </c>
    </row>
    <row r="334" spans="1:4" x14ac:dyDescent="0.3">
      <c r="A334" t="s">
        <v>528</v>
      </c>
      <c r="B334" t="s">
        <v>529</v>
      </c>
      <c r="C334" t="s">
        <v>1026</v>
      </c>
      <c r="D334" t="s">
        <v>1027</v>
      </c>
    </row>
    <row r="335" spans="1:4" x14ac:dyDescent="0.3">
      <c r="A335" t="s">
        <v>528</v>
      </c>
      <c r="B335" t="s">
        <v>529</v>
      </c>
      <c r="C335" t="s">
        <v>1032</v>
      </c>
      <c r="D335" t="s">
        <v>1033</v>
      </c>
    </row>
    <row r="336" spans="1:4" x14ac:dyDescent="0.3">
      <c r="A336" t="s">
        <v>528</v>
      </c>
      <c r="B336" t="s">
        <v>529</v>
      </c>
      <c r="C336" t="s">
        <v>753</v>
      </c>
      <c r="D336" t="s">
        <v>754</v>
      </c>
    </row>
    <row r="337" spans="1:4" x14ac:dyDescent="0.3">
      <c r="A337" t="s">
        <v>528</v>
      </c>
      <c r="B337" t="s">
        <v>529</v>
      </c>
      <c r="C337" t="s">
        <v>564</v>
      </c>
      <c r="D337" t="s">
        <v>565</v>
      </c>
    </row>
    <row r="338" spans="1:4" x14ac:dyDescent="0.3">
      <c r="A338" t="s">
        <v>528</v>
      </c>
      <c r="B338" t="s">
        <v>529</v>
      </c>
      <c r="C338" t="s">
        <v>574</v>
      </c>
      <c r="D338" t="s">
        <v>575</v>
      </c>
    </row>
    <row r="339" spans="1:4" x14ac:dyDescent="0.3">
      <c r="A339" t="s">
        <v>528</v>
      </c>
      <c r="B339" t="s">
        <v>529</v>
      </c>
      <c r="C339" t="s">
        <v>590</v>
      </c>
      <c r="D339" t="s">
        <v>591</v>
      </c>
    </row>
    <row r="340" spans="1:4" x14ac:dyDescent="0.3">
      <c r="A340" t="s">
        <v>528</v>
      </c>
      <c r="B340" t="s">
        <v>529</v>
      </c>
      <c r="C340" t="s">
        <v>592</v>
      </c>
      <c r="D340" t="s">
        <v>593</v>
      </c>
    </row>
    <row r="341" spans="1:4" x14ac:dyDescent="0.3">
      <c r="A341" t="s">
        <v>528</v>
      </c>
      <c r="B341" t="s">
        <v>529</v>
      </c>
      <c r="C341" t="s">
        <v>596</v>
      </c>
      <c r="D341" t="s">
        <v>597</v>
      </c>
    </row>
    <row r="342" spans="1:4" x14ac:dyDescent="0.3">
      <c r="A342" t="s">
        <v>528</v>
      </c>
      <c r="B342" t="s">
        <v>529</v>
      </c>
      <c r="C342" t="s">
        <v>602</v>
      </c>
      <c r="D342" t="s">
        <v>603</v>
      </c>
    </row>
    <row r="343" spans="1:4" x14ac:dyDescent="0.3">
      <c r="A343" t="s">
        <v>528</v>
      </c>
      <c r="B343" t="s">
        <v>529</v>
      </c>
      <c r="C343" t="s">
        <v>606</v>
      </c>
      <c r="D343" t="s">
        <v>607</v>
      </c>
    </row>
    <row r="344" spans="1:4" x14ac:dyDescent="0.3">
      <c r="A344" t="s">
        <v>528</v>
      </c>
      <c r="B344" t="s">
        <v>529</v>
      </c>
      <c r="C344" t="s">
        <v>610</v>
      </c>
      <c r="D344" t="s">
        <v>611</v>
      </c>
    </row>
    <row r="345" spans="1:4" x14ac:dyDescent="0.3">
      <c r="A345" t="s">
        <v>528</v>
      </c>
      <c r="B345" t="s">
        <v>529</v>
      </c>
      <c r="C345" t="s">
        <v>651</v>
      </c>
      <c r="D345" t="s">
        <v>652</v>
      </c>
    </row>
    <row r="346" spans="1:4" x14ac:dyDescent="0.3">
      <c r="A346" t="s">
        <v>528</v>
      </c>
      <c r="B346" t="s">
        <v>529</v>
      </c>
      <c r="C346" t="s">
        <v>691</v>
      </c>
      <c r="D346" t="s">
        <v>692</v>
      </c>
    </row>
    <row r="347" spans="1:4" x14ac:dyDescent="0.3">
      <c r="A347" t="s">
        <v>528</v>
      </c>
      <c r="B347" t="s">
        <v>529</v>
      </c>
      <c r="C347" t="s">
        <v>777</v>
      </c>
      <c r="D347" t="s">
        <v>778</v>
      </c>
    </row>
    <row r="348" spans="1:4" x14ac:dyDescent="0.3">
      <c r="A348" t="s">
        <v>528</v>
      </c>
      <c r="B348" t="s">
        <v>529</v>
      </c>
      <c r="C348" t="s">
        <v>779</v>
      </c>
      <c r="D348" t="s">
        <v>780</v>
      </c>
    </row>
    <row r="349" spans="1:4" x14ac:dyDescent="0.3">
      <c r="A349" t="s">
        <v>528</v>
      </c>
      <c r="B349" t="s">
        <v>529</v>
      </c>
      <c r="C349" t="s">
        <v>783</v>
      </c>
      <c r="D349" t="s">
        <v>784</v>
      </c>
    </row>
    <row r="350" spans="1:4" x14ac:dyDescent="0.3">
      <c r="A350" t="s">
        <v>528</v>
      </c>
      <c r="B350" t="s">
        <v>529</v>
      </c>
      <c r="C350" t="s">
        <v>839</v>
      </c>
      <c r="D350" t="s">
        <v>840</v>
      </c>
    </row>
    <row r="351" spans="1:4" x14ac:dyDescent="0.3">
      <c r="A351" t="s">
        <v>528</v>
      </c>
      <c r="B351" t="s">
        <v>529</v>
      </c>
      <c r="C351" t="s">
        <v>855</v>
      </c>
      <c r="D351" t="s">
        <v>856</v>
      </c>
    </row>
    <row r="352" spans="1:4" x14ac:dyDescent="0.3">
      <c r="A352" t="s">
        <v>528</v>
      </c>
      <c r="B352" t="s">
        <v>529</v>
      </c>
      <c r="C352" t="s">
        <v>870</v>
      </c>
      <c r="D352" t="s">
        <v>871</v>
      </c>
    </row>
    <row r="353" spans="1:4" x14ac:dyDescent="0.3">
      <c r="A353" t="s">
        <v>528</v>
      </c>
      <c r="B353" t="s">
        <v>529</v>
      </c>
      <c r="C353" t="s">
        <v>900</v>
      </c>
      <c r="D353" t="s">
        <v>901</v>
      </c>
    </row>
    <row r="354" spans="1:4" x14ac:dyDescent="0.3">
      <c r="A354" t="s">
        <v>528</v>
      </c>
      <c r="B354" t="s">
        <v>529</v>
      </c>
      <c r="C354" t="s">
        <v>928</v>
      </c>
      <c r="D354" t="s">
        <v>929</v>
      </c>
    </row>
    <row r="355" spans="1:4" x14ac:dyDescent="0.3">
      <c r="A355" t="s">
        <v>528</v>
      </c>
      <c r="B355" t="s">
        <v>529</v>
      </c>
      <c r="C355" t="s">
        <v>614</v>
      </c>
      <c r="D355" t="s">
        <v>615</v>
      </c>
    </row>
    <row r="356" spans="1:4" x14ac:dyDescent="0.3">
      <c r="A356" t="s">
        <v>528</v>
      </c>
      <c r="B356" t="s">
        <v>529</v>
      </c>
      <c r="C356" t="s">
        <v>964</v>
      </c>
      <c r="D356" t="s">
        <v>965</v>
      </c>
    </row>
    <row r="357" spans="1:4" x14ac:dyDescent="0.3">
      <c r="A357" t="s">
        <v>528</v>
      </c>
      <c r="B357" t="s">
        <v>529</v>
      </c>
      <c r="C357" t="s">
        <v>972</v>
      </c>
      <c r="D357" t="s">
        <v>973</v>
      </c>
    </row>
    <row r="358" spans="1:4" x14ac:dyDescent="0.3">
      <c r="A358" t="s">
        <v>528</v>
      </c>
      <c r="B358" t="s">
        <v>529</v>
      </c>
      <c r="C358" t="s">
        <v>986</v>
      </c>
      <c r="D358" t="s">
        <v>987</v>
      </c>
    </row>
    <row r="359" spans="1:4" x14ac:dyDescent="0.3">
      <c r="A359" t="s">
        <v>528</v>
      </c>
      <c r="B359" t="s">
        <v>529</v>
      </c>
      <c r="C359" t="s">
        <v>994</v>
      </c>
      <c r="D359" t="s">
        <v>995</v>
      </c>
    </row>
    <row r="360" spans="1:4" x14ac:dyDescent="0.3">
      <c r="A360" t="s">
        <v>528</v>
      </c>
      <c r="B360" t="s">
        <v>529</v>
      </c>
      <c r="C360" t="s">
        <v>1000</v>
      </c>
      <c r="D360" t="s">
        <v>1001</v>
      </c>
    </row>
    <row r="361" spans="1:4" x14ac:dyDescent="0.3">
      <c r="A361" t="s">
        <v>528</v>
      </c>
      <c r="B361" t="s">
        <v>529</v>
      </c>
      <c r="C361" t="s">
        <v>1004</v>
      </c>
      <c r="D361" t="s">
        <v>1005</v>
      </c>
    </row>
    <row r="362" spans="1:4" x14ac:dyDescent="0.3">
      <c r="A362" t="s">
        <v>528</v>
      </c>
      <c r="B362" t="s">
        <v>529</v>
      </c>
      <c r="C362" t="s">
        <v>675</v>
      </c>
      <c r="D362" t="s">
        <v>676</v>
      </c>
    </row>
    <row r="363" spans="1:4" x14ac:dyDescent="0.3">
      <c r="A363" t="s">
        <v>528</v>
      </c>
      <c r="B363" t="s">
        <v>529</v>
      </c>
      <c r="C363" t="s">
        <v>833</v>
      </c>
      <c r="D363" t="s">
        <v>834</v>
      </c>
    </row>
    <row r="364" spans="1:4" x14ac:dyDescent="0.3">
      <c r="A364" t="s">
        <v>528</v>
      </c>
      <c r="B364" t="s">
        <v>529</v>
      </c>
      <c r="C364" t="s">
        <v>703</v>
      </c>
      <c r="D364" t="s">
        <v>704</v>
      </c>
    </row>
    <row r="365" spans="1:4" x14ac:dyDescent="0.3">
      <c r="A365" t="s">
        <v>528</v>
      </c>
      <c r="B365" t="s">
        <v>529</v>
      </c>
      <c r="C365" t="s">
        <v>922</v>
      </c>
      <c r="D365" t="s">
        <v>923</v>
      </c>
    </row>
    <row r="366" spans="1:4" x14ac:dyDescent="0.3">
      <c r="A366" t="s">
        <v>528</v>
      </c>
      <c r="B366" t="s">
        <v>529</v>
      </c>
      <c r="C366" t="s">
        <v>948</v>
      </c>
      <c r="D366" t="s">
        <v>949</v>
      </c>
    </row>
    <row r="367" spans="1:4" x14ac:dyDescent="0.3">
      <c r="A367" t="s">
        <v>528</v>
      </c>
      <c r="B367" t="s">
        <v>529</v>
      </c>
      <c r="C367" t="s">
        <v>1006</v>
      </c>
      <c r="D367" t="s">
        <v>1007</v>
      </c>
    </row>
    <row r="368" spans="1:4" x14ac:dyDescent="0.3">
      <c r="A368" t="s">
        <v>528</v>
      </c>
      <c r="B368" t="s">
        <v>529</v>
      </c>
      <c r="C368" t="s">
        <v>544</v>
      </c>
      <c r="D368" t="s">
        <v>545</v>
      </c>
    </row>
    <row r="369" spans="1:4" x14ac:dyDescent="0.3">
      <c r="A369" t="s">
        <v>528</v>
      </c>
      <c r="B369" t="s">
        <v>529</v>
      </c>
      <c r="C369" t="s">
        <v>679</v>
      </c>
      <c r="D369" t="s">
        <v>680</v>
      </c>
    </row>
    <row r="370" spans="1:4" x14ac:dyDescent="0.3">
      <c r="A370" t="s">
        <v>528</v>
      </c>
      <c r="B370" t="s">
        <v>529</v>
      </c>
      <c r="C370" t="s">
        <v>1039</v>
      </c>
      <c r="D370" t="s">
        <v>1040</v>
      </c>
    </row>
    <row r="371" spans="1:4" x14ac:dyDescent="0.3">
      <c r="A371" t="s">
        <v>528</v>
      </c>
      <c r="B371" t="s">
        <v>529</v>
      </c>
      <c r="C371" t="s">
        <v>970</v>
      </c>
      <c r="D371" t="s">
        <v>971</v>
      </c>
    </row>
    <row r="372" spans="1:4" x14ac:dyDescent="0.3">
      <c r="A372" t="s">
        <v>528</v>
      </c>
      <c r="B372" t="s">
        <v>529</v>
      </c>
      <c r="C372" t="s">
        <v>723</v>
      </c>
      <c r="D372" t="s">
        <v>724</v>
      </c>
    </row>
    <row r="373" spans="1:4" x14ac:dyDescent="0.3">
      <c r="A373" t="s">
        <v>528</v>
      </c>
      <c r="B373" t="s">
        <v>529</v>
      </c>
      <c r="C373" t="s">
        <v>793</v>
      </c>
      <c r="D373" t="s">
        <v>794</v>
      </c>
    </row>
    <row r="374" spans="1:4" x14ac:dyDescent="0.3">
      <c r="A374" t="s">
        <v>528</v>
      </c>
      <c r="B374" t="s">
        <v>529</v>
      </c>
      <c r="C374" t="s">
        <v>876</v>
      </c>
      <c r="D374" t="s">
        <v>877</v>
      </c>
    </row>
    <row r="375" spans="1:4" x14ac:dyDescent="0.3">
      <c r="A375" t="s">
        <v>528</v>
      </c>
      <c r="B375" t="s">
        <v>529</v>
      </c>
      <c r="C375" t="s">
        <v>769</v>
      </c>
      <c r="D375" t="s">
        <v>770</v>
      </c>
    </row>
    <row r="376" spans="1:4" x14ac:dyDescent="0.3">
      <c r="A376" t="s">
        <v>528</v>
      </c>
      <c r="B376" t="s">
        <v>529</v>
      </c>
      <c r="C376" t="s">
        <v>536</v>
      </c>
      <c r="D376" t="s">
        <v>537</v>
      </c>
    </row>
    <row r="377" spans="1:4" x14ac:dyDescent="0.3">
      <c r="A377" t="s">
        <v>528</v>
      </c>
      <c r="B377" t="s">
        <v>529</v>
      </c>
      <c r="C377" t="s">
        <v>586</v>
      </c>
      <c r="D377" t="s">
        <v>587</v>
      </c>
    </row>
    <row r="378" spans="1:4" x14ac:dyDescent="0.3">
      <c r="A378" t="s">
        <v>528</v>
      </c>
      <c r="B378" t="s">
        <v>529</v>
      </c>
      <c r="C378" t="s">
        <v>634</v>
      </c>
      <c r="D378" t="s">
        <v>635</v>
      </c>
    </row>
    <row r="379" spans="1:4" x14ac:dyDescent="0.3">
      <c r="A379" t="s">
        <v>528</v>
      </c>
      <c r="B379" t="s">
        <v>529</v>
      </c>
      <c r="C379" t="s">
        <v>729</v>
      </c>
      <c r="D379" t="s">
        <v>730</v>
      </c>
    </row>
    <row r="380" spans="1:4" x14ac:dyDescent="0.3">
      <c r="A380" t="s">
        <v>528</v>
      </c>
      <c r="B380" t="s">
        <v>529</v>
      </c>
      <c r="C380" t="s">
        <v>731</v>
      </c>
      <c r="D380" t="s">
        <v>732</v>
      </c>
    </row>
    <row r="381" spans="1:4" x14ac:dyDescent="0.3">
      <c r="A381" t="s">
        <v>528</v>
      </c>
      <c r="B381" t="s">
        <v>529</v>
      </c>
      <c r="C381" t="s">
        <v>771</v>
      </c>
      <c r="D381" t="s">
        <v>772</v>
      </c>
    </row>
    <row r="382" spans="1:4" x14ac:dyDescent="0.3">
      <c r="A382" t="s">
        <v>528</v>
      </c>
      <c r="B382" t="s">
        <v>529</v>
      </c>
      <c r="C382" t="s">
        <v>805</v>
      </c>
      <c r="D382" t="s">
        <v>806</v>
      </c>
    </row>
    <row r="383" spans="1:4" x14ac:dyDescent="0.3">
      <c r="A383" t="s">
        <v>528</v>
      </c>
      <c r="B383" t="s">
        <v>529</v>
      </c>
      <c r="C383" t="s">
        <v>817</v>
      </c>
      <c r="D383" t="s">
        <v>818</v>
      </c>
    </row>
    <row r="384" spans="1:4" x14ac:dyDescent="0.3">
      <c r="A384" t="s">
        <v>528</v>
      </c>
      <c r="B384" t="s">
        <v>529</v>
      </c>
      <c r="C384" t="s">
        <v>831</v>
      </c>
      <c r="D384" t="s">
        <v>832</v>
      </c>
    </row>
    <row r="385" spans="1:4" x14ac:dyDescent="0.3">
      <c r="A385" t="s">
        <v>528</v>
      </c>
      <c r="B385" t="s">
        <v>529</v>
      </c>
      <c r="C385" t="s">
        <v>835</v>
      </c>
      <c r="D385" t="s">
        <v>836</v>
      </c>
    </row>
    <row r="386" spans="1:4" x14ac:dyDescent="0.3">
      <c r="A386" t="s">
        <v>528</v>
      </c>
      <c r="B386" t="s">
        <v>529</v>
      </c>
      <c r="C386" t="s">
        <v>882</v>
      </c>
      <c r="D386" t="s">
        <v>883</v>
      </c>
    </row>
    <row r="387" spans="1:4" x14ac:dyDescent="0.3">
      <c r="A387" t="s">
        <v>528</v>
      </c>
      <c r="B387" t="s">
        <v>529</v>
      </c>
      <c r="C387" t="s">
        <v>998</v>
      </c>
      <c r="D387" t="s">
        <v>999</v>
      </c>
    </row>
    <row r="388" spans="1:4" x14ac:dyDescent="0.3">
      <c r="A388" t="s">
        <v>528</v>
      </c>
      <c r="B388" t="s">
        <v>529</v>
      </c>
      <c r="C388" t="s">
        <v>1036</v>
      </c>
      <c r="D388" t="s">
        <v>230</v>
      </c>
    </row>
    <row r="389" spans="1:4" x14ac:dyDescent="0.3">
      <c r="A389" t="s">
        <v>528</v>
      </c>
      <c r="B389" t="s">
        <v>529</v>
      </c>
      <c r="C389" t="s">
        <v>4267</v>
      </c>
      <c r="D389" t="s">
        <v>1908</v>
      </c>
    </row>
    <row r="390" spans="1:4" x14ac:dyDescent="0.3">
      <c r="A390" t="s">
        <v>528</v>
      </c>
      <c r="B390" t="s">
        <v>529</v>
      </c>
      <c r="C390" t="s">
        <v>859</v>
      </c>
      <c r="D390" t="s">
        <v>860</v>
      </c>
    </row>
    <row r="391" spans="1:4" x14ac:dyDescent="0.3">
      <c r="A391" t="s">
        <v>528</v>
      </c>
      <c r="B391" t="s">
        <v>529</v>
      </c>
      <c r="C391" t="s">
        <v>813</v>
      </c>
      <c r="D391" t="s">
        <v>814</v>
      </c>
    </row>
    <row r="392" spans="1:4" x14ac:dyDescent="0.3">
      <c r="A392" t="s">
        <v>528</v>
      </c>
      <c r="B392" t="s">
        <v>529</v>
      </c>
      <c r="C392" t="s">
        <v>552</v>
      </c>
      <c r="D392" t="s">
        <v>553</v>
      </c>
    </row>
    <row r="393" spans="1:4" x14ac:dyDescent="0.3">
      <c r="A393" t="s">
        <v>528</v>
      </c>
      <c r="B393" t="s">
        <v>529</v>
      </c>
      <c r="C393" t="s">
        <v>620</v>
      </c>
      <c r="D393" t="s">
        <v>621</v>
      </c>
    </row>
    <row r="394" spans="1:4" x14ac:dyDescent="0.3">
      <c r="A394" t="s">
        <v>528</v>
      </c>
      <c r="B394" t="s">
        <v>529</v>
      </c>
      <c r="C394" t="s">
        <v>636</v>
      </c>
      <c r="D394" t="s">
        <v>637</v>
      </c>
    </row>
    <row r="395" spans="1:4" x14ac:dyDescent="0.3">
      <c r="A395" t="s">
        <v>528</v>
      </c>
      <c r="B395" t="s">
        <v>529</v>
      </c>
      <c r="C395" t="s">
        <v>894</v>
      </c>
      <c r="D395" t="s">
        <v>895</v>
      </c>
    </row>
    <row r="396" spans="1:4" x14ac:dyDescent="0.3">
      <c r="A396" t="s">
        <v>528</v>
      </c>
      <c r="B396" t="s">
        <v>529</v>
      </c>
      <c r="C396" t="s">
        <v>761</v>
      </c>
      <c r="D396" t="s">
        <v>762</v>
      </c>
    </row>
    <row r="397" spans="1:4" x14ac:dyDescent="0.3">
      <c r="A397" t="s">
        <v>528</v>
      </c>
      <c r="B397" t="s">
        <v>529</v>
      </c>
      <c r="C397" t="s">
        <v>1010</v>
      </c>
      <c r="D397" t="s">
        <v>1011</v>
      </c>
    </row>
    <row r="398" spans="1:4" x14ac:dyDescent="0.3">
      <c r="A398" t="s">
        <v>528</v>
      </c>
      <c r="B398" t="s">
        <v>529</v>
      </c>
      <c r="C398" t="s">
        <v>699</v>
      </c>
      <c r="D398" t="s">
        <v>700</v>
      </c>
    </row>
    <row r="399" spans="1:4" x14ac:dyDescent="0.3">
      <c r="A399" t="s">
        <v>528</v>
      </c>
      <c r="B399" t="s">
        <v>529</v>
      </c>
      <c r="C399" t="s">
        <v>685</v>
      </c>
      <c r="D399" t="s">
        <v>686</v>
      </c>
    </row>
    <row r="400" spans="1:4" x14ac:dyDescent="0.3">
      <c r="A400" t="s">
        <v>528</v>
      </c>
      <c r="B400" t="s">
        <v>529</v>
      </c>
      <c r="C400" t="s">
        <v>655</v>
      </c>
      <c r="D400" t="s">
        <v>656</v>
      </c>
    </row>
    <row r="401" spans="1:4" x14ac:dyDescent="0.3">
      <c r="A401" t="s">
        <v>528</v>
      </c>
      <c r="B401" t="s">
        <v>529</v>
      </c>
      <c r="C401" t="s">
        <v>697</v>
      </c>
      <c r="D401" t="s">
        <v>698</v>
      </c>
    </row>
    <row r="402" spans="1:4" x14ac:dyDescent="0.3">
      <c r="A402" t="s">
        <v>528</v>
      </c>
      <c r="B402" t="s">
        <v>529</v>
      </c>
      <c r="C402" t="s">
        <v>745</v>
      </c>
      <c r="D402" t="s">
        <v>746</v>
      </c>
    </row>
    <row r="403" spans="1:4" x14ac:dyDescent="0.3">
      <c r="A403" t="s">
        <v>528</v>
      </c>
      <c r="B403" t="s">
        <v>529</v>
      </c>
      <c r="C403" t="s">
        <v>608</v>
      </c>
      <c r="D403" t="s">
        <v>609</v>
      </c>
    </row>
    <row r="404" spans="1:4" x14ac:dyDescent="0.3">
      <c r="A404" t="s">
        <v>528</v>
      </c>
      <c r="B404" t="s">
        <v>529</v>
      </c>
      <c r="C404" t="s">
        <v>936</v>
      </c>
      <c r="D404" t="s">
        <v>937</v>
      </c>
    </row>
    <row r="405" spans="1:4" x14ac:dyDescent="0.3">
      <c r="A405" t="s">
        <v>528</v>
      </c>
      <c r="B405" t="s">
        <v>529</v>
      </c>
      <c r="C405" t="s">
        <v>604</v>
      </c>
      <c r="D405" t="s">
        <v>605</v>
      </c>
    </row>
    <row r="406" spans="1:4" x14ac:dyDescent="0.3">
      <c r="A406" t="s">
        <v>528</v>
      </c>
      <c r="B406" t="s">
        <v>529</v>
      </c>
      <c r="C406" t="s">
        <v>884</v>
      </c>
      <c r="D406" t="s">
        <v>885</v>
      </c>
    </row>
    <row r="407" spans="1:4" x14ac:dyDescent="0.3">
      <c r="A407" t="s">
        <v>528</v>
      </c>
      <c r="B407" t="s">
        <v>529</v>
      </c>
      <c r="C407" t="s">
        <v>1012</v>
      </c>
      <c r="D407" t="s">
        <v>1013</v>
      </c>
    </row>
    <row r="408" spans="1:4" x14ac:dyDescent="0.3">
      <c r="A408" t="s">
        <v>528</v>
      </c>
      <c r="B408" t="s">
        <v>529</v>
      </c>
      <c r="C408" t="s">
        <v>932</v>
      </c>
      <c r="D408" t="s">
        <v>933</v>
      </c>
    </row>
    <row r="409" spans="1:4" x14ac:dyDescent="0.3">
      <c r="A409" t="s">
        <v>528</v>
      </c>
      <c r="B409" t="s">
        <v>529</v>
      </c>
      <c r="C409" t="s">
        <v>890</v>
      </c>
      <c r="D409" t="s">
        <v>891</v>
      </c>
    </row>
    <row r="410" spans="1:4" x14ac:dyDescent="0.3">
      <c r="A410" t="s">
        <v>528</v>
      </c>
      <c r="B410" t="s">
        <v>529</v>
      </c>
      <c r="C410" t="s">
        <v>628</v>
      </c>
      <c r="D410" t="s">
        <v>629</v>
      </c>
    </row>
    <row r="411" spans="1:4" x14ac:dyDescent="0.3">
      <c r="A411" t="s">
        <v>528</v>
      </c>
      <c r="B411" t="s">
        <v>529</v>
      </c>
      <c r="C411" t="s">
        <v>767</v>
      </c>
      <c r="D411" t="s">
        <v>768</v>
      </c>
    </row>
    <row r="412" spans="1:4" x14ac:dyDescent="0.3">
      <c r="A412" t="s">
        <v>528</v>
      </c>
      <c r="B412" t="s">
        <v>529</v>
      </c>
      <c r="C412" t="s">
        <v>847</v>
      </c>
      <c r="D412" t="s">
        <v>848</v>
      </c>
    </row>
    <row r="413" spans="1:4" x14ac:dyDescent="0.3">
      <c r="A413" t="s">
        <v>528</v>
      </c>
      <c r="B413" t="s">
        <v>529</v>
      </c>
      <c r="C413" t="s">
        <v>791</v>
      </c>
      <c r="D413" t="s">
        <v>792</v>
      </c>
    </row>
    <row r="414" spans="1:4" x14ac:dyDescent="0.3">
      <c r="A414" t="s">
        <v>528</v>
      </c>
      <c r="B414" t="s">
        <v>529</v>
      </c>
      <c r="C414" t="s">
        <v>968</v>
      </c>
      <c r="D414" t="s">
        <v>969</v>
      </c>
    </row>
    <row r="415" spans="1:4" x14ac:dyDescent="0.3">
      <c r="A415" t="s">
        <v>528</v>
      </c>
      <c r="B415" t="s">
        <v>529</v>
      </c>
      <c r="C415" t="s">
        <v>566</v>
      </c>
      <c r="D415" t="s">
        <v>567</v>
      </c>
    </row>
    <row r="416" spans="1:4" x14ac:dyDescent="0.3">
      <c r="A416" t="s">
        <v>528</v>
      </c>
      <c r="B416" t="s">
        <v>529</v>
      </c>
      <c r="C416" t="s">
        <v>1041</v>
      </c>
      <c r="D416" t="s">
        <v>1042</v>
      </c>
    </row>
    <row r="417" spans="1:4" x14ac:dyDescent="0.3">
      <c r="A417" t="s">
        <v>528</v>
      </c>
      <c r="B417" t="s">
        <v>529</v>
      </c>
      <c r="C417" t="s">
        <v>572</v>
      </c>
      <c r="D417" t="s">
        <v>573</v>
      </c>
    </row>
    <row r="418" spans="1:4" x14ac:dyDescent="0.3">
      <c r="A418" t="s">
        <v>528</v>
      </c>
      <c r="B418" t="s">
        <v>529</v>
      </c>
      <c r="C418" t="s">
        <v>618</v>
      </c>
      <c r="D418" t="s">
        <v>619</v>
      </c>
    </row>
    <row r="419" spans="1:4" x14ac:dyDescent="0.3">
      <c r="A419" t="s">
        <v>528</v>
      </c>
      <c r="B419" t="s">
        <v>529</v>
      </c>
      <c r="C419" t="s">
        <v>908</v>
      </c>
      <c r="D419" t="s">
        <v>909</v>
      </c>
    </row>
    <row r="420" spans="1:4" x14ac:dyDescent="0.3">
      <c r="A420" t="s">
        <v>528</v>
      </c>
      <c r="B420" t="s">
        <v>529</v>
      </c>
      <c r="C420" t="s">
        <v>739</v>
      </c>
      <c r="D420" t="s">
        <v>740</v>
      </c>
    </row>
    <row r="421" spans="1:4" x14ac:dyDescent="0.3">
      <c r="A421" t="s">
        <v>528</v>
      </c>
      <c r="B421" t="s">
        <v>529</v>
      </c>
      <c r="C421" t="s">
        <v>534</v>
      </c>
      <c r="D421" t="s">
        <v>535</v>
      </c>
    </row>
    <row r="422" spans="1:4" x14ac:dyDescent="0.3">
      <c r="A422" t="s">
        <v>528</v>
      </c>
      <c r="B422" t="s">
        <v>529</v>
      </c>
      <c r="C422" t="s">
        <v>554</v>
      </c>
      <c r="D422" t="s">
        <v>555</v>
      </c>
    </row>
    <row r="423" spans="1:4" x14ac:dyDescent="0.3">
      <c r="A423" t="s">
        <v>528</v>
      </c>
      <c r="B423" t="s">
        <v>529</v>
      </c>
      <c r="C423" t="s">
        <v>757</v>
      </c>
      <c r="D423" t="s">
        <v>758</v>
      </c>
    </row>
    <row r="424" spans="1:4" x14ac:dyDescent="0.3">
      <c r="A424" t="s">
        <v>528</v>
      </c>
      <c r="B424" t="s">
        <v>529</v>
      </c>
      <c r="C424" t="s">
        <v>713</v>
      </c>
      <c r="D424" t="s">
        <v>714</v>
      </c>
    </row>
    <row r="425" spans="1:4" x14ac:dyDescent="0.3">
      <c r="A425" t="s">
        <v>528</v>
      </c>
      <c r="B425" t="s">
        <v>529</v>
      </c>
      <c r="C425" t="s">
        <v>878</v>
      </c>
      <c r="D425" t="s">
        <v>879</v>
      </c>
    </row>
    <row r="426" spans="1:4" x14ac:dyDescent="0.3">
      <c r="A426" t="s">
        <v>528</v>
      </c>
      <c r="B426" t="s">
        <v>529</v>
      </c>
      <c r="C426" t="s">
        <v>952</v>
      </c>
      <c r="D426" t="s">
        <v>953</v>
      </c>
    </row>
    <row r="427" spans="1:4" x14ac:dyDescent="0.3">
      <c r="A427" t="s">
        <v>528</v>
      </c>
      <c r="B427" t="s">
        <v>529</v>
      </c>
      <c r="C427" t="s">
        <v>741</v>
      </c>
      <c r="D427" t="s">
        <v>742</v>
      </c>
    </row>
    <row r="428" spans="1:4" x14ac:dyDescent="0.3">
      <c r="A428" t="s">
        <v>528</v>
      </c>
      <c r="B428" t="s">
        <v>529</v>
      </c>
      <c r="C428" t="s">
        <v>843</v>
      </c>
      <c r="D428" t="s">
        <v>844</v>
      </c>
    </row>
    <row r="429" spans="1:4" x14ac:dyDescent="0.3">
      <c r="A429" t="s">
        <v>528</v>
      </c>
      <c r="B429" t="s">
        <v>529</v>
      </c>
      <c r="C429" t="s">
        <v>914</v>
      </c>
      <c r="D429" t="s">
        <v>915</v>
      </c>
    </row>
    <row r="430" spans="1:4" x14ac:dyDescent="0.3">
      <c r="A430" t="s">
        <v>528</v>
      </c>
      <c r="B430" t="s">
        <v>529</v>
      </c>
      <c r="C430" t="s">
        <v>1008</v>
      </c>
      <c r="D430" t="s">
        <v>1009</v>
      </c>
    </row>
    <row r="431" spans="1:4" x14ac:dyDescent="0.3">
      <c r="A431" t="s">
        <v>528</v>
      </c>
      <c r="B431" t="s">
        <v>529</v>
      </c>
      <c r="C431" t="s">
        <v>600</v>
      </c>
      <c r="D431" t="s">
        <v>601</v>
      </c>
    </row>
    <row r="432" spans="1:4" x14ac:dyDescent="0.3">
      <c r="A432" t="s">
        <v>528</v>
      </c>
      <c r="B432" t="s">
        <v>529</v>
      </c>
      <c r="C432" t="s">
        <v>540</v>
      </c>
      <c r="D432" t="s">
        <v>541</v>
      </c>
    </row>
    <row r="433" spans="1:4" x14ac:dyDescent="0.3">
      <c r="A433" t="s">
        <v>528</v>
      </c>
      <c r="B433" t="s">
        <v>529</v>
      </c>
      <c r="C433" t="s">
        <v>532</v>
      </c>
      <c r="D433" t="s">
        <v>533</v>
      </c>
    </row>
    <row r="434" spans="1:4" x14ac:dyDescent="0.3">
      <c r="A434" t="s">
        <v>528</v>
      </c>
      <c r="B434" t="s">
        <v>529</v>
      </c>
      <c r="C434" t="s">
        <v>896</v>
      </c>
      <c r="D434" t="s">
        <v>897</v>
      </c>
    </row>
    <row r="435" spans="1:4" x14ac:dyDescent="0.3">
      <c r="A435" t="s">
        <v>528</v>
      </c>
      <c r="B435" t="s">
        <v>529</v>
      </c>
      <c r="C435" t="s">
        <v>562</v>
      </c>
      <c r="D435" t="s">
        <v>563</v>
      </c>
    </row>
    <row r="436" spans="1:4" x14ac:dyDescent="0.3">
      <c r="A436" t="s">
        <v>528</v>
      </c>
      <c r="B436" t="s">
        <v>529</v>
      </c>
      <c r="C436" t="s">
        <v>661</v>
      </c>
      <c r="D436" t="s">
        <v>662</v>
      </c>
    </row>
    <row r="437" spans="1:4" x14ac:dyDescent="0.3">
      <c r="A437" t="s">
        <v>528</v>
      </c>
      <c r="B437" t="s">
        <v>529</v>
      </c>
      <c r="C437" t="s">
        <v>801</v>
      </c>
      <c r="D437" t="s">
        <v>802</v>
      </c>
    </row>
    <row r="438" spans="1:4" x14ac:dyDescent="0.3">
      <c r="A438" t="s">
        <v>528</v>
      </c>
      <c r="B438" t="s">
        <v>529</v>
      </c>
      <c r="C438" t="s">
        <v>811</v>
      </c>
      <c r="D438" t="s">
        <v>812</v>
      </c>
    </row>
    <row r="439" spans="1:4" x14ac:dyDescent="0.3">
      <c r="A439" t="s">
        <v>528</v>
      </c>
      <c r="B439" t="s">
        <v>529</v>
      </c>
      <c r="C439" t="s">
        <v>916</v>
      </c>
      <c r="D439" t="s">
        <v>917</v>
      </c>
    </row>
    <row r="440" spans="1:4" x14ac:dyDescent="0.3">
      <c r="A440" t="s">
        <v>528</v>
      </c>
      <c r="B440" t="s">
        <v>529</v>
      </c>
      <c r="C440" t="s">
        <v>912</v>
      </c>
      <c r="D440" t="s">
        <v>913</v>
      </c>
    </row>
    <row r="441" spans="1:4" x14ac:dyDescent="0.3">
      <c r="A441" t="s">
        <v>528</v>
      </c>
      <c r="B441" t="s">
        <v>529</v>
      </c>
      <c r="C441" t="s">
        <v>984</v>
      </c>
      <c r="D441" t="s">
        <v>985</v>
      </c>
    </row>
    <row r="442" spans="1:4" x14ac:dyDescent="0.3">
      <c r="A442" t="s">
        <v>528</v>
      </c>
      <c r="B442" t="s">
        <v>529</v>
      </c>
      <c r="C442" t="s">
        <v>785</v>
      </c>
      <c r="D442" t="s">
        <v>786</v>
      </c>
    </row>
    <row r="443" spans="1:4" x14ac:dyDescent="0.3">
      <c r="A443" t="s">
        <v>528</v>
      </c>
      <c r="B443" t="s">
        <v>529</v>
      </c>
      <c r="C443" t="s">
        <v>926</v>
      </c>
      <c r="D443" t="s">
        <v>927</v>
      </c>
    </row>
    <row r="444" spans="1:4" x14ac:dyDescent="0.3">
      <c r="A444" t="s">
        <v>528</v>
      </c>
      <c r="B444" t="s">
        <v>529</v>
      </c>
      <c r="C444" t="s">
        <v>657</v>
      </c>
      <c r="D444" t="s">
        <v>658</v>
      </c>
    </row>
    <row r="445" spans="1:4" x14ac:dyDescent="0.3">
      <c r="A445" t="s">
        <v>528</v>
      </c>
      <c r="B445" t="s">
        <v>529</v>
      </c>
      <c r="C445" t="s">
        <v>588</v>
      </c>
      <c r="D445" t="s">
        <v>589</v>
      </c>
    </row>
    <row r="446" spans="1:4" x14ac:dyDescent="0.3">
      <c r="A446" t="s">
        <v>528</v>
      </c>
      <c r="B446" t="s">
        <v>529</v>
      </c>
      <c r="C446" t="s">
        <v>653</v>
      </c>
      <c r="D446" t="s">
        <v>654</v>
      </c>
    </row>
    <row r="447" spans="1:4" x14ac:dyDescent="0.3">
      <c r="A447" t="s">
        <v>528</v>
      </c>
      <c r="B447" t="s">
        <v>529</v>
      </c>
      <c r="C447" t="s">
        <v>580</v>
      </c>
      <c r="D447" t="s">
        <v>581</v>
      </c>
    </row>
    <row r="448" spans="1:4" x14ac:dyDescent="0.3">
      <c r="A448" t="s">
        <v>528</v>
      </c>
      <c r="B448" t="s">
        <v>529</v>
      </c>
      <c r="C448" t="s">
        <v>823</v>
      </c>
      <c r="D448" t="s">
        <v>824</v>
      </c>
    </row>
    <row r="449" spans="1:4" x14ac:dyDescent="0.3">
      <c r="A449" t="s">
        <v>528</v>
      </c>
      <c r="B449" t="s">
        <v>529</v>
      </c>
      <c r="C449" t="s">
        <v>825</v>
      </c>
      <c r="D449" t="s">
        <v>826</v>
      </c>
    </row>
    <row r="450" spans="1:4" x14ac:dyDescent="0.3">
      <c r="A450" t="s">
        <v>528</v>
      </c>
      <c r="B450" t="s">
        <v>529</v>
      </c>
      <c r="C450" t="s">
        <v>717</v>
      </c>
      <c r="D450" t="s">
        <v>718</v>
      </c>
    </row>
    <row r="451" spans="1:4" x14ac:dyDescent="0.3">
      <c r="A451" t="s">
        <v>528</v>
      </c>
      <c r="B451" t="s">
        <v>529</v>
      </c>
      <c r="C451" t="s">
        <v>1002</v>
      </c>
      <c r="D451" t="s">
        <v>1003</v>
      </c>
    </row>
    <row r="452" spans="1:4" x14ac:dyDescent="0.3">
      <c r="A452" t="s">
        <v>528</v>
      </c>
      <c r="B452" t="s">
        <v>529</v>
      </c>
      <c r="C452" t="s">
        <v>707</v>
      </c>
      <c r="D452" t="s">
        <v>708</v>
      </c>
    </row>
    <row r="453" spans="1:4" x14ac:dyDescent="0.3">
      <c r="A453" t="s">
        <v>528</v>
      </c>
      <c r="B453" t="s">
        <v>529</v>
      </c>
      <c r="C453" t="s">
        <v>1043</v>
      </c>
      <c r="D453" t="s">
        <v>1044</v>
      </c>
    </row>
    <row r="454" spans="1:4" x14ac:dyDescent="0.3">
      <c r="A454" t="s">
        <v>528</v>
      </c>
      <c r="B454" t="s">
        <v>529</v>
      </c>
      <c r="C454" t="s">
        <v>944</v>
      </c>
      <c r="D454" t="s">
        <v>945</v>
      </c>
    </row>
    <row r="455" spans="1:4" x14ac:dyDescent="0.3">
      <c r="A455" t="s">
        <v>528</v>
      </c>
      <c r="B455" t="s">
        <v>529</v>
      </c>
      <c r="C455" t="s">
        <v>737</v>
      </c>
      <c r="D455" t="s">
        <v>738</v>
      </c>
    </row>
    <row r="456" spans="1:4" x14ac:dyDescent="0.3">
      <c r="A456" t="s">
        <v>528</v>
      </c>
      <c r="B456" t="s">
        <v>529</v>
      </c>
      <c r="C456" t="s">
        <v>747</v>
      </c>
      <c r="D456" t="s">
        <v>748</v>
      </c>
    </row>
    <row r="457" spans="1:4" x14ac:dyDescent="0.3">
      <c r="A457" t="s">
        <v>528</v>
      </c>
      <c r="B457" t="s">
        <v>529</v>
      </c>
      <c r="C457" t="s">
        <v>530</v>
      </c>
      <c r="D457" t="s">
        <v>531</v>
      </c>
    </row>
    <row r="458" spans="1:4" x14ac:dyDescent="0.3">
      <c r="A458" t="s">
        <v>528</v>
      </c>
      <c r="B458" t="s">
        <v>529</v>
      </c>
      <c r="C458" t="s">
        <v>853</v>
      </c>
      <c r="D458" t="s">
        <v>854</v>
      </c>
    </row>
    <row r="459" spans="1:4" x14ac:dyDescent="0.3">
      <c r="A459" t="s">
        <v>528</v>
      </c>
      <c r="B459" t="s">
        <v>529</v>
      </c>
      <c r="C459" t="s">
        <v>942</v>
      </c>
      <c r="D459" t="s">
        <v>943</v>
      </c>
    </row>
    <row r="460" spans="1:4" x14ac:dyDescent="0.3">
      <c r="A460" t="s">
        <v>528</v>
      </c>
      <c r="B460" t="s">
        <v>529</v>
      </c>
      <c r="C460" t="s">
        <v>677</v>
      </c>
      <c r="D460" t="s">
        <v>678</v>
      </c>
    </row>
    <row r="461" spans="1:4" x14ac:dyDescent="0.3">
      <c r="A461" t="s">
        <v>528</v>
      </c>
      <c r="B461" t="s">
        <v>529</v>
      </c>
      <c r="C461" t="s">
        <v>765</v>
      </c>
      <c r="D461" t="s">
        <v>766</v>
      </c>
    </row>
    <row r="462" spans="1:4" x14ac:dyDescent="0.3">
      <c r="A462" t="s">
        <v>528</v>
      </c>
      <c r="B462" t="s">
        <v>529</v>
      </c>
      <c r="C462" t="s">
        <v>727</v>
      </c>
      <c r="D462" t="s">
        <v>728</v>
      </c>
    </row>
    <row r="463" spans="1:4" x14ac:dyDescent="0.3">
      <c r="A463" t="s">
        <v>528</v>
      </c>
      <c r="B463" t="s">
        <v>529</v>
      </c>
      <c r="C463" t="s">
        <v>578</v>
      </c>
      <c r="D463" t="s">
        <v>579</v>
      </c>
    </row>
    <row r="464" spans="1:4" x14ac:dyDescent="0.3">
      <c r="A464" t="s">
        <v>528</v>
      </c>
      <c r="B464" t="s">
        <v>529</v>
      </c>
      <c r="C464" t="s">
        <v>950</v>
      </c>
      <c r="D464" t="s">
        <v>951</v>
      </c>
    </row>
    <row r="465" spans="1:4" x14ac:dyDescent="0.3">
      <c r="A465" t="s">
        <v>528</v>
      </c>
      <c r="B465" t="s">
        <v>529</v>
      </c>
      <c r="C465" t="s">
        <v>958</v>
      </c>
      <c r="D465" t="s">
        <v>959</v>
      </c>
    </row>
    <row r="466" spans="1:4" x14ac:dyDescent="0.3">
      <c r="A466" t="s">
        <v>528</v>
      </c>
      <c r="B466" t="s">
        <v>529</v>
      </c>
      <c r="C466" t="s">
        <v>956</v>
      </c>
      <c r="D466" t="s">
        <v>957</v>
      </c>
    </row>
    <row r="467" spans="1:4" x14ac:dyDescent="0.3">
      <c r="A467" t="s">
        <v>528</v>
      </c>
      <c r="B467" t="s">
        <v>529</v>
      </c>
      <c r="C467" t="s">
        <v>735</v>
      </c>
      <c r="D467" t="s">
        <v>736</v>
      </c>
    </row>
    <row r="468" spans="1:4" x14ac:dyDescent="0.3">
      <c r="A468" t="s">
        <v>528</v>
      </c>
      <c r="B468" t="s">
        <v>529</v>
      </c>
      <c r="C468" t="s">
        <v>954</v>
      </c>
      <c r="D468" t="s">
        <v>955</v>
      </c>
    </row>
    <row r="469" spans="1:4" x14ac:dyDescent="0.3">
      <c r="A469" t="s">
        <v>528</v>
      </c>
      <c r="B469" t="s">
        <v>529</v>
      </c>
      <c r="C469" t="s">
        <v>902</v>
      </c>
      <c r="D469" t="s">
        <v>903</v>
      </c>
    </row>
    <row r="470" spans="1:4" x14ac:dyDescent="0.3">
      <c r="A470" t="s">
        <v>528</v>
      </c>
      <c r="B470" t="s">
        <v>529</v>
      </c>
      <c r="C470" t="s">
        <v>865</v>
      </c>
      <c r="D470" t="s">
        <v>866</v>
      </c>
    </row>
    <row r="471" spans="1:4" x14ac:dyDescent="0.3">
      <c r="A471" t="s">
        <v>528</v>
      </c>
      <c r="B471" t="s">
        <v>529</v>
      </c>
      <c r="C471" t="s">
        <v>920</v>
      </c>
      <c r="D471" t="s">
        <v>921</v>
      </c>
    </row>
    <row r="472" spans="1:4" x14ac:dyDescent="0.3">
      <c r="A472" t="s">
        <v>528</v>
      </c>
      <c r="B472" t="s">
        <v>529</v>
      </c>
      <c r="C472" t="s">
        <v>763</v>
      </c>
      <c r="D472" t="s">
        <v>764</v>
      </c>
    </row>
    <row r="473" spans="1:4" x14ac:dyDescent="0.3">
      <c r="A473" t="s">
        <v>528</v>
      </c>
      <c r="B473" t="s">
        <v>529</v>
      </c>
      <c r="C473" t="s">
        <v>642</v>
      </c>
      <c r="D473" t="s">
        <v>643</v>
      </c>
    </row>
    <row r="474" spans="1:4" x14ac:dyDescent="0.3">
      <c r="A474" t="s">
        <v>528</v>
      </c>
      <c r="B474" t="s">
        <v>529</v>
      </c>
      <c r="C474" t="s">
        <v>1037</v>
      </c>
      <c r="D474" t="s">
        <v>1038</v>
      </c>
    </row>
    <row r="475" spans="1:4" x14ac:dyDescent="0.3">
      <c r="A475" t="s">
        <v>528</v>
      </c>
      <c r="B475" t="s">
        <v>529</v>
      </c>
      <c r="C475" t="s">
        <v>556</v>
      </c>
      <c r="D475" t="s">
        <v>557</v>
      </c>
    </row>
    <row r="476" spans="1:4" x14ac:dyDescent="0.3">
      <c r="A476" t="s">
        <v>528</v>
      </c>
      <c r="B476" t="s">
        <v>529</v>
      </c>
      <c r="C476" t="s">
        <v>1018</v>
      </c>
      <c r="D476" t="s">
        <v>1019</v>
      </c>
    </row>
    <row r="477" spans="1:4" x14ac:dyDescent="0.3">
      <c r="A477" t="s">
        <v>528</v>
      </c>
      <c r="B477" t="s">
        <v>529</v>
      </c>
      <c r="C477" t="s">
        <v>980</v>
      </c>
      <c r="D477" t="s">
        <v>981</v>
      </c>
    </row>
    <row r="478" spans="1:4" x14ac:dyDescent="0.3">
      <c r="A478" t="s">
        <v>528</v>
      </c>
      <c r="B478" t="s">
        <v>529</v>
      </c>
      <c r="C478" t="s">
        <v>988</v>
      </c>
      <c r="D478" t="s">
        <v>989</v>
      </c>
    </row>
    <row r="479" spans="1:4" x14ac:dyDescent="0.3">
      <c r="A479" t="s">
        <v>528</v>
      </c>
      <c r="B479" t="s">
        <v>529</v>
      </c>
      <c r="C479" t="s">
        <v>898</v>
      </c>
      <c r="D479" t="s">
        <v>899</v>
      </c>
    </row>
    <row r="480" spans="1:4" x14ac:dyDescent="0.3">
      <c r="A480" t="s">
        <v>528</v>
      </c>
      <c r="B480" t="s">
        <v>529</v>
      </c>
      <c r="C480" t="s">
        <v>743</v>
      </c>
      <c r="D480" t="s">
        <v>744</v>
      </c>
    </row>
    <row r="481" spans="1:4" x14ac:dyDescent="0.3">
      <c r="A481" t="s">
        <v>528</v>
      </c>
      <c r="B481" t="s">
        <v>529</v>
      </c>
      <c r="C481" t="s">
        <v>671</v>
      </c>
      <c r="D481" t="s">
        <v>672</v>
      </c>
    </row>
    <row r="482" spans="1:4" x14ac:dyDescent="0.3">
      <c r="A482" t="s">
        <v>528</v>
      </c>
      <c r="B482" t="s">
        <v>529</v>
      </c>
      <c r="C482" t="s">
        <v>1022</v>
      </c>
      <c r="D482" t="s">
        <v>1023</v>
      </c>
    </row>
    <row r="483" spans="1:4" x14ac:dyDescent="0.3">
      <c r="A483" t="s">
        <v>528</v>
      </c>
      <c r="B483" t="s">
        <v>529</v>
      </c>
      <c r="C483" t="s">
        <v>632</v>
      </c>
      <c r="D483" t="s">
        <v>633</v>
      </c>
    </row>
    <row r="484" spans="1:4" x14ac:dyDescent="0.3">
      <c r="A484" t="s">
        <v>528</v>
      </c>
      <c r="B484" t="s">
        <v>529</v>
      </c>
      <c r="C484" t="s">
        <v>624</v>
      </c>
      <c r="D484" t="s">
        <v>625</v>
      </c>
    </row>
    <row r="485" spans="1:4" x14ac:dyDescent="0.3">
      <c r="A485" t="s">
        <v>528</v>
      </c>
      <c r="B485" t="s">
        <v>529</v>
      </c>
      <c r="C485" t="s">
        <v>789</v>
      </c>
      <c r="D485" t="s">
        <v>790</v>
      </c>
    </row>
    <row r="486" spans="1:4" x14ac:dyDescent="0.3">
      <c r="A486" t="s">
        <v>528</v>
      </c>
      <c r="B486" t="s">
        <v>529</v>
      </c>
      <c r="C486" t="s">
        <v>725</v>
      </c>
      <c r="D486" t="s">
        <v>726</v>
      </c>
    </row>
    <row r="487" spans="1:4" x14ac:dyDescent="0.3">
      <c r="A487" t="s">
        <v>528</v>
      </c>
      <c r="B487" t="s">
        <v>529</v>
      </c>
      <c r="C487" t="s">
        <v>1028</v>
      </c>
      <c r="D487" t="s">
        <v>1029</v>
      </c>
    </row>
    <row r="488" spans="1:4" x14ac:dyDescent="0.3">
      <c r="A488" t="s">
        <v>528</v>
      </c>
      <c r="B488" t="s">
        <v>529</v>
      </c>
      <c r="C488" t="s">
        <v>773</v>
      </c>
      <c r="D488" t="s">
        <v>774</v>
      </c>
    </row>
    <row r="489" spans="1:4" x14ac:dyDescent="0.3">
      <c r="A489" t="s">
        <v>528</v>
      </c>
      <c r="B489" t="s">
        <v>529</v>
      </c>
      <c r="C489" t="s">
        <v>584</v>
      </c>
      <c r="D489" t="s">
        <v>585</v>
      </c>
    </row>
    <row r="490" spans="1:4" x14ac:dyDescent="0.3">
      <c r="A490" t="s">
        <v>528</v>
      </c>
      <c r="B490" t="s">
        <v>529</v>
      </c>
      <c r="C490" t="s">
        <v>821</v>
      </c>
      <c r="D490" t="s">
        <v>822</v>
      </c>
    </row>
    <row r="491" spans="1:4" x14ac:dyDescent="0.3">
      <c r="A491" t="s">
        <v>528</v>
      </c>
      <c r="B491" t="s">
        <v>529</v>
      </c>
      <c r="C491" t="s">
        <v>787</v>
      </c>
      <c r="D491" t="s">
        <v>788</v>
      </c>
    </row>
    <row r="492" spans="1:4" x14ac:dyDescent="0.3">
      <c r="A492" t="s">
        <v>528</v>
      </c>
      <c r="B492" t="s">
        <v>529</v>
      </c>
      <c r="C492" t="s">
        <v>960</v>
      </c>
      <c r="D492" t="s">
        <v>961</v>
      </c>
    </row>
    <row r="493" spans="1:4" x14ac:dyDescent="0.3">
      <c r="A493" t="s">
        <v>528</v>
      </c>
      <c r="B493" t="s">
        <v>529</v>
      </c>
      <c r="C493" t="s">
        <v>689</v>
      </c>
      <c r="D493" t="s">
        <v>690</v>
      </c>
    </row>
    <row r="494" spans="1:4" x14ac:dyDescent="0.3">
      <c r="A494" t="s">
        <v>528</v>
      </c>
      <c r="B494" t="s">
        <v>529</v>
      </c>
      <c r="C494" t="s">
        <v>799</v>
      </c>
      <c r="D494" t="s">
        <v>800</v>
      </c>
    </row>
    <row r="495" spans="1:4" x14ac:dyDescent="0.3">
      <c r="A495" t="s">
        <v>528</v>
      </c>
      <c r="B495" t="s">
        <v>529</v>
      </c>
      <c r="C495" t="s">
        <v>550</v>
      </c>
      <c r="D495" t="s">
        <v>551</v>
      </c>
    </row>
    <row r="496" spans="1:4" x14ac:dyDescent="0.3">
      <c r="A496" t="s">
        <v>528</v>
      </c>
      <c r="B496" t="s">
        <v>529</v>
      </c>
      <c r="C496" t="s">
        <v>819</v>
      </c>
      <c r="D496" t="s">
        <v>820</v>
      </c>
    </row>
    <row r="497" spans="1:4" x14ac:dyDescent="0.3">
      <c r="A497" t="s">
        <v>528</v>
      </c>
      <c r="B497" t="s">
        <v>529</v>
      </c>
      <c r="C497" t="s">
        <v>681</v>
      </c>
      <c r="D497" t="s">
        <v>682</v>
      </c>
    </row>
    <row r="498" spans="1:4" x14ac:dyDescent="0.3">
      <c r="A498" t="s">
        <v>528</v>
      </c>
      <c r="B498" t="s">
        <v>529</v>
      </c>
      <c r="C498" t="s">
        <v>701</v>
      </c>
      <c r="D498" t="s">
        <v>702</v>
      </c>
    </row>
    <row r="499" spans="1:4" x14ac:dyDescent="0.3">
      <c r="A499" t="s">
        <v>1047</v>
      </c>
      <c r="B499" t="s">
        <v>1048</v>
      </c>
      <c r="C499" t="s">
        <v>1055</v>
      </c>
      <c r="D499" t="s">
        <v>1056</v>
      </c>
    </row>
    <row r="500" spans="1:4" x14ac:dyDescent="0.3">
      <c r="A500" t="s">
        <v>1047</v>
      </c>
      <c r="B500" t="s">
        <v>1048</v>
      </c>
      <c r="C500" t="s">
        <v>1049</v>
      </c>
      <c r="D500" t="s">
        <v>1050</v>
      </c>
    </row>
    <row r="501" spans="1:4" x14ac:dyDescent="0.3">
      <c r="A501" t="s">
        <v>1047</v>
      </c>
      <c r="B501" t="s">
        <v>1048</v>
      </c>
      <c r="C501" t="s">
        <v>1051</v>
      </c>
      <c r="D501" t="s">
        <v>1052</v>
      </c>
    </row>
    <row r="502" spans="1:4" x14ac:dyDescent="0.3">
      <c r="A502" t="s">
        <v>1047</v>
      </c>
      <c r="B502" t="s">
        <v>1048</v>
      </c>
      <c r="C502" t="s">
        <v>1053</v>
      </c>
      <c r="D502" t="s">
        <v>1054</v>
      </c>
    </row>
    <row r="503" spans="1:4" x14ac:dyDescent="0.3">
      <c r="A503" t="s">
        <v>1047</v>
      </c>
      <c r="B503" t="s">
        <v>1048</v>
      </c>
      <c r="C503" t="s">
        <v>1063</v>
      </c>
      <c r="D503" t="s">
        <v>1064</v>
      </c>
    </row>
    <row r="504" spans="1:4" x14ac:dyDescent="0.3">
      <c r="A504" t="s">
        <v>1047</v>
      </c>
      <c r="B504" t="s">
        <v>1048</v>
      </c>
      <c r="C504" t="s">
        <v>1061</v>
      </c>
      <c r="D504" t="s">
        <v>1062</v>
      </c>
    </row>
    <row r="505" spans="1:4" x14ac:dyDescent="0.3">
      <c r="A505" t="s">
        <v>1047</v>
      </c>
      <c r="B505" t="s">
        <v>1048</v>
      </c>
      <c r="C505" t="s">
        <v>1059</v>
      </c>
      <c r="D505" t="s">
        <v>1060</v>
      </c>
    </row>
    <row r="506" spans="1:4" x14ac:dyDescent="0.3">
      <c r="A506" t="s">
        <v>1047</v>
      </c>
      <c r="B506" t="s">
        <v>1048</v>
      </c>
      <c r="C506" t="s">
        <v>1057</v>
      </c>
      <c r="D506" t="s">
        <v>1058</v>
      </c>
    </row>
    <row r="507" spans="1:4" x14ac:dyDescent="0.3">
      <c r="A507" t="s">
        <v>1065</v>
      </c>
      <c r="B507" t="s">
        <v>1066</v>
      </c>
      <c r="C507" t="s">
        <v>1135</v>
      </c>
      <c r="D507" t="s">
        <v>1136</v>
      </c>
    </row>
    <row r="508" spans="1:4" x14ac:dyDescent="0.3">
      <c r="A508" t="s">
        <v>1065</v>
      </c>
      <c r="B508" t="s">
        <v>1066</v>
      </c>
      <c r="C508" t="s">
        <v>1087</v>
      </c>
      <c r="D508" t="s">
        <v>1088</v>
      </c>
    </row>
    <row r="509" spans="1:4" x14ac:dyDescent="0.3">
      <c r="A509" t="s">
        <v>1065</v>
      </c>
      <c r="B509" t="s">
        <v>1066</v>
      </c>
      <c r="C509" t="s">
        <v>1091</v>
      </c>
      <c r="D509" t="s">
        <v>1092</v>
      </c>
    </row>
    <row r="510" spans="1:4" x14ac:dyDescent="0.3">
      <c r="A510" t="s">
        <v>1065</v>
      </c>
      <c r="B510" t="s">
        <v>1066</v>
      </c>
      <c r="C510" t="s">
        <v>1073</v>
      </c>
      <c r="D510" t="s">
        <v>1074</v>
      </c>
    </row>
    <row r="511" spans="1:4" x14ac:dyDescent="0.3">
      <c r="A511" t="s">
        <v>1065</v>
      </c>
      <c r="B511" t="s">
        <v>1066</v>
      </c>
      <c r="C511" t="s">
        <v>1127</v>
      </c>
      <c r="D511" t="s">
        <v>1128</v>
      </c>
    </row>
    <row r="512" spans="1:4" x14ac:dyDescent="0.3">
      <c r="A512" t="s">
        <v>1065</v>
      </c>
      <c r="B512" t="s">
        <v>1066</v>
      </c>
      <c r="C512" t="s">
        <v>1067</v>
      </c>
      <c r="D512" t="s">
        <v>1068</v>
      </c>
    </row>
    <row r="513" spans="1:4" x14ac:dyDescent="0.3">
      <c r="A513" t="s">
        <v>1065</v>
      </c>
      <c r="B513" t="s">
        <v>1066</v>
      </c>
      <c r="C513" t="s">
        <v>1115</v>
      </c>
      <c r="D513" t="s">
        <v>1116</v>
      </c>
    </row>
    <row r="514" spans="1:4" x14ac:dyDescent="0.3">
      <c r="A514" t="s">
        <v>1065</v>
      </c>
      <c r="B514" t="s">
        <v>1066</v>
      </c>
      <c r="C514" t="s">
        <v>1069</v>
      </c>
      <c r="D514" t="s">
        <v>1070</v>
      </c>
    </row>
    <row r="515" spans="1:4" x14ac:dyDescent="0.3">
      <c r="A515" t="s">
        <v>1065</v>
      </c>
      <c r="B515" t="s">
        <v>1066</v>
      </c>
      <c r="C515" t="s">
        <v>1079</v>
      </c>
      <c r="D515" t="s">
        <v>1080</v>
      </c>
    </row>
    <row r="516" spans="1:4" x14ac:dyDescent="0.3">
      <c r="A516" t="s">
        <v>1065</v>
      </c>
      <c r="B516" t="s">
        <v>1066</v>
      </c>
      <c r="C516" t="s">
        <v>1101</v>
      </c>
      <c r="D516" t="s">
        <v>1102</v>
      </c>
    </row>
    <row r="517" spans="1:4" x14ac:dyDescent="0.3">
      <c r="A517" t="s">
        <v>1065</v>
      </c>
      <c r="B517" t="s">
        <v>1066</v>
      </c>
      <c r="C517" t="s">
        <v>1111</v>
      </c>
      <c r="D517" t="s">
        <v>1112</v>
      </c>
    </row>
    <row r="518" spans="1:4" x14ac:dyDescent="0.3">
      <c r="A518" t="s">
        <v>1065</v>
      </c>
      <c r="B518" t="s">
        <v>1066</v>
      </c>
      <c r="C518" t="s">
        <v>1093</v>
      </c>
      <c r="D518" t="s">
        <v>1094</v>
      </c>
    </row>
    <row r="519" spans="1:4" x14ac:dyDescent="0.3">
      <c r="A519" t="s">
        <v>1065</v>
      </c>
      <c r="B519" t="s">
        <v>1066</v>
      </c>
      <c r="C519" t="s">
        <v>1129</v>
      </c>
      <c r="D519" t="s">
        <v>1130</v>
      </c>
    </row>
    <row r="520" spans="1:4" x14ac:dyDescent="0.3">
      <c r="A520" t="s">
        <v>1065</v>
      </c>
      <c r="B520" t="s">
        <v>1066</v>
      </c>
      <c r="C520" t="s">
        <v>1131</v>
      </c>
      <c r="D520" t="s">
        <v>1132</v>
      </c>
    </row>
    <row r="521" spans="1:4" x14ac:dyDescent="0.3">
      <c r="A521" t="s">
        <v>1065</v>
      </c>
      <c r="B521" t="s">
        <v>1066</v>
      </c>
      <c r="C521" t="s">
        <v>1143</v>
      </c>
      <c r="D521" t="s">
        <v>1144</v>
      </c>
    </row>
    <row r="522" spans="1:4" x14ac:dyDescent="0.3">
      <c r="A522" t="s">
        <v>1065</v>
      </c>
      <c r="B522" t="s">
        <v>1066</v>
      </c>
      <c r="C522" t="s">
        <v>1089</v>
      </c>
      <c r="D522" t="s">
        <v>1090</v>
      </c>
    </row>
    <row r="523" spans="1:4" x14ac:dyDescent="0.3">
      <c r="A523" t="s">
        <v>1065</v>
      </c>
      <c r="B523" t="s">
        <v>1066</v>
      </c>
      <c r="C523" t="s">
        <v>1071</v>
      </c>
      <c r="D523" t="s">
        <v>1072</v>
      </c>
    </row>
    <row r="524" spans="1:4" x14ac:dyDescent="0.3">
      <c r="A524" t="s">
        <v>1065</v>
      </c>
      <c r="B524" t="s">
        <v>1066</v>
      </c>
      <c r="C524" t="s">
        <v>1133</v>
      </c>
      <c r="D524" t="s">
        <v>1134</v>
      </c>
    </row>
    <row r="525" spans="1:4" x14ac:dyDescent="0.3">
      <c r="A525" t="s">
        <v>1065</v>
      </c>
      <c r="B525" t="s">
        <v>1066</v>
      </c>
      <c r="C525" t="s">
        <v>1113</v>
      </c>
      <c r="D525" t="s">
        <v>1114</v>
      </c>
    </row>
    <row r="526" spans="1:4" x14ac:dyDescent="0.3">
      <c r="A526" t="s">
        <v>1065</v>
      </c>
      <c r="B526" t="s">
        <v>1066</v>
      </c>
      <c r="C526" t="s">
        <v>1099</v>
      </c>
      <c r="D526" t="s">
        <v>1100</v>
      </c>
    </row>
    <row r="527" spans="1:4" x14ac:dyDescent="0.3">
      <c r="A527" t="s">
        <v>1065</v>
      </c>
      <c r="B527" t="s">
        <v>1066</v>
      </c>
      <c r="C527" t="s">
        <v>1125</v>
      </c>
      <c r="D527" t="s">
        <v>1126</v>
      </c>
    </row>
    <row r="528" spans="1:4" x14ac:dyDescent="0.3">
      <c r="A528" t="s">
        <v>1065</v>
      </c>
      <c r="B528" t="s">
        <v>1066</v>
      </c>
      <c r="C528" t="s">
        <v>1149</v>
      </c>
      <c r="D528" t="s">
        <v>1150</v>
      </c>
    </row>
    <row r="529" spans="1:4" x14ac:dyDescent="0.3">
      <c r="A529" t="s">
        <v>1065</v>
      </c>
      <c r="B529" t="s">
        <v>1066</v>
      </c>
      <c r="C529" t="s">
        <v>1075</v>
      </c>
      <c r="D529" t="s">
        <v>1076</v>
      </c>
    </row>
    <row r="530" spans="1:4" x14ac:dyDescent="0.3">
      <c r="A530" t="s">
        <v>1065</v>
      </c>
      <c r="B530" t="s">
        <v>1066</v>
      </c>
      <c r="C530" t="s">
        <v>1081</v>
      </c>
      <c r="D530" t="s">
        <v>1082</v>
      </c>
    </row>
    <row r="531" spans="1:4" x14ac:dyDescent="0.3">
      <c r="A531" t="s">
        <v>1065</v>
      </c>
      <c r="B531" t="s">
        <v>1066</v>
      </c>
      <c r="C531" t="s">
        <v>1147</v>
      </c>
      <c r="D531" t="s">
        <v>1148</v>
      </c>
    </row>
    <row r="532" spans="1:4" x14ac:dyDescent="0.3">
      <c r="A532" t="s">
        <v>1065</v>
      </c>
      <c r="B532" t="s">
        <v>1066</v>
      </c>
      <c r="C532" t="s">
        <v>1109</v>
      </c>
      <c r="D532" t="s">
        <v>1110</v>
      </c>
    </row>
    <row r="533" spans="1:4" x14ac:dyDescent="0.3">
      <c r="A533" t="s">
        <v>1065</v>
      </c>
      <c r="B533" t="s">
        <v>1066</v>
      </c>
      <c r="C533" t="s">
        <v>1119</v>
      </c>
      <c r="D533" t="s">
        <v>1120</v>
      </c>
    </row>
    <row r="534" spans="1:4" x14ac:dyDescent="0.3">
      <c r="A534" t="s">
        <v>1065</v>
      </c>
      <c r="B534" t="s">
        <v>1066</v>
      </c>
      <c r="C534" t="s">
        <v>1121</v>
      </c>
      <c r="D534" t="s">
        <v>1122</v>
      </c>
    </row>
    <row r="535" spans="1:4" x14ac:dyDescent="0.3">
      <c r="A535" t="s">
        <v>1065</v>
      </c>
      <c r="B535" t="s">
        <v>1066</v>
      </c>
      <c r="C535" t="s">
        <v>1107</v>
      </c>
      <c r="D535" t="s">
        <v>1108</v>
      </c>
    </row>
    <row r="536" spans="1:4" x14ac:dyDescent="0.3">
      <c r="A536" t="s">
        <v>1065</v>
      </c>
      <c r="B536" t="s">
        <v>1066</v>
      </c>
      <c r="C536" t="s">
        <v>1077</v>
      </c>
      <c r="D536" t="s">
        <v>1078</v>
      </c>
    </row>
    <row r="537" spans="1:4" x14ac:dyDescent="0.3">
      <c r="A537" t="s">
        <v>1065</v>
      </c>
      <c r="B537" t="s">
        <v>1066</v>
      </c>
      <c r="C537" t="s">
        <v>1083</v>
      </c>
      <c r="D537" t="s">
        <v>1084</v>
      </c>
    </row>
    <row r="538" spans="1:4" x14ac:dyDescent="0.3">
      <c r="A538" t="s">
        <v>1065</v>
      </c>
      <c r="B538" t="s">
        <v>1066</v>
      </c>
      <c r="C538" t="s">
        <v>1141</v>
      </c>
      <c r="D538" t="s">
        <v>1142</v>
      </c>
    </row>
    <row r="539" spans="1:4" x14ac:dyDescent="0.3">
      <c r="A539" t="s">
        <v>1065</v>
      </c>
      <c r="B539" t="s">
        <v>1066</v>
      </c>
      <c r="C539" t="s">
        <v>1151</v>
      </c>
      <c r="D539" t="s">
        <v>1152</v>
      </c>
    </row>
    <row r="540" spans="1:4" x14ac:dyDescent="0.3">
      <c r="A540" t="s">
        <v>1065</v>
      </c>
      <c r="B540" t="s">
        <v>1066</v>
      </c>
      <c r="C540" t="s">
        <v>1145</v>
      </c>
      <c r="D540" t="s">
        <v>1146</v>
      </c>
    </row>
    <row r="541" spans="1:4" x14ac:dyDescent="0.3">
      <c r="A541" t="s">
        <v>1065</v>
      </c>
      <c r="B541" t="s">
        <v>1066</v>
      </c>
      <c r="C541" t="s">
        <v>1097</v>
      </c>
      <c r="D541" t="s">
        <v>1098</v>
      </c>
    </row>
    <row r="542" spans="1:4" x14ac:dyDescent="0.3">
      <c r="A542" t="s">
        <v>1065</v>
      </c>
      <c r="B542" t="s">
        <v>1066</v>
      </c>
      <c r="C542" t="s">
        <v>1095</v>
      </c>
      <c r="D542" t="s">
        <v>1096</v>
      </c>
    </row>
    <row r="543" spans="1:4" x14ac:dyDescent="0.3">
      <c r="A543" t="s">
        <v>1065</v>
      </c>
      <c r="B543" t="s">
        <v>1066</v>
      </c>
      <c r="C543" t="s">
        <v>1085</v>
      </c>
      <c r="D543" t="s">
        <v>1086</v>
      </c>
    </row>
    <row r="544" spans="1:4" x14ac:dyDescent="0.3">
      <c r="A544" t="s">
        <v>1065</v>
      </c>
      <c r="B544" t="s">
        <v>1066</v>
      </c>
      <c r="C544" t="s">
        <v>1137</v>
      </c>
      <c r="D544" t="s">
        <v>1138</v>
      </c>
    </row>
    <row r="545" spans="1:4" x14ac:dyDescent="0.3">
      <c r="A545" t="s">
        <v>1065</v>
      </c>
      <c r="B545" t="s">
        <v>1066</v>
      </c>
      <c r="C545" t="s">
        <v>1103</v>
      </c>
      <c r="D545" t="s">
        <v>1104</v>
      </c>
    </row>
    <row r="546" spans="1:4" x14ac:dyDescent="0.3">
      <c r="A546" t="s">
        <v>1065</v>
      </c>
      <c r="B546" t="s">
        <v>1066</v>
      </c>
      <c r="C546" t="s">
        <v>1139</v>
      </c>
      <c r="D546" t="s">
        <v>1140</v>
      </c>
    </row>
    <row r="547" spans="1:4" x14ac:dyDescent="0.3">
      <c r="A547" t="s">
        <v>1065</v>
      </c>
      <c r="B547" t="s">
        <v>1066</v>
      </c>
      <c r="C547" t="s">
        <v>1117</v>
      </c>
      <c r="D547" t="s">
        <v>1118</v>
      </c>
    </row>
    <row r="548" spans="1:4" x14ac:dyDescent="0.3">
      <c r="A548" t="s">
        <v>1065</v>
      </c>
      <c r="B548" t="s">
        <v>1066</v>
      </c>
      <c r="C548" t="s">
        <v>1105</v>
      </c>
      <c r="D548" t="s">
        <v>1106</v>
      </c>
    </row>
    <row r="549" spans="1:4" x14ac:dyDescent="0.3">
      <c r="A549" t="s">
        <v>1065</v>
      </c>
      <c r="B549" t="s">
        <v>1066</v>
      </c>
      <c r="C549" t="s">
        <v>1123</v>
      </c>
      <c r="D549" t="s">
        <v>1124</v>
      </c>
    </row>
    <row r="550" spans="1:4" x14ac:dyDescent="0.3">
      <c r="A550" t="s">
        <v>1153</v>
      </c>
      <c r="B550" t="s">
        <v>1154</v>
      </c>
      <c r="C550" t="s">
        <v>1190</v>
      </c>
      <c r="D550" t="s">
        <v>1191</v>
      </c>
    </row>
    <row r="551" spans="1:4" x14ac:dyDescent="0.3">
      <c r="A551" t="s">
        <v>1153</v>
      </c>
      <c r="B551" t="s">
        <v>1154</v>
      </c>
      <c r="C551" t="s">
        <v>1182</v>
      </c>
      <c r="D551" t="s">
        <v>1183</v>
      </c>
    </row>
    <row r="552" spans="1:4" x14ac:dyDescent="0.3">
      <c r="A552" t="s">
        <v>1153</v>
      </c>
      <c r="B552" t="s">
        <v>1154</v>
      </c>
      <c r="C552" t="s">
        <v>1168</v>
      </c>
      <c r="D552" t="s">
        <v>1169</v>
      </c>
    </row>
    <row r="553" spans="1:4" x14ac:dyDescent="0.3">
      <c r="A553" t="s">
        <v>1153</v>
      </c>
      <c r="B553" t="s">
        <v>1154</v>
      </c>
      <c r="C553" t="s">
        <v>1174</v>
      </c>
      <c r="D553" t="s">
        <v>1175</v>
      </c>
    </row>
    <row r="554" spans="1:4" x14ac:dyDescent="0.3">
      <c r="A554" t="s">
        <v>1153</v>
      </c>
      <c r="B554" t="s">
        <v>1154</v>
      </c>
      <c r="C554" t="s">
        <v>1172</v>
      </c>
      <c r="D554" t="s">
        <v>1173</v>
      </c>
    </row>
    <row r="555" spans="1:4" x14ac:dyDescent="0.3">
      <c r="A555" t="s">
        <v>1153</v>
      </c>
      <c r="B555" t="s">
        <v>1154</v>
      </c>
      <c r="C555" t="s">
        <v>1160</v>
      </c>
      <c r="D555" t="s">
        <v>1161</v>
      </c>
    </row>
    <row r="556" spans="1:4" x14ac:dyDescent="0.3">
      <c r="A556" t="s">
        <v>1153</v>
      </c>
      <c r="B556" t="s">
        <v>1154</v>
      </c>
      <c r="C556" t="s">
        <v>1180</v>
      </c>
      <c r="D556" t="s">
        <v>1181</v>
      </c>
    </row>
    <row r="557" spans="1:4" x14ac:dyDescent="0.3">
      <c r="A557" t="s">
        <v>1153</v>
      </c>
      <c r="B557" t="s">
        <v>1154</v>
      </c>
      <c r="C557" t="s">
        <v>1188</v>
      </c>
      <c r="D557" t="s">
        <v>1189</v>
      </c>
    </row>
    <row r="558" spans="1:4" x14ac:dyDescent="0.3">
      <c r="A558" t="s">
        <v>1153</v>
      </c>
      <c r="B558" t="s">
        <v>1154</v>
      </c>
      <c r="C558" t="s">
        <v>1184</v>
      </c>
      <c r="D558" t="s">
        <v>1185</v>
      </c>
    </row>
    <row r="559" spans="1:4" x14ac:dyDescent="0.3">
      <c r="A559" t="s">
        <v>1153</v>
      </c>
      <c r="B559" t="s">
        <v>1154</v>
      </c>
      <c r="C559" t="s">
        <v>1186</v>
      </c>
      <c r="D559" t="s">
        <v>1187</v>
      </c>
    </row>
    <row r="560" spans="1:4" x14ac:dyDescent="0.3">
      <c r="A560" t="s">
        <v>1153</v>
      </c>
      <c r="B560" t="s">
        <v>1154</v>
      </c>
      <c r="C560" t="s">
        <v>1170</v>
      </c>
      <c r="D560" t="s">
        <v>1171</v>
      </c>
    </row>
    <row r="561" spans="1:4" x14ac:dyDescent="0.3">
      <c r="A561" t="s">
        <v>1153</v>
      </c>
      <c r="B561" t="s">
        <v>1154</v>
      </c>
      <c r="C561" t="s">
        <v>1196</v>
      </c>
      <c r="D561" t="s">
        <v>1197</v>
      </c>
    </row>
    <row r="562" spans="1:4" x14ac:dyDescent="0.3">
      <c r="A562" t="s">
        <v>1153</v>
      </c>
      <c r="B562" t="s">
        <v>1154</v>
      </c>
      <c r="C562" t="s">
        <v>1157</v>
      </c>
      <c r="D562" t="s">
        <v>1158</v>
      </c>
    </row>
    <row r="563" spans="1:4" x14ac:dyDescent="0.3">
      <c r="A563" t="s">
        <v>1153</v>
      </c>
      <c r="B563" t="s">
        <v>1154</v>
      </c>
      <c r="C563" t="s">
        <v>1178</v>
      </c>
      <c r="D563" t="s">
        <v>1179</v>
      </c>
    </row>
    <row r="564" spans="1:4" x14ac:dyDescent="0.3">
      <c r="A564" t="s">
        <v>1153</v>
      </c>
      <c r="B564" t="s">
        <v>1154</v>
      </c>
      <c r="C564" t="s">
        <v>4155</v>
      </c>
      <c r="D564" t="s">
        <v>4156</v>
      </c>
    </row>
    <row r="565" spans="1:4" x14ac:dyDescent="0.3">
      <c r="A565" t="s">
        <v>1153</v>
      </c>
      <c r="B565" t="s">
        <v>1154</v>
      </c>
      <c r="C565" t="s">
        <v>1192</v>
      </c>
      <c r="D565" t="s">
        <v>1193</v>
      </c>
    </row>
    <row r="566" spans="1:4" x14ac:dyDescent="0.3">
      <c r="A566" t="s">
        <v>1153</v>
      </c>
      <c r="B566" t="s">
        <v>1154</v>
      </c>
      <c r="C566" t="s">
        <v>1159</v>
      </c>
      <c r="D566" t="s">
        <v>4157</v>
      </c>
    </row>
    <row r="567" spans="1:4" x14ac:dyDescent="0.3">
      <c r="A567" t="s">
        <v>1153</v>
      </c>
      <c r="B567" t="s">
        <v>1154</v>
      </c>
      <c r="C567" t="s">
        <v>1166</v>
      </c>
      <c r="D567" t="s">
        <v>1167</v>
      </c>
    </row>
    <row r="568" spans="1:4" x14ac:dyDescent="0.3">
      <c r="A568" t="s">
        <v>1153</v>
      </c>
      <c r="B568" t="s">
        <v>1154</v>
      </c>
      <c r="C568" t="s">
        <v>1194</v>
      </c>
      <c r="D568" t="s">
        <v>1195</v>
      </c>
    </row>
    <row r="569" spans="1:4" x14ac:dyDescent="0.3">
      <c r="A569" t="s">
        <v>1153</v>
      </c>
      <c r="B569" t="s">
        <v>1154</v>
      </c>
      <c r="C569" t="s">
        <v>1164</v>
      </c>
      <c r="D569" t="s">
        <v>1165</v>
      </c>
    </row>
    <row r="570" spans="1:4" x14ac:dyDescent="0.3">
      <c r="A570" t="s">
        <v>1153</v>
      </c>
      <c r="B570" t="s">
        <v>1154</v>
      </c>
      <c r="C570" t="s">
        <v>1162</v>
      </c>
      <c r="D570" t="s">
        <v>1163</v>
      </c>
    </row>
    <row r="571" spans="1:4" x14ac:dyDescent="0.3">
      <c r="A571" t="s">
        <v>1153</v>
      </c>
      <c r="B571" t="s">
        <v>1154</v>
      </c>
      <c r="C571" t="s">
        <v>1176</v>
      </c>
      <c r="D571" t="s">
        <v>1177</v>
      </c>
    </row>
    <row r="572" spans="1:4" x14ac:dyDescent="0.3">
      <c r="A572" t="s">
        <v>1153</v>
      </c>
      <c r="B572" t="s">
        <v>1154</v>
      </c>
      <c r="C572" t="s">
        <v>1155</v>
      </c>
      <c r="D572" t="s">
        <v>1156</v>
      </c>
    </row>
    <row r="573" spans="1:4" x14ac:dyDescent="0.3">
      <c r="A573" t="s">
        <v>1198</v>
      </c>
      <c r="B573" t="s">
        <v>1199</v>
      </c>
      <c r="C573" t="s">
        <v>1228</v>
      </c>
      <c r="D573" t="s">
        <v>1229</v>
      </c>
    </row>
    <row r="574" spans="1:4" x14ac:dyDescent="0.3">
      <c r="A574" t="s">
        <v>1198</v>
      </c>
      <c r="B574" t="s">
        <v>1199</v>
      </c>
      <c r="C574" t="s">
        <v>1210</v>
      </c>
      <c r="D574" t="s">
        <v>1211</v>
      </c>
    </row>
    <row r="575" spans="1:4" x14ac:dyDescent="0.3">
      <c r="A575" t="s">
        <v>1198</v>
      </c>
      <c r="B575" t="s">
        <v>1199</v>
      </c>
      <c r="C575" t="s">
        <v>1230</v>
      </c>
      <c r="D575" t="s">
        <v>1231</v>
      </c>
    </row>
    <row r="576" spans="1:4" x14ac:dyDescent="0.3">
      <c r="A576" t="s">
        <v>1198</v>
      </c>
      <c r="B576" t="s">
        <v>1199</v>
      </c>
      <c r="C576" t="s">
        <v>1240</v>
      </c>
      <c r="D576" t="s">
        <v>1241</v>
      </c>
    </row>
    <row r="577" spans="1:4" x14ac:dyDescent="0.3">
      <c r="A577" t="s">
        <v>1198</v>
      </c>
      <c r="B577" t="s">
        <v>1199</v>
      </c>
      <c r="C577" t="s">
        <v>1200</v>
      </c>
      <c r="D577" t="s">
        <v>1201</v>
      </c>
    </row>
    <row r="578" spans="1:4" x14ac:dyDescent="0.3">
      <c r="A578" t="s">
        <v>1198</v>
      </c>
      <c r="B578" t="s">
        <v>1199</v>
      </c>
      <c r="C578" t="s">
        <v>1202</v>
      </c>
      <c r="D578" t="s">
        <v>1203</v>
      </c>
    </row>
    <row r="579" spans="1:4" x14ac:dyDescent="0.3">
      <c r="A579" t="s">
        <v>1198</v>
      </c>
      <c r="B579" t="s">
        <v>1199</v>
      </c>
      <c r="C579" t="s">
        <v>1208</v>
      </c>
      <c r="D579" t="s">
        <v>1209</v>
      </c>
    </row>
    <row r="580" spans="1:4" x14ac:dyDescent="0.3">
      <c r="A580" t="s">
        <v>1198</v>
      </c>
      <c r="B580" t="s">
        <v>1199</v>
      </c>
      <c r="C580" t="s">
        <v>1216</v>
      </c>
      <c r="D580" t="s">
        <v>1217</v>
      </c>
    </row>
    <row r="581" spans="1:4" x14ac:dyDescent="0.3">
      <c r="A581" t="s">
        <v>1198</v>
      </c>
      <c r="B581" t="s">
        <v>1199</v>
      </c>
      <c r="C581" t="s">
        <v>1220</v>
      </c>
      <c r="D581" t="s">
        <v>1221</v>
      </c>
    </row>
    <row r="582" spans="1:4" x14ac:dyDescent="0.3">
      <c r="A582" t="s">
        <v>1198</v>
      </c>
      <c r="B582" t="s">
        <v>1199</v>
      </c>
      <c r="C582" t="s">
        <v>1232</v>
      </c>
      <c r="D582" t="s">
        <v>1233</v>
      </c>
    </row>
    <row r="583" spans="1:4" x14ac:dyDescent="0.3">
      <c r="A583" t="s">
        <v>1198</v>
      </c>
      <c r="B583" t="s">
        <v>1199</v>
      </c>
      <c r="C583" t="s">
        <v>1218</v>
      </c>
      <c r="D583" t="s">
        <v>1219</v>
      </c>
    </row>
    <row r="584" spans="1:4" x14ac:dyDescent="0.3">
      <c r="A584" t="s">
        <v>1198</v>
      </c>
      <c r="B584" t="s">
        <v>1199</v>
      </c>
      <c r="C584" t="s">
        <v>1214</v>
      </c>
      <c r="D584" t="s">
        <v>1215</v>
      </c>
    </row>
    <row r="585" spans="1:4" x14ac:dyDescent="0.3">
      <c r="A585" t="s">
        <v>1198</v>
      </c>
      <c r="B585" t="s">
        <v>1199</v>
      </c>
      <c r="C585" t="s">
        <v>1206</v>
      </c>
      <c r="D585" t="s">
        <v>1207</v>
      </c>
    </row>
    <row r="586" spans="1:4" x14ac:dyDescent="0.3">
      <c r="A586" t="s">
        <v>1198</v>
      </c>
      <c r="B586" t="s">
        <v>1199</v>
      </c>
      <c r="C586" t="s">
        <v>1222</v>
      </c>
      <c r="D586" t="s">
        <v>1223</v>
      </c>
    </row>
    <row r="587" spans="1:4" x14ac:dyDescent="0.3">
      <c r="A587" t="s">
        <v>1198</v>
      </c>
      <c r="B587" t="s">
        <v>1199</v>
      </c>
      <c r="C587" t="s">
        <v>1236</v>
      </c>
      <c r="D587" t="s">
        <v>1237</v>
      </c>
    </row>
    <row r="588" spans="1:4" x14ac:dyDescent="0.3">
      <c r="A588" t="s">
        <v>1198</v>
      </c>
      <c r="B588" t="s">
        <v>1199</v>
      </c>
      <c r="C588" t="s">
        <v>1242</v>
      </c>
      <c r="D588" t="s">
        <v>1243</v>
      </c>
    </row>
    <row r="589" spans="1:4" x14ac:dyDescent="0.3">
      <c r="A589" t="s">
        <v>1198</v>
      </c>
      <c r="B589" t="s">
        <v>1199</v>
      </c>
      <c r="C589" t="s">
        <v>1234</v>
      </c>
      <c r="D589" t="s">
        <v>1235</v>
      </c>
    </row>
    <row r="590" spans="1:4" x14ac:dyDescent="0.3">
      <c r="A590" t="s">
        <v>1198</v>
      </c>
      <c r="B590" t="s">
        <v>1199</v>
      </c>
      <c r="C590" t="s">
        <v>1204</v>
      </c>
      <c r="D590" t="s">
        <v>1205</v>
      </c>
    </row>
    <row r="591" spans="1:4" x14ac:dyDescent="0.3">
      <c r="A591" t="s">
        <v>1198</v>
      </c>
      <c r="B591" t="s">
        <v>1199</v>
      </c>
      <c r="C591" t="s">
        <v>1224</v>
      </c>
      <c r="D591" t="s">
        <v>1225</v>
      </c>
    </row>
    <row r="592" spans="1:4" x14ac:dyDescent="0.3">
      <c r="A592" t="s">
        <v>1198</v>
      </c>
      <c r="B592" t="s">
        <v>1199</v>
      </c>
      <c r="C592" t="s">
        <v>1212</v>
      </c>
      <c r="D592" t="s">
        <v>1213</v>
      </c>
    </row>
    <row r="593" spans="1:4" x14ac:dyDescent="0.3">
      <c r="A593" t="s">
        <v>1198</v>
      </c>
      <c r="B593" t="s">
        <v>1199</v>
      </c>
      <c r="C593" t="s">
        <v>1226</v>
      </c>
      <c r="D593" t="s">
        <v>1227</v>
      </c>
    </row>
    <row r="594" spans="1:4" x14ac:dyDescent="0.3">
      <c r="A594" t="s">
        <v>1198</v>
      </c>
      <c r="B594" t="s">
        <v>1199</v>
      </c>
      <c r="C594" t="s">
        <v>1238</v>
      </c>
      <c r="D594" t="s">
        <v>1239</v>
      </c>
    </row>
    <row r="595" spans="1:4" x14ac:dyDescent="0.3">
      <c r="A595" t="s">
        <v>1244</v>
      </c>
      <c r="B595" t="s">
        <v>1245</v>
      </c>
      <c r="C595" t="s">
        <v>1246</v>
      </c>
      <c r="D595" t="s">
        <v>1247</v>
      </c>
    </row>
    <row r="596" spans="1:4" x14ac:dyDescent="0.3">
      <c r="A596" t="s">
        <v>1244</v>
      </c>
      <c r="B596" t="s">
        <v>1245</v>
      </c>
      <c r="C596" t="s">
        <v>1256</v>
      </c>
      <c r="D596" t="s">
        <v>1257</v>
      </c>
    </row>
    <row r="597" spans="1:4" x14ac:dyDescent="0.3">
      <c r="A597" t="s">
        <v>1244</v>
      </c>
      <c r="B597" t="s">
        <v>1245</v>
      </c>
      <c r="C597" t="s">
        <v>1250</v>
      </c>
      <c r="D597" t="s">
        <v>1251</v>
      </c>
    </row>
    <row r="598" spans="1:4" x14ac:dyDescent="0.3">
      <c r="A598" t="s">
        <v>1244</v>
      </c>
      <c r="B598" t="s">
        <v>1245</v>
      </c>
      <c r="C598" t="s">
        <v>1254</v>
      </c>
      <c r="D598" t="s">
        <v>1255</v>
      </c>
    </row>
    <row r="599" spans="1:4" x14ac:dyDescent="0.3">
      <c r="A599" t="s">
        <v>1244</v>
      </c>
      <c r="B599" t="s">
        <v>1245</v>
      </c>
      <c r="C599" t="s">
        <v>1260</v>
      </c>
      <c r="D599" t="s">
        <v>1261</v>
      </c>
    </row>
    <row r="600" spans="1:4" x14ac:dyDescent="0.3">
      <c r="A600" t="s">
        <v>1244</v>
      </c>
      <c r="B600" t="s">
        <v>1245</v>
      </c>
      <c r="C600" t="s">
        <v>1262</v>
      </c>
      <c r="D600" t="s">
        <v>1263</v>
      </c>
    </row>
    <row r="601" spans="1:4" x14ac:dyDescent="0.3">
      <c r="A601" t="s">
        <v>1244</v>
      </c>
      <c r="B601" t="s">
        <v>1245</v>
      </c>
      <c r="C601" t="s">
        <v>1248</v>
      </c>
      <c r="D601" t="s">
        <v>1249</v>
      </c>
    </row>
    <row r="602" spans="1:4" x14ac:dyDescent="0.3">
      <c r="A602" t="s">
        <v>1244</v>
      </c>
      <c r="B602" t="s">
        <v>1245</v>
      </c>
      <c r="C602" t="s">
        <v>1252</v>
      </c>
      <c r="D602" t="s">
        <v>1253</v>
      </c>
    </row>
    <row r="603" spans="1:4" x14ac:dyDescent="0.3">
      <c r="A603" t="s">
        <v>1244</v>
      </c>
      <c r="B603" t="s">
        <v>1245</v>
      </c>
      <c r="C603" t="s">
        <v>1258</v>
      </c>
      <c r="D603" t="s">
        <v>1259</v>
      </c>
    </row>
    <row r="604" spans="1:4" x14ac:dyDescent="0.3">
      <c r="A604" t="s">
        <v>1244</v>
      </c>
      <c r="B604" t="s">
        <v>1245</v>
      </c>
      <c r="C604" t="s">
        <v>1265</v>
      </c>
      <c r="D604" t="s">
        <v>1266</v>
      </c>
    </row>
    <row r="605" spans="1:4" x14ac:dyDescent="0.3">
      <c r="A605" t="s">
        <v>1244</v>
      </c>
      <c r="B605" t="s">
        <v>1245</v>
      </c>
      <c r="C605" t="s">
        <v>1264</v>
      </c>
      <c r="D605" t="s">
        <v>515</v>
      </c>
    </row>
    <row r="606" spans="1:4" x14ac:dyDescent="0.3">
      <c r="A606" t="s">
        <v>1267</v>
      </c>
      <c r="B606" t="s">
        <v>1268</v>
      </c>
      <c r="C606" t="s">
        <v>1273</v>
      </c>
      <c r="D606" t="s">
        <v>1274</v>
      </c>
    </row>
    <row r="607" spans="1:4" x14ac:dyDescent="0.3">
      <c r="A607" t="s">
        <v>1267</v>
      </c>
      <c r="B607" t="s">
        <v>1268</v>
      </c>
      <c r="C607" t="s">
        <v>1270</v>
      </c>
      <c r="D607" t="s">
        <v>4158</v>
      </c>
    </row>
    <row r="608" spans="1:4" x14ac:dyDescent="0.3">
      <c r="A608" t="s">
        <v>1267</v>
      </c>
      <c r="B608" t="s">
        <v>1268</v>
      </c>
      <c r="C608" t="s">
        <v>1271</v>
      </c>
      <c r="D608" t="s">
        <v>4159</v>
      </c>
    </row>
    <row r="609" spans="1:4" x14ac:dyDescent="0.3">
      <c r="A609" t="s">
        <v>1267</v>
      </c>
      <c r="B609" t="s">
        <v>1268</v>
      </c>
      <c r="C609" t="s">
        <v>1272</v>
      </c>
      <c r="D609" t="s">
        <v>4160</v>
      </c>
    </row>
    <row r="610" spans="1:4" x14ac:dyDescent="0.3">
      <c r="A610" t="s">
        <v>1267</v>
      </c>
      <c r="B610" t="s">
        <v>1268</v>
      </c>
      <c r="C610" t="s">
        <v>1275</v>
      </c>
      <c r="D610" t="s">
        <v>4161</v>
      </c>
    </row>
    <row r="611" spans="1:4" x14ac:dyDescent="0.3">
      <c r="A611" t="s">
        <v>1276</v>
      </c>
      <c r="B611" t="s">
        <v>1277</v>
      </c>
      <c r="C611" t="s">
        <v>1415</v>
      </c>
      <c r="D611" t="s">
        <v>1416</v>
      </c>
    </row>
    <row r="612" spans="1:4" x14ac:dyDescent="0.3">
      <c r="A612" t="s">
        <v>1276</v>
      </c>
      <c r="B612" t="s">
        <v>1277</v>
      </c>
      <c r="C612" t="s">
        <v>1324</v>
      </c>
      <c r="D612" t="s">
        <v>1325</v>
      </c>
    </row>
    <row r="613" spans="1:4" x14ac:dyDescent="0.3">
      <c r="A613" t="s">
        <v>1276</v>
      </c>
      <c r="B613" t="s">
        <v>1277</v>
      </c>
      <c r="C613" t="s">
        <v>1286</v>
      </c>
      <c r="D613" t="s">
        <v>1287</v>
      </c>
    </row>
    <row r="614" spans="1:4" x14ac:dyDescent="0.3">
      <c r="A614" t="s">
        <v>1276</v>
      </c>
      <c r="B614" t="s">
        <v>1277</v>
      </c>
      <c r="C614" t="s">
        <v>1459</v>
      </c>
      <c r="D614" t="s">
        <v>1460</v>
      </c>
    </row>
    <row r="615" spans="1:4" x14ac:dyDescent="0.3">
      <c r="A615" t="s">
        <v>1276</v>
      </c>
      <c r="B615" t="s">
        <v>1277</v>
      </c>
      <c r="C615" t="s">
        <v>1443</v>
      </c>
      <c r="D615" t="s">
        <v>1444</v>
      </c>
    </row>
    <row r="616" spans="1:4" x14ac:dyDescent="0.3">
      <c r="A616" t="s">
        <v>1276</v>
      </c>
      <c r="B616" t="s">
        <v>1277</v>
      </c>
      <c r="C616" t="s">
        <v>1349</v>
      </c>
      <c r="D616" t="s">
        <v>1350</v>
      </c>
    </row>
    <row r="617" spans="1:4" x14ac:dyDescent="0.3">
      <c r="A617" t="s">
        <v>1276</v>
      </c>
      <c r="B617" t="s">
        <v>1277</v>
      </c>
      <c r="C617" t="s">
        <v>1370</v>
      </c>
      <c r="D617" t="s">
        <v>1371</v>
      </c>
    </row>
    <row r="618" spans="1:4" x14ac:dyDescent="0.3">
      <c r="A618" t="s">
        <v>1276</v>
      </c>
      <c r="B618" t="s">
        <v>1277</v>
      </c>
      <c r="C618" t="s">
        <v>1356</v>
      </c>
      <c r="D618" t="s">
        <v>1357</v>
      </c>
    </row>
    <row r="619" spans="1:4" x14ac:dyDescent="0.3">
      <c r="A619" t="s">
        <v>1276</v>
      </c>
      <c r="B619" t="s">
        <v>1277</v>
      </c>
      <c r="C619" t="s">
        <v>1354</v>
      </c>
      <c r="D619" t="s">
        <v>1355</v>
      </c>
    </row>
    <row r="620" spans="1:4" x14ac:dyDescent="0.3">
      <c r="A620" t="s">
        <v>1276</v>
      </c>
      <c r="B620" t="s">
        <v>1277</v>
      </c>
      <c r="C620" t="s">
        <v>1358</v>
      </c>
      <c r="D620" t="s">
        <v>1359</v>
      </c>
    </row>
    <row r="621" spans="1:4" x14ac:dyDescent="0.3">
      <c r="A621" t="s">
        <v>1276</v>
      </c>
      <c r="B621" t="s">
        <v>1277</v>
      </c>
      <c r="C621" t="s">
        <v>1278</v>
      </c>
      <c r="D621" t="s">
        <v>1279</v>
      </c>
    </row>
    <row r="622" spans="1:4" x14ac:dyDescent="0.3">
      <c r="A622" t="s">
        <v>1276</v>
      </c>
      <c r="B622" t="s">
        <v>1277</v>
      </c>
      <c r="C622" t="s">
        <v>1296</v>
      </c>
      <c r="D622" t="s">
        <v>1297</v>
      </c>
    </row>
    <row r="623" spans="1:4" x14ac:dyDescent="0.3">
      <c r="A623" t="s">
        <v>1276</v>
      </c>
      <c r="B623" t="s">
        <v>1277</v>
      </c>
      <c r="C623" t="s">
        <v>1322</v>
      </c>
      <c r="D623" t="s">
        <v>1323</v>
      </c>
    </row>
    <row r="624" spans="1:4" x14ac:dyDescent="0.3">
      <c r="A624" t="s">
        <v>1276</v>
      </c>
      <c r="B624" t="s">
        <v>1277</v>
      </c>
      <c r="C624" t="s">
        <v>1417</v>
      </c>
      <c r="D624" t="s">
        <v>463</v>
      </c>
    </row>
    <row r="625" spans="1:4" x14ac:dyDescent="0.3">
      <c r="A625" t="s">
        <v>1276</v>
      </c>
      <c r="B625" t="s">
        <v>1277</v>
      </c>
      <c r="C625" t="s">
        <v>1388</v>
      </c>
      <c r="D625" t="s">
        <v>1389</v>
      </c>
    </row>
    <row r="626" spans="1:4" x14ac:dyDescent="0.3">
      <c r="A626" t="s">
        <v>1276</v>
      </c>
      <c r="B626" t="s">
        <v>1277</v>
      </c>
      <c r="C626" t="s">
        <v>1461</v>
      </c>
      <c r="D626" t="s">
        <v>1462</v>
      </c>
    </row>
    <row r="627" spans="1:4" x14ac:dyDescent="0.3">
      <c r="A627" t="s">
        <v>1276</v>
      </c>
      <c r="B627" t="s">
        <v>1277</v>
      </c>
      <c r="C627" t="s">
        <v>1312</v>
      </c>
      <c r="D627" t="s">
        <v>1313</v>
      </c>
    </row>
    <row r="628" spans="1:4" x14ac:dyDescent="0.3">
      <c r="A628" t="s">
        <v>1276</v>
      </c>
      <c r="B628" t="s">
        <v>1277</v>
      </c>
      <c r="C628" t="s">
        <v>1314</v>
      </c>
      <c r="D628" t="s">
        <v>1315</v>
      </c>
    </row>
    <row r="629" spans="1:4" x14ac:dyDescent="0.3">
      <c r="A629" t="s">
        <v>1276</v>
      </c>
      <c r="B629" t="s">
        <v>1277</v>
      </c>
      <c r="C629" t="s">
        <v>1316</v>
      </c>
      <c r="D629" t="s">
        <v>1317</v>
      </c>
    </row>
    <row r="630" spans="1:4" x14ac:dyDescent="0.3">
      <c r="A630" t="s">
        <v>1276</v>
      </c>
      <c r="B630" t="s">
        <v>1277</v>
      </c>
      <c r="C630" t="s">
        <v>1304</v>
      </c>
      <c r="D630" t="s">
        <v>1305</v>
      </c>
    </row>
    <row r="631" spans="1:4" x14ac:dyDescent="0.3">
      <c r="A631" t="s">
        <v>1276</v>
      </c>
      <c r="B631" t="s">
        <v>1277</v>
      </c>
      <c r="C631" t="s">
        <v>1306</v>
      </c>
      <c r="D631" t="s">
        <v>1307</v>
      </c>
    </row>
    <row r="632" spans="1:4" x14ac:dyDescent="0.3">
      <c r="A632" t="s">
        <v>1276</v>
      </c>
      <c r="B632" t="s">
        <v>1277</v>
      </c>
      <c r="C632" t="s">
        <v>1308</v>
      </c>
      <c r="D632" t="s">
        <v>1309</v>
      </c>
    </row>
    <row r="633" spans="1:4" x14ac:dyDescent="0.3">
      <c r="A633" t="s">
        <v>1276</v>
      </c>
      <c r="B633" t="s">
        <v>1277</v>
      </c>
      <c r="C633" t="s">
        <v>1302</v>
      </c>
      <c r="D633" t="s">
        <v>1303</v>
      </c>
    </row>
    <row r="634" spans="1:4" x14ac:dyDescent="0.3">
      <c r="A634" t="s">
        <v>1276</v>
      </c>
      <c r="B634" t="s">
        <v>1277</v>
      </c>
      <c r="C634" t="s">
        <v>1344</v>
      </c>
      <c r="D634" t="s">
        <v>1345</v>
      </c>
    </row>
    <row r="635" spans="1:4" x14ac:dyDescent="0.3">
      <c r="A635" t="s">
        <v>1276</v>
      </c>
      <c r="B635" t="s">
        <v>1277</v>
      </c>
      <c r="C635" t="s">
        <v>1320</v>
      </c>
      <c r="D635" t="s">
        <v>1321</v>
      </c>
    </row>
    <row r="636" spans="1:4" x14ac:dyDescent="0.3">
      <c r="A636" t="s">
        <v>1276</v>
      </c>
      <c r="B636" t="s">
        <v>1277</v>
      </c>
      <c r="C636" t="s">
        <v>4162</v>
      </c>
      <c r="D636" t="s">
        <v>4163</v>
      </c>
    </row>
    <row r="637" spans="1:4" x14ac:dyDescent="0.3">
      <c r="A637" t="s">
        <v>1276</v>
      </c>
      <c r="B637" t="s">
        <v>1277</v>
      </c>
      <c r="C637" t="s">
        <v>4164</v>
      </c>
      <c r="D637" t="s">
        <v>4165</v>
      </c>
    </row>
    <row r="638" spans="1:4" x14ac:dyDescent="0.3">
      <c r="A638" t="s">
        <v>1276</v>
      </c>
      <c r="B638" t="s">
        <v>1277</v>
      </c>
      <c r="C638" t="s">
        <v>1284</v>
      </c>
      <c r="D638" t="s">
        <v>1285</v>
      </c>
    </row>
    <row r="639" spans="1:4" x14ac:dyDescent="0.3">
      <c r="A639" t="s">
        <v>1276</v>
      </c>
      <c r="B639" t="s">
        <v>1277</v>
      </c>
      <c r="C639" t="s">
        <v>1318</v>
      </c>
      <c r="D639" t="s">
        <v>1319</v>
      </c>
    </row>
    <row r="640" spans="1:4" x14ac:dyDescent="0.3">
      <c r="A640" t="s">
        <v>1276</v>
      </c>
      <c r="B640" t="s">
        <v>1277</v>
      </c>
      <c r="C640" t="s">
        <v>1330</v>
      </c>
      <c r="D640" t="s">
        <v>1331</v>
      </c>
    </row>
    <row r="641" spans="1:4" x14ac:dyDescent="0.3">
      <c r="A641" t="s">
        <v>1276</v>
      </c>
      <c r="B641" t="s">
        <v>1277</v>
      </c>
      <c r="C641" t="s">
        <v>1362</v>
      </c>
      <c r="D641" t="s">
        <v>1363</v>
      </c>
    </row>
    <row r="642" spans="1:4" x14ac:dyDescent="0.3">
      <c r="A642" t="s">
        <v>1276</v>
      </c>
      <c r="B642" t="s">
        <v>1277</v>
      </c>
      <c r="C642" t="s">
        <v>1366</v>
      </c>
      <c r="D642" t="s">
        <v>1367</v>
      </c>
    </row>
    <row r="643" spans="1:4" x14ac:dyDescent="0.3">
      <c r="A643" t="s">
        <v>1276</v>
      </c>
      <c r="B643" t="s">
        <v>1277</v>
      </c>
      <c r="C643" t="s">
        <v>1374</v>
      </c>
      <c r="D643" t="s">
        <v>1375</v>
      </c>
    </row>
    <row r="644" spans="1:4" x14ac:dyDescent="0.3">
      <c r="A644" t="s">
        <v>1276</v>
      </c>
      <c r="B644" t="s">
        <v>1277</v>
      </c>
      <c r="C644" t="s">
        <v>1382</v>
      </c>
      <c r="D644" t="s">
        <v>1383</v>
      </c>
    </row>
    <row r="645" spans="1:4" x14ac:dyDescent="0.3">
      <c r="A645" t="s">
        <v>1276</v>
      </c>
      <c r="B645" t="s">
        <v>1277</v>
      </c>
      <c r="C645" t="s">
        <v>1386</v>
      </c>
      <c r="D645" t="s">
        <v>1387</v>
      </c>
    </row>
    <row r="646" spans="1:4" x14ac:dyDescent="0.3">
      <c r="A646" t="s">
        <v>1276</v>
      </c>
      <c r="B646" t="s">
        <v>1277</v>
      </c>
      <c r="C646" t="s">
        <v>1398</v>
      </c>
      <c r="D646" t="s">
        <v>1399</v>
      </c>
    </row>
    <row r="647" spans="1:4" x14ac:dyDescent="0.3">
      <c r="A647" t="s">
        <v>1276</v>
      </c>
      <c r="B647" t="s">
        <v>1277</v>
      </c>
      <c r="C647" t="s">
        <v>1411</v>
      </c>
      <c r="D647" t="s">
        <v>1412</v>
      </c>
    </row>
    <row r="648" spans="1:4" x14ac:dyDescent="0.3">
      <c r="A648" t="s">
        <v>1276</v>
      </c>
      <c r="B648" t="s">
        <v>1277</v>
      </c>
      <c r="C648" t="s">
        <v>1434</v>
      </c>
      <c r="D648" t="s">
        <v>1435</v>
      </c>
    </row>
    <row r="649" spans="1:4" x14ac:dyDescent="0.3">
      <c r="A649" t="s">
        <v>1276</v>
      </c>
      <c r="B649" t="s">
        <v>1277</v>
      </c>
      <c r="C649" t="s">
        <v>1438</v>
      </c>
      <c r="D649" t="s">
        <v>1439</v>
      </c>
    </row>
    <row r="650" spans="1:4" x14ac:dyDescent="0.3">
      <c r="A650" t="s">
        <v>1276</v>
      </c>
      <c r="B650" t="s">
        <v>1277</v>
      </c>
      <c r="C650" t="s">
        <v>1455</v>
      </c>
      <c r="D650" t="s">
        <v>1456</v>
      </c>
    </row>
    <row r="651" spans="1:4" x14ac:dyDescent="0.3">
      <c r="A651" t="s">
        <v>1276</v>
      </c>
      <c r="B651" t="s">
        <v>1277</v>
      </c>
      <c r="C651" t="s">
        <v>1469</v>
      </c>
      <c r="D651" t="s">
        <v>1470</v>
      </c>
    </row>
    <row r="652" spans="1:4" x14ac:dyDescent="0.3">
      <c r="A652" t="s">
        <v>1276</v>
      </c>
      <c r="B652" t="s">
        <v>1277</v>
      </c>
      <c r="C652" t="s">
        <v>1447</v>
      </c>
      <c r="D652" t="s">
        <v>1448</v>
      </c>
    </row>
    <row r="653" spans="1:4" x14ac:dyDescent="0.3">
      <c r="A653" t="s">
        <v>1276</v>
      </c>
      <c r="B653" t="s">
        <v>1277</v>
      </c>
      <c r="C653" t="s">
        <v>1378</v>
      </c>
      <c r="D653" t="s">
        <v>1379</v>
      </c>
    </row>
    <row r="654" spans="1:4" x14ac:dyDescent="0.3">
      <c r="A654" t="s">
        <v>1276</v>
      </c>
      <c r="B654" t="s">
        <v>1277</v>
      </c>
      <c r="C654" t="s">
        <v>1440</v>
      </c>
      <c r="D654" t="s">
        <v>493</v>
      </c>
    </row>
    <row r="655" spans="1:4" x14ac:dyDescent="0.3">
      <c r="A655" t="s">
        <v>1276</v>
      </c>
      <c r="B655" t="s">
        <v>1277</v>
      </c>
      <c r="C655" t="s">
        <v>1420</v>
      </c>
      <c r="D655" t="s">
        <v>1421</v>
      </c>
    </row>
    <row r="656" spans="1:4" x14ac:dyDescent="0.3">
      <c r="A656" t="s">
        <v>1276</v>
      </c>
      <c r="B656" t="s">
        <v>1277</v>
      </c>
      <c r="C656" t="s">
        <v>1402</v>
      </c>
      <c r="D656" t="s">
        <v>1403</v>
      </c>
    </row>
    <row r="657" spans="1:4" x14ac:dyDescent="0.3">
      <c r="A657" t="s">
        <v>1276</v>
      </c>
      <c r="B657" t="s">
        <v>1277</v>
      </c>
      <c r="C657" t="s">
        <v>1376</v>
      </c>
      <c r="D657" t="s">
        <v>1377</v>
      </c>
    </row>
    <row r="658" spans="1:4" x14ac:dyDescent="0.3">
      <c r="A658" t="s">
        <v>1276</v>
      </c>
      <c r="B658" t="s">
        <v>1277</v>
      </c>
      <c r="C658" t="s">
        <v>1347</v>
      </c>
      <c r="D658" t="s">
        <v>1348</v>
      </c>
    </row>
    <row r="659" spans="1:4" x14ac:dyDescent="0.3">
      <c r="A659" t="s">
        <v>1276</v>
      </c>
      <c r="B659" t="s">
        <v>1277</v>
      </c>
      <c r="C659" t="s">
        <v>1413</v>
      </c>
      <c r="D659" t="s">
        <v>1414</v>
      </c>
    </row>
    <row r="660" spans="1:4" x14ac:dyDescent="0.3">
      <c r="A660" t="s">
        <v>1276</v>
      </c>
      <c r="B660" t="s">
        <v>1277</v>
      </c>
      <c r="C660" t="s">
        <v>1465</v>
      </c>
      <c r="D660" t="s">
        <v>1466</v>
      </c>
    </row>
    <row r="661" spans="1:4" x14ac:dyDescent="0.3">
      <c r="A661" t="s">
        <v>1276</v>
      </c>
      <c r="B661" t="s">
        <v>1277</v>
      </c>
      <c r="C661" t="s">
        <v>1428</v>
      </c>
      <c r="D661" t="s">
        <v>1429</v>
      </c>
    </row>
    <row r="662" spans="1:4" x14ac:dyDescent="0.3">
      <c r="A662" t="s">
        <v>1276</v>
      </c>
      <c r="B662" t="s">
        <v>1277</v>
      </c>
      <c r="C662" t="s">
        <v>1300</v>
      </c>
      <c r="D662" t="s">
        <v>1301</v>
      </c>
    </row>
    <row r="663" spans="1:4" x14ac:dyDescent="0.3">
      <c r="A663" t="s">
        <v>1276</v>
      </c>
      <c r="B663" t="s">
        <v>1277</v>
      </c>
      <c r="C663" t="s">
        <v>1282</v>
      </c>
      <c r="D663" t="s">
        <v>1283</v>
      </c>
    </row>
    <row r="664" spans="1:4" x14ac:dyDescent="0.3">
      <c r="A664" t="s">
        <v>1276</v>
      </c>
      <c r="B664" t="s">
        <v>1277</v>
      </c>
      <c r="C664" t="s">
        <v>1432</v>
      </c>
      <c r="D664" t="s">
        <v>1433</v>
      </c>
    </row>
    <row r="665" spans="1:4" x14ac:dyDescent="0.3">
      <c r="A665" t="s">
        <v>1276</v>
      </c>
      <c r="B665" t="s">
        <v>1277</v>
      </c>
      <c r="C665" t="s">
        <v>1457</v>
      </c>
      <c r="D665" t="s">
        <v>1458</v>
      </c>
    </row>
    <row r="666" spans="1:4" x14ac:dyDescent="0.3">
      <c r="A666" t="s">
        <v>1276</v>
      </c>
      <c r="B666" t="s">
        <v>1277</v>
      </c>
      <c r="C666" t="s">
        <v>1346</v>
      </c>
      <c r="D666" t="s">
        <v>4166</v>
      </c>
    </row>
    <row r="667" spans="1:4" x14ac:dyDescent="0.3">
      <c r="A667" t="s">
        <v>1276</v>
      </c>
      <c r="B667" t="s">
        <v>1277</v>
      </c>
      <c r="C667" t="s">
        <v>1384</v>
      </c>
      <c r="D667" t="s">
        <v>1385</v>
      </c>
    </row>
    <row r="668" spans="1:4" x14ac:dyDescent="0.3">
      <c r="A668" t="s">
        <v>1276</v>
      </c>
      <c r="B668" t="s">
        <v>1277</v>
      </c>
      <c r="C668" t="s">
        <v>1426</v>
      </c>
      <c r="D668" t="s">
        <v>1427</v>
      </c>
    </row>
    <row r="669" spans="1:4" x14ac:dyDescent="0.3">
      <c r="A669" t="s">
        <v>1276</v>
      </c>
      <c r="B669" t="s">
        <v>1277</v>
      </c>
      <c r="C669" t="s">
        <v>1451</v>
      </c>
      <c r="D669" t="s">
        <v>1452</v>
      </c>
    </row>
    <row r="670" spans="1:4" x14ac:dyDescent="0.3">
      <c r="A670" t="s">
        <v>1276</v>
      </c>
      <c r="B670" t="s">
        <v>1277</v>
      </c>
      <c r="C670" t="s">
        <v>1394</v>
      </c>
      <c r="D670" t="s">
        <v>1395</v>
      </c>
    </row>
    <row r="671" spans="1:4" x14ac:dyDescent="0.3">
      <c r="A671" t="s">
        <v>1276</v>
      </c>
      <c r="B671" t="s">
        <v>1277</v>
      </c>
      <c r="C671" t="s">
        <v>1364</v>
      </c>
      <c r="D671" t="s">
        <v>1365</v>
      </c>
    </row>
    <row r="672" spans="1:4" x14ac:dyDescent="0.3">
      <c r="A672" t="s">
        <v>1276</v>
      </c>
      <c r="B672" t="s">
        <v>1277</v>
      </c>
      <c r="C672" t="s">
        <v>1298</v>
      </c>
      <c r="D672" t="s">
        <v>1299</v>
      </c>
    </row>
    <row r="673" spans="1:4" x14ac:dyDescent="0.3">
      <c r="A673" t="s">
        <v>1276</v>
      </c>
      <c r="B673" t="s">
        <v>1277</v>
      </c>
      <c r="C673" t="s">
        <v>1267</v>
      </c>
      <c r="D673" t="s">
        <v>1353</v>
      </c>
    </row>
    <row r="674" spans="1:4" x14ac:dyDescent="0.3">
      <c r="A674" t="s">
        <v>1276</v>
      </c>
      <c r="B674" t="s">
        <v>1277</v>
      </c>
      <c r="C674" t="s">
        <v>1328</v>
      </c>
      <c r="D674" t="s">
        <v>1329</v>
      </c>
    </row>
    <row r="675" spans="1:4" x14ac:dyDescent="0.3">
      <c r="A675" t="s">
        <v>1276</v>
      </c>
      <c r="B675" t="s">
        <v>1277</v>
      </c>
      <c r="C675" t="s">
        <v>1342</v>
      </c>
      <c r="D675" t="s">
        <v>1343</v>
      </c>
    </row>
    <row r="676" spans="1:4" x14ac:dyDescent="0.3">
      <c r="A676" t="s">
        <v>1276</v>
      </c>
      <c r="B676" t="s">
        <v>1277</v>
      </c>
      <c r="C676" t="s">
        <v>1332</v>
      </c>
      <c r="D676" t="s">
        <v>1333</v>
      </c>
    </row>
    <row r="677" spans="1:4" x14ac:dyDescent="0.3">
      <c r="A677" t="s">
        <v>1276</v>
      </c>
      <c r="B677" t="s">
        <v>1277</v>
      </c>
      <c r="C677" t="s">
        <v>1334</v>
      </c>
      <c r="D677" t="s">
        <v>1335</v>
      </c>
    </row>
    <row r="678" spans="1:4" x14ac:dyDescent="0.3">
      <c r="A678" t="s">
        <v>1276</v>
      </c>
      <c r="B678" t="s">
        <v>1277</v>
      </c>
      <c r="C678" t="s">
        <v>1360</v>
      </c>
      <c r="D678" t="s">
        <v>1361</v>
      </c>
    </row>
    <row r="679" spans="1:4" x14ac:dyDescent="0.3">
      <c r="A679" t="s">
        <v>1276</v>
      </c>
      <c r="B679" t="s">
        <v>1277</v>
      </c>
      <c r="C679" t="s">
        <v>1368</v>
      </c>
      <c r="D679" t="s">
        <v>1369</v>
      </c>
    </row>
    <row r="680" spans="1:4" x14ac:dyDescent="0.3">
      <c r="A680" t="s">
        <v>1276</v>
      </c>
      <c r="B680" t="s">
        <v>1277</v>
      </c>
      <c r="C680" t="s">
        <v>1372</v>
      </c>
      <c r="D680" t="s">
        <v>1373</v>
      </c>
    </row>
    <row r="681" spans="1:4" x14ac:dyDescent="0.3">
      <c r="A681" t="s">
        <v>1276</v>
      </c>
      <c r="B681" t="s">
        <v>1277</v>
      </c>
      <c r="C681" t="s">
        <v>1390</v>
      </c>
      <c r="D681" t="s">
        <v>1391</v>
      </c>
    </row>
    <row r="682" spans="1:4" x14ac:dyDescent="0.3">
      <c r="A682" t="s">
        <v>1276</v>
      </c>
      <c r="B682" t="s">
        <v>1277</v>
      </c>
      <c r="C682" t="s">
        <v>1392</v>
      </c>
      <c r="D682" t="s">
        <v>1393</v>
      </c>
    </row>
    <row r="683" spans="1:4" x14ac:dyDescent="0.3">
      <c r="A683" t="s">
        <v>1276</v>
      </c>
      <c r="B683" t="s">
        <v>1277</v>
      </c>
      <c r="C683" t="s">
        <v>1294</v>
      </c>
      <c r="D683" t="s">
        <v>1295</v>
      </c>
    </row>
    <row r="684" spans="1:4" x14ac:dyDescent="0.3">
      <c r="A684" t="s">
        <v>1276</v>
      </c>
      <c r="B684" t="s">
        <v>1277</v>
      </c>
      <c r="C684" t="s">
        <v>1400</v>
      </c>
      <c r="D684" t="s">
        <v>1401</v>
      </c>
    </row>
    <row r="685" spans="1:4" x14ac:dyDescent="0.3">
      <c r="A685" t="s">
        <v>1276</v>
      </c>
      <c r="B685" t="s">
        <v>1277</v>
      </c>
      <c r="C685" t="s">
        <v>1405</v>
      </c>
      <c r="D685" t="s">
        <v>1406</v>
      </c>
    </row>
    <row r="686" spans="1:4" x14ac:dyDescent="0.3">
      <c r="A686" t="s">
        <v>1276</v>
      </c>
      <c r="B686" t="s">
        <v>1277</v>
      </c>
      <c r="C686" t="s">
        <v>1409</v>
      </c>
      <c r="D686" t="s">
        <v>1410</v>
      </c>
    </row>
    <row r="687" spans="1:4" x14ac:dyDescent="0.3">
      <c r="A687" t="s">
        <v>1276</v>
      </c>
      <c r="B687" t="s">
        <v>1277</v>
      </c>
      <c r="C687" t="s">
        <v>1424</v>
      </c>
      <c r="D687" t="s">
        <v>1425</v>
      </c>
    </row>
    <row r="688" spans="1:4" x14ac:dyDescent="0.3">
      <c r="A688" t="s">
        <v>1276</v>
      </c>
      <c r="B688" t="s">
        <v>1277</v>
      </c>
      <c r="C688" t="s">
        <v>1430</v>
      </c>
      <c r="D688" t="s">
        <v>1431</v>
      </c>
    </row>
    <row r="689" spans="1:4" x14ac:dyDescent="0.3">
      <c r="A689" t="s">
        <v>1276</v>
      </c>
      <c r="B689" t="s">
        <v>1277</v>
      </c>
      <c r="C689" t="s">
        <v>1441</v>
      </c>
      <c r="D689" t="s">
        <v>1442</v>
      </c>
    </row>
    <row r="690" spans="1:4" x14ac:dyDescent="0.3">
      <c r="A690" t="s">
        <v>1276</v>
      </c>
      <c r="B690" t="s">
        <v>1277</v>
      </c>
      <c r="C690" t="s">
        <v>1445</v>
      </c>
      <c r="D690" t="s">
        <v>1446</v>
      </c>
    </row>
    <row r="691" spans="1:4" x14ac:dyDescent="0.3">
      <c r="A691" t="s">
        <v>1276</v>
      </c>
      <c r="B691" t="s">
        <v>1277</v>
      </c>
      <c r="C691" t="s">
        <v>1449</v>
      </c>
      <c r="D691" t="s">
        <v>1450</v>
      </c>
    </row>
    <row r="692" spans="1:4" x14ac:dyDescent="0.3">
      <c r="A692" t="s">
        <v>1276</v>
      </c>
      <c r="B692" t="s">
        <v>1277</v>
      </c>
      <c r="C692" t="s">
        <v>1453</v>
      </c>
      <c r="D692" t="s">
        <v>1454</v>
      </c>
    </row>
    <row r="693" spans="1:4" x14ac:dyDescent="0.3">
      <c r="A693" t="s">
        <v>1276</v>
      </c>
      <c r="B693" t="s">
        <v>1277</v>
      </c>
      <c r="C693" t="s">
        <v>1463</v>
      </c>
      <c r="D693" t="s">
        <v>1464</v>
      </c>
    </row>
    <row r="694" spans="1:4" x14ac:dyDescent="0.3">
      <c r="A694" t="s">
        <v>1276</v>
      </c>
      <c r="B694" t="s">
        <v>1277</v>
      </c>
      <c r="C694" t="s">
        <v>1467</v>
      </c>
      <c r="D694" t="s">
        <v>1468</v>
      </c>
    </row>
    <row r="695" spans="1:4" x14ac:dyDescent="0.3">
      <c r="A695" t="s">
        <v>1276</v>
      </c>
      <c r="B695" t="s">
        <v>1277</v>
      </c>
      <c r="C695" t="s">
        <v>1404</v>
      </c>
      <c r="D695" t="s">
        <v>431</v>
      </c>
    </row>
    <row r="696" spans="1:4" x14ac:dyDescent="0.3">
      <c r="A696" t="s">
        <v>1276</v>
      </c>
      <c r="B696" t="s">
        <v>1277</v>
      </c>
      <c r="C696" t="s">
        <v>1396</v>
      </c>
      <c r="D696" t="s">
        <v>1397</v>
      </c>
    </row>
    <row r="697" spans="1:4" x14ac:dyDescent="0.3">
      <c r="A697" t="s">
        <v>1276</v>
      </c>
      <c r="B697" t="s">
        <v>1277</v>
      </c>
      <c r="C697" t="s">
        <v>1380</v>
      </c>
      <c r="D697" t="s">
        <v>1381</v>
      </c>
    </row>
    <row r="698" spans="1:4" x14ac:dyDescent="0.3">
      <c r="A698" t="s">
        <v>1276</v>
      </c>
      <c r="B698" t="s">
        <v>1277</v>
      </c>
      <c r="C698" t="s">
        <v>1336</v>
      </c>
      <c r="D698" t="s">
        <v>1337</v>
      </c>
    </row>
    <row r="699" spans="1:4" x14ac:dyDescent="0.3">
      <c r="A699" t="s">
        <v>1276</v>
      </c>
      <c r="B699" t="s">
        <v>1277</v>
      </c>
      <c r="C699" t="s">
        <v>1326</v>
      </c>
      <c r="D699" t="s">
        <v>1327</v>
      </c>
    </row>
    <row r="700" spans="1:4" x14ac:dyDescent="0.3">
      <c r="A700" t="s">
        <v>1276</v>
      </c>
      <c r="B700" t="s">
        <v>1277</v>
      </c>
      <c r="C700" t="s">
        <v>1436</v>
      </c>
      <c r="D700" t="s">
        <v>1437</v>
      </c>
    </row>
    <row r="701" spans="1:4" x14ac:dyDescent="0.3">
      <c r="A701" t="s">
        <v>1276</v>
      </c>
      <c r="B701" t="s">
        <v>1277</v>
      </c>
      <c r="C701" t="s">
        <v>1422</v>
      </c>
      <c r="D701" t="s">
        <v>1423</v>
      </c>
    </row>
    <row r="702" spans="1:4" x14ac:dyDescent="0.3">
      <c r="A702" t="s">
        <v>1276</v>
      </c>
      <c r="B702" t="s">
        <v>1277</v>
      </c>
      <c r="C702" t="s">
        <v>1310</v>
      </c>
      <c r="D702" t="s">
        <v>1311</v>
      </c>
    </row>
    <row r="703" spans="1:4" x14ac:dyDescent="0.3">
      <c r="A703" t="s">
        <v>1276</v>
      </c>
      <c r="B703" t="s">
        <v>1277</v>
      </c>
      <c r="C703" t="s">
        <v>1292</v>
      </c>
      <c r="D703" t="s">
        <v>1293</v>
      </c>
    </row>
    <row r="704" spans="1:4" x14ac:dyDescent="0.3">
      <c r="A704" t="s">
        <v>1276</v>
      </c>
      <c r="B704" t="s">
        <v>1277</v>
      </c>
      <c r="C704" t="s">
        <v>1288</v>
      </c>
      <c r="D704" t="s">
        <v>1289</v>
      </c>
    </row>
    <row r="705" spans="1:4" x14ac:dyDescent="0.3">
      <c r="A705" t="s">
        <v>1276</v>
      </c>
      <c r="B705" t="s">
        <v>1277</v>
      </c>
      <c r="C705" t="s">
        <v>1290</v>
      </c>
      <c r="D705" t="s">
        <v>1291</v>
      </c>
    </row>
    <row r="706" spans="1:4" x14ac:dyDescent="0.3">
      <c r="A706" t="s">
        <v>1276</v>
      </c>
      <c r="B706" t="s">
        <v>1277</v>
      </c>
      <c r="C706" t="s">
        <v>1407</v>
      </c>
      <c r="D706" t="s">
        <v>1408</v>
      </c>
    </row>
    <row r="707" spans="1:4" x14ac:dyDescent="0.3">
      <c r="A707" t="s">
        <v>1276</v>
      </c>
      <c r="B707" t="s">
        <v>1277</v>
      </c>
      <c r="C707" t="s">
        <v>1418</v>
      </c>
      <c r="D707" t="s">
        <v>1419</v>
      </c>
    </row>
    <row r="708" spans="1:4" x14ac:dyDescent="0.3">
      <c r="A708" t="s">
        <v>1276</v>
      </c>
      <c r="B708" t="s">
        <v>1277</v>
      </c>
      <c r="C708" t="s">
        <v>1351</v>
      </c>
      <c r="D708" t="s">
        <v>1352</v>
      </c>
    </row>
    <row r="709" spans="1:4" x14ac:dyDescent="0.3">
      <c r="A709" t="s">
        <v>1276</v>
      </c>
      <c r="B709" t="s">
        <v>1277</v>
      </c>
      <c r="C709" t="s">
        <v>1340</v>
      </c>
      <c r="D709" t="s">
        <v>1341</v>
      </c>
    </row>
    <row r="710" spans="1:4" x14ac:dyDescent="0.3">
      <c r="A710" t="s">
        <v>1276</v>
      </c>
      <c r="B710" t="s">
        <v>1277</v>
      </c>
      <c r="C710" t="s">
        <v>1338</v>
      </c>
      <c r="D710" t="s">
        <v>1339</v>
      </c>
    </row>
    <row r="711" spans="1:4" x14ac:dyDescent="0.3">
      <c r="A711" t="s">
        <v>1276</v>
      </c>
      <c r="B711" t="s">
        <v>1277</v>
      </c>
      <c r="C711" t="s">
        <v>1280</v>
      </c>
      <c r="D711" t="s">
        <v>1281</v>
      </c>
    </row>
    <row r="712" spans="1:4" x14ac:dyDescent="0.3">
      <c r="A712" t="s">
        <v>1471</v>
      </c>
      <c r="B712" t="s">
        <v>1472</v>
      </c>
      <c r="C712" t="s">
        <v>1539</v>
      </c>
      <c r="D712" t="s">
        <v>1540</v>
      </c>
    </row>
    <row r="713" spans="1:4" x14ac:dyDescent="0.3">
      <c r="A713" t="s">
        <v>1471</v>
      </c>
      <c r="B713" t="s">
        <v>1472</v>
      </c>
      <c r="C713" t="s">
        <v>1875</v>
      </c>
      <c r="D713" t="s">
        <v>1876</v>
      </c>
    </row>
    <row r="714" spans="1:4" x14ac:dyDescent="0.3">
      <c r="A714" t="s">
        <v>1471</v>
      </c>
      <c r="B714" t="s">
        <v>1472</v>
      </c>
      <c r="C714" t="s">
        <v>1882</v>
      </c>
      <c r="D714" t="s">
        <v>1883</v>
      </c>
    </row>
    <row r="715" spans="1:4" x14ac:dyDescent="0.3">
      <c r="A715" t="s">
        <v>1471</v>
      </c>
      <c r="B715" t="s">
        <v>1472</v>
      </c>
      <c r="C715" t="s">
        <v>1489</v>
      </c>
      <c r="D715" t="s">
        <v>1490</v>
      </c>
    </row>
    <row r="716" spans="1:4" x14ac:dyDescent="0.3">
      <c r="A716" t="s">
        <v>1471</v>
      </c>
      <c r="B716" t="s">
        <v>1472</v>
      </c>
      <c r="C716" t="s">
        <v>1725</v>
      </c>
      <c r="D716" t="s">
        <v>1726</v>
      </c>
    </row>
    <row r="717" spans="1:4" x14ac:dyDescent="0.3">
      <c r="A717" t="s">
        <v>1471</v>
      </c>
      <c r="B717" t="s">
        <v>1472</v>
      </c>
      <c r="C717" t="s">
        <v>1487</v>
      </c>
      <c r="D717" t="s">
        <v>1488</v>
      </c>
    </row>
    <row r="718" spans="1:4" x14ac:dyDescent="0.3">
      <c r="A718" t="s">
        <v>1471</v>
      </c>
      <c r="B718" t="s">
        <v>1472</v>
      </c>
      <c r="C718" t="s">
        <v>1666</v>
      </c>
      <c r="D718" t="s">
        <v>1667</v>
      </c>
    </row>
    <row r="719" spans="1:4" x14ac:dyDescent="0.3">
      <c r="A719" t="s">
        <v>1471</v>
      </c>
      <c r="B719" t="s">
        <v>1472</v>
      </c>
      <c r="C719" t="s">
        <v>1616</v>
      </c>
      <c r="D719" t="s">
        <v>1617</v>
      </c>
    </row>
    <row r="720" spans="1:4" x14ac:dyDescent="0.3">
      <c r="A720" t="s">
        <v>1471</v>
      </c>
      <c r="B720" t="s">
        <v>1472</v>
      </c>
      <c r="C720" t="s">
        <v>1727</v>
      </c>
      <c r="D720" t="s">
        <v>1728</v>
      </c>
    </row>
    <row r="721" spans="1:4" x14ac:dyDescent="0.3">
      <c r="A721" t="s">
        <v>1471</v>
      </c>
      <c r="B721" t="s">
        <v>1472</v>
      </c>
      <c r="C721" t="s">
        <v>1533</v>
      </c>
      <c r="D721" t="s">
        <v>1534</v>
      </c>
    </row>
    <row r="722" spans="1:4" x14ac:dyDescent="0.3">
      <c r="A722" t="s">
        <v>1471</v>
      </c>
      <c r="B722" t="s">
        <v>1472</v>
      </c>
      <c r="C722" t="s">
        <v>1588</v>
      </c>
      <c r="D722" t="s">
        <v>1589</v>
      </c>
    </row>
    <row r="723" spans="1:4" x14ac:dyDescent="0.3">
      <c r="A723" t="s">
        <v>1471</v>
      </c>
      <c r="B723" t="s">
        <v>1472</v>
      </c>
      <c r="C723" t="s">
        <v>1590</v>
      </c>
      <c r="D723" t="s">
        <v>1591</v>
      </c>
    </row>
    <row r="724" spans="1:4" x14ac:dyDescent="0.3">
      <c r="A724" t="s">
        <v>1471</v>
      </c>
      <c r="B724" t="s">
        <v>1472</v>
      </c>
      <c r="C724" t="s">
        <v>1733</v>
      </c>
      <c r="D724" t="s">
        <v>1734</v>
      </c>
    </row>
    <row r="725" spans="1:4" x14ac:dyDescent="0.3">
      <c r="A725" t="s">
        <v>1471</v>
      </c>
      <c r="B725" t="s">
        <v>1472</v>
      </c>
      <c r="C725" t="s">
        <v>1682</v>
      </c>
      <c r="D725" t="s">
        <v>1683</v>
      </c>
    </row>
    <row r="726" spans="1:4" x14ac:dyDescent="0.3">
      <c r="A726" t="s">
        <v>1471</v>
      </c>
      <c r="B726" t="s">
        <v>1472</v>
      </c>
      <c r="C726" t="s">
        <v>1570</v>
      </c>
      <c r="D726" t="s">
        <v>1571</v>
      </c>
    </row>
    <row r="727" spans="1:4" x14ac:dyDescent="0.3">
      <c r="A727" t="s">
        <v>1471</v>
      </c>
      <c r="B727" t="s">
        <v>1472</v>
      </c>
      <c r="C727" t="s">
        <v>1604</v>
      </c>
      <c r="D727" t="s">
        <v>1605</v>
      </c>
    </row>
    <row r="728" spans="1:4" x14ac:dyDescent="0.3">
      <c r="A728" t="s">
        <v>1471</v>
      </c>
      <c r="B728" t="s">
        <v>1472</v>
      </c>
      <c r="C728" t="s">
        <v>1473</v>
      </c>
      <c r="D728" t="s">
        <v>1474</v>
      </c>
    </row>
    <row r="729" spans="1:4" x14ac:dyDescent="0.3">
      <c r="A729" t="s">
        <v>1471</v>
      </c>
      <c r="B729" t="s">
        <v>1472</v>
      </c>
      <c r="C729" t="s">
        <v>1594</v>
      </c>
      <c r="D729" t="s">
        <v>1595</v>
      </c>
    </row>
    <row r="730" spans="1:4" x14ac:dyDescent="0.3">
      <c r="A730" t="s">
        <v>1471</v>
      </c>
      <c r="B730" t="s">
        <v>1472</v>
      </c>
      <c r="C730" t="s">
        <v>1600</v>
      </c>
      <c r="D730" t="s">
        <v>1601</v>
      </c>
    </row>
    <row r="731" spans="1:4" x14ac:dyDescent="0.3">
      <c r="A731" t="s">
        <v>1471</v>
      </c>
      <c r="B731" t="s">
        <v>1472</v>
      </c>
      <c r="C731" t="s">
        <v>1515</v>
      </c>
      <c r="D731" t="s">
        <v>1516</v>
      </c>
    </row>
    <row r="732" spans="1:4" x14ac:dyDescent="0.3">
      <c r="A732" t="s">
        <v>1471</v>
      </c>
      <c r="B732" t="s">
        <v>1472</v>
      </c>
      <c r="C732" t="s">
        <v>1783</v>
      </c>
      <c r="D732" t="s">
        <v>1784</v>
      </c>
    </row>
    <row r="733" spans="1:4" x14ac:dyDescent="0.3">
      <c r="A733" t="s">
        <v>1471</v>
      </c>
      <c r="B733" t="s">
        <v>1472</v>
      </c>
      <c r="C733" t="s">
        <v>1543</v>
      </c>
      <c r="D733" t="s">
        <v>1544</v>
      </c>
    </row>
    <row r="734" spans="1:4" x14ac:dyDescent="0.3">
      <c r="A734" t="s">
        <v>1471</v>
      </c>
      <c r="B734" t="s">
        <v>1472</v>
      </c>
      <c r="C734" t="s">
        <v>1699</v>
      </c>
      <c r="D734" t="s">
        <v>1700</v>
      </c>
    </row>
    <row r="735" spans="1:4" x14ac:dyDescent="0.3">
      <c r="A735" t="s">
        <v>1471</v>
      </c>
      <c r="B735" t="s">
        <v>1472</v>
      </c>
      <c r="C735" t="s">
        <v>1572</v>
      </c>
      <c r="D735" t="s">
        <v>1573</v>
      </c>
    </row>
    <row r="736" spans="1:4" x14ac:dyDescent="0.3">
      <c r="A736" t="s">
        <v>1471</v>
      </c>
      <c r="B736" t="s">
        <v>1472</v>
      </c>
      <c r="C736" t="s">
        <v>1670</v>
      </c>
      <c r="D736" t="s">
        <v>1671</v>
      </c>
    </row>
    <row r="737" spans="1:4" x14ac:dyDescent="0.3">
      <c r="A737" t="s">
        <v>1471</v>
      </c>
      <c r="B737" t="s">
        <v>1472</v>
      </c>
      <c r="C737" t="s">
        <v>1865</v>
      </c>
      <c r="D737" t="s">
        <v>1866</v>
      </c>
    </row>
    <row r="738" spans="1:4" x14ac:dyDescent="0.3">
      <c r="A738" t="s">
        <v>1471</v>
      </c>
      <c r="B738" t="s">
        <v>1472</v>
      </c>
      <c r="C738" t="s">
        <v>1850</v>
      </c>
      <c r="D738" t="s">
        <v>1851</v>
      </c>
    </row>
    <row r="739" spans="1:4" x14ac:dyDescent="0.3">
      <c r="A739" t="s">
        <v>1471</v>
      </c>
      <c r="B739" t="s">
        <v>1472</v>
      </c>
      <c r="C739" t="s">
        <v>1554</v>
      </c>
      <c r="D739" t="s">
        <v>1555</v>
      </c>
    </row>
    <row r="740" spans="1:4" x14ac:dyDescent="0.3">
      <c r="A740" t="s">
        <v>1471</v>
      </c>
      <c r="B740" t="s">
        <v>1472</v>
      </c>
      <c r="C740" t="s">
        <v>1646</v>
      </c>
      <c r="D740" t="s">
        <v>1647</v>
      </c>
    </row>
    <row r="741" spans="1:4" x14ac:dyDescent="0.3">
      <c r="A741" t="s">
        <v>1471</v>
      </c>
      <c r="B741" t="s">
        <v>1472</v>
      </c>
      <c r="C741" t="s">
        <v>1781</v>
      </c>
      <c r="D741" t="s">
        <v>1782</v>
      </c>
    </row>
    <row r="742" spans="1:4" x14ac:dyDescent="0.3">
      <c r="A742" t="s">
        <v>1471</v>
      </c>
      <c r="B742" t="s">
        <v>1472</v>
      </c>
      <c r="C742" t="s">
        <v>1574</v>
      </c>
      <c r="D742" t="s">
        <v>1575</v>
      </c>
    </row>
    <row r="743" spans="1:4" x14ac:dyDescent="0.3">
      <c r="A743" t="s">
        <v>1471</v>
      </c>
      <c r="B743" t="s">
        <v>1472</v>
      </c>
      <c r="C743" t="s">
        <v>1832</v>
      </c>
      <c r="D743" t="s">
        <v>1833</v>
      </c>
    </row>
    <row r="744" spans="1:4" x14ac:dyDescent="0.3">
      <c r="A744" t="s">
        <v>1471</v>
      </c>
      <c r="B744" t="s">
        <v>1472</v>
      </c>
      <c r="C744" t="s">
        <v>1793</v>
      </c>
      <c r="D744" t="s">
        <v>1794</v>
      </c>
    </row>
    <row r="745" spans="1:4" x14ac:dyDescent="0.3">
      <c r="A745" t="s">
        <v>1471</v>
      </c>
      <c r="B745" t="s">
        <v>1472</v>
      </c>
      <c r="C745" t="s">
        <v>1562</v>
      </c>
      <c r="D745" t="s">
        <v>1563</v>
      </c>
    </row>
    <row r="746" spans="1:4" x14ac:dyDescent="0.3">
      <c r="A746" t="s">
        <v>1471</v>
      </c>
      <c r="B746" t="s">
        <v>1472</v>
      </c>
      <c r="C746" t="s">
        <v>1660</v>
      </c>
      <c r="D746" t="s">
        <v>1661</v>
      </c>
    </row>
    <row r="747" spans="1:4" x14ac:dyDescent="0.3">
      <c r="A747" t="s">
        <v>1471</v>
      </c>
      <c r="B747" t="s">
        <v>1472</v>
      </c>
      <c r="C747" t="s">
        <v>1915</v>
      </c>
      <c r="D747" t="s">
        <v>1916</v>
      </c>
    </row>
    <row r="748" spans="1:4" x14ac:dyDescent="0.3">
      <c r="A748" t="s">
        <v>1471</v>
      </c>
      <c r="B748" t="s">
        <v>1472</v>
      </c>
      <c r="C748" t="s">
        <v>1877</v>
      </c>
      <c r="D748" t="s">
        <v>1878</v>
      </c>
    </row>
    <row r="749" spans="1:4" x14ac:dyDescent="0.3">
      <c r="A749" t="s">
        <v>1471</v>
      </c>
      <c r="B749" t="s">
        <v>1472</v>
      </c>
      <c r="C749" t="s">
        <v>1853</v>
      </c>
      <c r="D749" t="s">
        <v>1854</v>
      </c>
    </row>
    <row r="750" spans="1:4" x14ac:dyDescent="0.3">
      <c r="A750" t="s">
        <v>1471</v>
      </c>
      <c r="B750" t="s">
        <v>1472</v>
      </c>
      <c r="C750" t="s">
        <v>1568</v>
      </c>
      <c r="D750" t="s">
        <v>1569</v>
      </c>
    </row>
    <row r="751" spans="1:4" x14ac:dyDescent="0.3">
      <c r="A751" t="s">
        <v>1471</v>
      </c>
      <c r="B751" t="s">
        <v>1472</v>
      </c>
      <c r="C751" t="s">
        <v>1483</v>
      </c>
      <c r="D751" t="s">
        <v>1484</v>
      </c>
    </row>
    <row r="752" spans="1:4" x14ac:dyDescent="0.3">
      <c r="A752" t="s">
        <v>1471</v>
      </c>
      <c r="B752" t="s">
        <v>1472</v>
      </c>
      <c r="C752" t="s">
        <v>1481</v>
      </c>
      <c r="D752" t="s">
        <v>1482</v>
      </c>
    </row>
    <row r="753" spans="1:4" x14ac:dyDescent="0.3">
      <c r="A753" t="s">
        <v>1471</v>
      </c>
      <c r="B753" t="s">
        <v>1472</v>
      </c>
      <c r="C753" t="s">
        <v>1612</v>
      </c>
      <c r="D753" t="s">
        <v>1613</v>
      </c>
    </row>
    <row r="754" spans="1:4" x14ac:dyDescent="0.3">
      <c r="A754" t="s">
        <v>1471</v>
      </c>
      <c r="B754" t="s">
        <v>1472</v>
      </c>
      <c r="C754" t="s">
        <v>1674</v>
      </c>
      <c r="D754" t="s">
        <v>1675</v>
      </c>
    </row>
    <row r="755" spans="1:4" x14ac:dyDescent="0.3">
      <c r="A755" t="s">
        <v>1471</v>
      </c>
      <c r="B755" t="s">
        <v>1472</v>
      </c>
      <c r="C755" t="s">
        <v>4167</v>
      </c>
      <c r="D755" t="s">
        <v>4168</v>
      </c>
    </row>
    <row r="756" spans="1:4" x14ac:dyDescent="0.3">
      <c r="A756" t="s">
        <v>1471</v>
      </c>
      <c r="B756" t="s">
        <v>1472</v>
      </c>
      <c r="C756" t="s">
        <v>1890</v>
      </c>
      <c r="D756" t="s">
        <v>1891</v>
      </c>
    </row>
    <row r="757" spans="1:4" x14ac:dyDescent="0.3">
      <c r="A757" t="s">
        <v>1471</v>
      </c>
      <c r="B757" t="s">
        <v>1472</v>
      </c>
      <c r="C757" t="s">
        <v>1582</v>
      </c>
      <c r="D757" t="s">
        <v>1583</v>
      </c>
    </row>
    <row r="758" spans="1:4" x14ac:dyDescent="0.3">
      <c r="A758" t="s">
        <v>1471</v>
      </c>
      <c r="B758" t="s">
        <v>1472</v>
      </c>
      <c r="C758" t="s">
        <v>1823</v>
      </c>
      <c r="D758" t="s">
        <v>901</v>
      </c>
    </row>
    <row r="759" spans="1:4" x14ac:dyDescent="0.3">
      <c r="A759" t="s">
        <v>1471</v>
      </c>
      <c r="B759" t="s">
        <v>1472</v>
      </c>
      <c r="C759" t="s">
        <v>1836</v>
      </c>
      <c r="D759" t="s">
        <v>1837</v>
      </c>
    </row>
    <row r="760" spans="1:4" x14ac:dyDescent="0.3">
      <c r="A760" t="s">
        <v>1471</v>
      </c>
      <c r="B760" t="s">
        <v>1472</v>
      </c>
      <c r="C760" t="s">
        <v>1863</v>
      </c>
      <c r="D760" t="s">
        <v>1864</v>
      </c>
    </row>
    <row r="761" spans="1:4" x14ac:dyDescent="0.3">
      <c r="A761" t="s">
        <v>1471</v>
      </c>
      <c r="B761" t="s">
        <v>1472</v>
      </c>
      <c r="C761" t="s">
        <v>1888</v>
      </c>
      <c r="D761" t="s">
        <v>1889</v>
      </c>
    </row>
    <row r="762" spans="1:4" x14ac:dyDescent="0.3">
      <c r="A762" t="s">
        <v>1471</v>
      </c>
      <c r="B762" t="s">
        <v>1472</v>
      </c>
      <c r="C762" t="s">
        <v>1894</v>
      </c>
      <c r="D762" t="s">
        <v>1895</v>
      </c>
    </row>
    <row r="763" spans="1:4" x14ac:dyDescent="0.3">
      <c r="A763" t="s">
        <v>1471</v>
      </c>
      <c r="B763" t="s">
        <v>1472</v>
      </c>
      <c r="C763" t="s">
        <v>1763</v>
      </c>
      <c r="D763" t="s">
        <v>1764</v>
      </c>
    </row>
    <row r="764" spans="1:4" x14ac:dyDescent="0.3">
      <c r="A764" t="s">
        <v>1471</v>
      </c>
      <c r="B764" t="s">
        <v>1472</v>
      </c>
      <c r="C764" t="s">
        <v>1636</v>
      </c>
      <c r="D764" t="s">
        <v>1637</v>
      </c>
    </row>
    <row r="765" spans="1:4" x14ac:dyDescent="0.3">
      <c r="A765" t="s">
        <v>1471</v>
      </c>
      <c r="B765" t="s">
        <v>1472</v>
      </c>
      <c r="C765" t="s">
        <v>1743</v>
      </c>
      <c r="D765" t="s">
        <v>1744</v>
      </c>
    </row>
    <row r="766" spans="1:4" x14ac:dyDescent="0.3">
      <c r="A766" t="s">
        <v>1471</v>
      </c>
      <c r="B766" t="s">
        <v>1472</v>
      </c>
      <c r="C766" t="s">
        <v>1799</v>
      </c>
      <c r="D766" t="s">
        <v>1800</v>
      </c>
    </row>
    <row r="767" spans="1:4" x14ac:dyDescent="0.3">
      <c r="A767" t="s">
        <v>1471</v>
      </c>
      <c r="B767" t="s">
        <v>1472</v>
      </c>
      <c r="C767" t="s">
        <v>1672</v>
      </c>
      <c r="D767" t="s">
        <v>1673</v>
      </c>
    </row>
    <row r="768" spans="1:4" x14ac:dyDescent="0.3">
      <c r="A768" t="s">
        <v>1471</v>
      </c>
      <c r="B768" t="s">
        <v>1472</v>
      </c>
      <c r="C768" t="s">
        <v>1664</v>
      </c>
      <c r="D768" t="s">
        <v>1665</v>
      </c>
    </row>
    <row r="769" spans="1:4" x14ac:dyDescent="0.3">
      <c r="A769" t="s">
        <v>1471</v>
      </c>
      <c r="B769" t="s">
        <v>1472</v>
      </c>
      <c r="C769" t="s">
        <v>1773</v>
      </c>
      <c r="D769" t="s">
        <v>1774</v>
      </c>
    </row>
    <row r="770" spans="1:4" x14ac:dyDescent="0.3">
      <c r="A770" t="s">
        <v>1471</v>
      </c>
      <c r="B770" t="s">
        <v>1472</v>
      </c>
      <c r="C770" t="s">
        <v>1475</v>
      </c>
      <c r="D770" t="s">
        <v>1476</v>
      </c>
    </row>
    <row r="771" spans="1:4" x14ac:dyDescent="0.3">
      <c r="A771" t="s">
        <v>1471</v>
      </c>
      <c r="B771" t="s">
        <v>1472</v>
      </c>
      <c r="C771" t="s">
        <v>1493</v>
      </c>
      <c r="D771" t="s">
        <v>1494</v>
      </c>
    </row>
    <row r="772" spans="1:4" x14ac:dyDescent="0.3">
      <c r="A772" t="s">
        <v>1471</v>
      </c>
      <c r="B772" t="s">
        <v>1472</v>
      </c>
      <c r="C772" t="s">
        <v>1505</v>
      </c>
      <c r="D772" t="s">
        <v>1506</v>
      </c>
    </row>
    <row r="773" spans="1:4" x14ac:dyDescent="0.3">
      <c r="A773" t="s">
        <v>1471</v>
      </c>
      <c r="B773" t="s">
        <v>1472</v>
      </c>
      <c r="C773" t="s">
        <v>1507</v>
      </c>
      <c r="D773" t="s">
        <v>1508</v>
      </c>
    </row>
    <row r="774" spans="1:4" x14ac:dyDescent="0.3">
      <c r="A774" t="s">
        <v>1471</v>
      </c>
      <c r="B774" t="s">
        <v>1472</v>
      </c>
      <c r="C774" t="s">
        <v>1513</v>
      </c>
      <c r="D774" t="s">
        <v>1514</v>
      </c>
    </row>
    <row r="775" spans="1:4" x14ac:dyDescent="0.3">
      <c r="A775" t="s">
        <v>1471</v>
      </c>
      <c r="B775" t="s">
        <v>1472</v>
      </c>
      <c r="C775" t="s">
        <v>1531</v>
      </c>
      <c r="D775" t="s">
        <v>1532</v>
      </c>
    </row>
    <row r="776" spans="1:4" x14ac:dyDescent="0.3">
      <c r="A776" t="s">
        <v>1471</v>
      </c>
      <c r="B776" t="s">
        <v>1472</v>
      </c>
      <c r="C776" t="s">
        <v>1545</v>
      </c>
      <c r="D776" t="s">
        <v>1213</v>
      </c>
    </row>
    <row r="777" spans="1:4" x14ac:dyDescent="0.3">
      <c r="A777" t="s">
        <v>1471</v>
      </c>
      <c r="B777" t="s">
        <v>1472</v>
      </c>
      <c r="C777" t="s">
        <v>1556</v>
      </c>
      <c r="D777" t="s">
        <v>1557</v>
      </c>
    </row>
    <row r="778" spans="1:4" x14ac:dyDescent="0.3">
      <c r="A778" t="s">
        <v>1471</v>
      </c>
      <c r="B778" t="s">
        <v>1472</v>
      </c>
      <c r="C778" t="s">
        <v>1566</v>
      </c>
      <c r="D778" t="s">
        <v>1567</v>
      </c>
    </row>
    <row r="779" spans="1:4" x14ac:dyDescent="0.3">
      <c r="A779" t="s">
        <v>1471</v>
      </c>
      <c r="B779" t="s">
        <v>1472</v>
      </c>
      <c r="C779" t="s">
        <v>1606</v>
      </c>
      <c r="D779" t="s">
        <v>1607</v>
      </c>
    </row>
    <row r="780" spans="1:4" x14ac:dyDescent="0.3">
      <c r="A780" t="s">
        <v>1471</v>
      </c>
      <c r="B780" t="s">
        <v>1472</v>
      </c>
      <c r="C780" t="s">
        <v>1620</v>
      </c>
      <c r="D780" t="s">
        <v>1621</v>
      </c>
    </row>
    <row r="781" spans="1:4" x14ac:dyDescent="0.3">
      <c r="A781" t="s">
        <v>1471</v>
      </c>
      <c r="B781" t="s">
        <v>1472</v>
      </c>
      <c r="C781" t="s">
        <v>1622</v>
      </c>
      <c r="D781" t="s">
        <v>1623</v>
      </c>
    </row>
    <row r="782" spans="1:4" x14ac:dyDescent="0.3">
      <c r="A782" t="s">
        <v>1471</v>
      </c>
      <c r="B782" t="s">
        <v>1472</v>
      </c>
      <c r="C782" t="s">
        <v>1626</v>
      </c>
      <c r="D782" t="s">
        <v>1627</v>
      </c>
    </row>
    <row r="783" spans="1:4" x14ac:dyDescent="0.3">
      <c r="A783" t="s">
        <v>1471</v>
      </c>
      <c r="B783" t="s">
        <v>1472</v>
      </c>
      <c r="C783" t="s">
        <v>1632</v>
      </c>
      <c r="D783" t="s">
        <v>1633</v>
      </c>
    </row>
    <row r="784" spans="1:4" x14ac:dyDescent="0.3">
      <c r="A784" t="s">
        <v>1471</v>
      </c>
      <c r="B784" t="s">
        <v>1472</v>
      </c>
      <c r="C784" t="s">
        <v>1638</v>
      </c>
      <c r="D784" t="s">
        <v>1639</v>
      </c>
    </row>
    <row r="785" spans="1:4" x14ac:dyDescent="0.3">
      <c r="A785" t="s">
        <v>1471</v>
      </c>
      <c r="B785" t="s">
        <v>1472</v>
      </c>
      <c r="C785" t="s">
        <v>1656</v>
      </c>
      <c r="D785" t="s">
        <v>1657</v>
      </c>
    </row>
    <row r="786" spans="1:4" x14ac:dyDescent="0.3">
      <c r="A786" t="s">
        <v>1471</v>
      </c>
      <c r="B786" t="s">
        <v>1472</v>
      </c>
      <c r="C786" t="s">
        <v>1694</v>
      </c>
      <c r="D786" t="s">
        <v>1695</v>
      </c>
    </row>
    <row r="787" spans="1:4" x14ac:dyDescent="0.3">
      <c r="A787" t="s">
        <v>1471</v>
      </c>
      <c r="B787" t="s">
        <v>1472</v>
      </c>
      <c r="C787" t="s">
        <v>1696</v>
      </c>
      <c r="D787" t="s">
        <v>1697</v>
      </c>
    </row>
    <row r="788" spans="1:4" x14ac:dyDescent="0.3">
      <c r="A788" t="s">
        <v>1471</v>
      </c>
      <c r="B788" t="s">
        <v>1472</v>
      </c>
      <c r="C788" t="s">
        <v>1715</v>
      </c>
      <c r="D788" t="s">
        <v>1716</v>
      </c>
    </row>
    <row r="789" spans="1:4" x14ac:dyDescent="0.3">
      <c r="A789" t="s">
        <v>1471</v>
      </c>
      <c r="B789" t="s">
        <v>1472</v>
      </c>
      <c r="C789" t="s">
        <v>1755</v>
      </c>
      <c r="D789" t="s">
        <v>1756</v>
      </c>
    </row>
    <row r="790" spans="1:4" x14ac:dyDescent="0.3">
      <c r="A790" t="s">
        <v>1471</v>
      </c>
      <c r="B790" t="s">
        <v>1472</v>
      </c>
      <c r="C790" t="s">
        <v>1527</v>
      </c>
      <c r="D790" t="s">
        <v>1528</v>
      </c>
    </row>
    <row r="791" spans="1:4" x14ac:dyDescent="0.3">
      <c r="A791" t="s">
        <v>1471</v>
      </c>
      <c r="B791" t="s">
        <v>1472</v>
      </c>
      <c r="C791" t="s">
        <v>1769</v>
      </c>
      <c r="D791" t="s">
        <v>1770</v>
      </c>
    </row>
    <row r="792" spans="1:4" x14ac:dyDescent="0.3">
      <c r="A792" t="s">
        <v>1471</v>
      </c>
      <c r="B792" t="s">
        <v>1472</v>
      </c>
      <c r="C792" t="s">
        <v>1785</v>
      </c>
      <c r="D792" t="s">
        <v>1786</v>
      </c>
    </row>
    <row r="793" spans="1:4" x14ac:dyDescent="0.3">
      <c r="A793" t="s">
        <v>1471</v>
      </c>
      <c r="B793" t="s">
        <v>1472</v>
      </c>
      <c r="C793" t="s">
        <v>1797</v>
      </c>
      <c r="D793" t="s">
        <v>1798</v>
      </c>
    </row>
    <row r="794" spans="1:4" x14ac:dyDescent="0.3">
      <c r="A794" t="s">
        <v>1471</v>
      </c>
      <c r="B794" t="s">
        <v>1472</v>
      </c>
      <c r="C794" t="s">
        <v>1818</v>
      </c>
      <c r="D794" t="s">
        <v>4256</v>
      </c>
    </row>
    <row r="795" spans="1:4" x14ac:dyDescent="0.3">
      <c r="A795" t="s">
        <v>1471</v>
      </c>
      <c r="B795" t="s">
        <v>1472</v>
      </c>
      <c r="C795" t="s">
        <v>1821</v>
      </c>
      <c r="D795" t="s">
        <v>1822</v>
      </c>
    </row>
    <row r="796" spans="1:4" x14ac:dyDescent="0.3">
      <c r="A796" t="s">
        <v>1471</v>
      </c>
      <c r="B796" t="s">
        <v>1472</v>
      </c>
      <c r="C796" t="s">
        <v>1830</v>
      </c>
      <c r="D796" t="s">
        <v>1831</v>
      </c>
    </row>
    <row r="797" spans="1:4" x14ac:dyDescent="0.3">
      <c r="A797" t="s">
        <v>1471</v>
      </c>
      <c r="B797" t="s">
        <v>1472</v>
      </c>
      <c r="C797" t="s">
        <v>1840</v>
      </c>
      <c r="D797" t="s">
        <v>1841</v>
      </c>
    </row>
    <row r="798" spans="1:4" x14ac:dyDescent="0.3">
      <c r="A798" t="s">
        <v>1471</v>
      </c>
      <c r="B798" t="s">
        <v>1472</v>
      </c>
      <c r="C798" t="s">
        <v>1848</v>
      </c>
      <c r="D798" t="s">
        <v>1849</v>
      </c>
    </row>
    <row r="799" spans="1:4" x14ac:dyDescent="0.3">
      <c r="A799" t="s">
        <v>1471</v>
      </c>
      <c r="B799" t="s">
        <v>1472</v>
      </c>
      <c r="C799" t="s">
        <v>1814</v>
      </c>
      <c r="D799" t="s">
        <v>1815</v>
      </c>
    </row>
    <row r="800" spans="1:4" x14ac:dyDescent="0.3">
      <c r="A800" t="s">
        <v>1471</v>
      </c>
      <c r="B800" t="s">
        <v>1472</v>
      </c>
      <c r="C800" t="s">
        <v>1892</v>
      </c>
      <c r="D800" t="s">
        <v>1893</v>
      </c>
    </row>
    <row r="801" spans="1:4" x14ac:dyDescent="0.3">
      <c r="A801" t="s">
        <v>1471</v>
      </c>
      <c r="B801" t="s">
        <v>1472</v>
      </c>
      <c r="C801" t="s">
        <v>1628</v>
      </c>
      <c r="D801" t="s">
        <v>1629</v>
      </c>
    </row>
    <row r="802" spans="1:4" x14ac:dyDescent="0.3">
      <c r="A802" t="s">
        <v>1471</v>
      </c>
      <c r="B802" t="s">
        <v>1472</v>
      </c>
      <c r="C802" t="s">
        <v>1711</v>
      </c>
      <c r="D802" t="s">
        <v>1712</v>
      </c>
    </row>
    <row r="803" spans="1:4" x14ac:dyDescent="0.3">
      <c r="A803" t="s">
        <v>1471</v>
      </c>
      <c r="B803" t="s">
        <v>1472</v>
      </c>
      <c r="C803" t="s">
        <v>1907</v>
      </c>
      <c r="D803" t="s">
        <v>1908</v>
      </c>
    </row>
    <row r="804" spans="1:4" x14ac:dyDescent="0.3">
      <c r="A804" t="s">
        <v>1471</v>
      </c>
      <c r="B804" t="s">
        <v>1472</v>
      </c>
      <c r="C804" t="s">
        <v>1618</v>
      </c>
      <c r="D804" t="s">
        <v>1619</v>
      </c>
    </row>
    <row r="805" spans="1:4" x14ac:dyDescent="0.3">
      <c r="A805" t="s">
        <v>1471</v>
      </c>
      <c r="B805" t="s">
        <v>1472</v>
      </c>
      <c r="C805" t="s">
        <v>1731</v>
      </c>
      <c r="D805" t="s">
        <v>1732</v>
      </c>
    </row>
    <row r="806" spans="1:4" x14ac:dyDescent="0.3">
      <c r="A806" t="s">
        <v>1471</v>
      </c>
      <c r="B806" t="s">
        <v>1472</v>
      </c>
      <c r="C806" t="s">
        <v>1749</v>
      </c>
      <c r="D806" t="s">
        <v>1750</v>
      </c>
    </row>
    <row r="807" spans="1:4" x14ac:dyDescent="0.3">
      <c r="A807" t="s">
        <v>1471</v>
      </c>
      <c r="B807" t="s">
        <v>1472</v>
      </c>
      <c r="C807" t="s">
        <v>1819</v>
      </c>
      <c r="D807" t="s">
        <v>1820</v>
      </c>
    </row>
    <row r="808" spans="1:4" x14ac:dyDescent="0.3">
      <c r="A808" t="s">
        <v>1471</v>
      </c>
      <c r="B808" t="s">
        <v>1472</v>
      </c>
      <c r="C808" t="s">
        <v>1662</v>
      </c>
      <c r="D808" t="s">
        <v>1663</v>
      </c>
    </row>
    <row r="809" spans="1:4" x14ac:dyDescent="0.3">
      <c r="A809" t="s">
        <v>1471</v>
      </c>
      <c r="B809" t="s">
        <v>1472</v>
      </c>
      <c r="C809" t="s">
        <v>1896</v>
      </c>
      <c r="D809" t="s">
        <v>1897</v>
      </c>
    </row>
    <row r="810" spans="1:4" x14ac:dyDescent="0.3">
      <c r="A810" t="s">
        <v>1471</v>
      </c>
      <c r="B810" t="s">
        <v>1472</v>
      </c>
      <c r="C810" t="s">
        <v>1795</v>
      </c>
      <c r="D810" t="s">
        <v>1796</v>
      </c>
    </row>
    <row r="811" spans="1:4" x14ac:dyDescent="0.3">
      <c r="A811" t="s">
        <v>1471</v>
      </c>
      <c r="B811" t="s">
        <v>1472</v>
      </c>
      <c r="C811" t="s">
        <v>1541</v>
      </c>
      <c r="D811" t="s">
        <v>1542</v>
      </c>
    </row>
    <row r="812" spans="1:4" x14ac:dyDescent="0.3">
      <c r="A812" t="s">
        <v>1471</v>
      </c>
      <c r="B812" t="s">
        <v>1472</v>
      </c>
      <c r="C812" t="s">
        <v>1558</v>
      </c>
      <c r="D812" t="s">
        <v>1559</v>
      </c>
    </row>
    <row r="813" spans="1:4" x14ac:dyDescent="0.3">
      <c r="A813" t="s">
        <v>1471</v>
      </c>
      <c r="B813" t="s">
        <v>1472</v>
      </c>
      <c r="C813" t="s">
        <v>1757</v>
      </c>
      <c r="D813" t="s">
        <v>1758</v>
      </c>
    </row>
    <row r="814" spans="1:4" x14ac:dyDescent="0.3">
      <c r="A814" t="s">
        <v>1471</v>
      </c>
      <c r="B814" t="s">
        <v>1472</v>
      </c>
      <c r="C814" t="s">
        <v>1900</v>
      </c>
      <c r="D814" t="s">
        <v>1901</v>
      </c>
    </row>
    <row r="815" spans="1:4" x14ac:dyDescent="0.3">
      <c r="A815" t="s">
        <v>1471</v>
      </c>
      <c r="B815" t="s">
        <v>1472</v>
      </c>
      <c r="C815" t="s">
        <v>1911</v>
      </c>
      <c r="D815" t="s">
        <v>1912</v>
      </c>
    </row>
    <row r="816" spans="1:4" x14ac:dyDescent="0.3">
      <c r="A816" t="s">
        <v>1471</v>
      </c>
      <c r="B816" t="s">
        <v>1472</v>
      </c>
      <c r="C816" t="s">
        <v>1761</v>
      </c>
      <c r="D816" t="s">
        <v>1762</v>
      </c>
    </row>
    <row r="817" spans="1:4" x14ac:dyDescent="0.3">
      <c r="A817" t="s">
        <v>1471</v>
      </c>
      <c r="B817" t="s">
        <v>1472</v>
      </c>
      <c r="C817" t="s">
        <v>1824</v>
      </c>
      <c r="D817" t="s">
        <v>1825</v>
      </c>
    </row>
    <row r="818" spans="1:4" x14ac:dyDescent="0.3">
      <c r="A818" t="s">
        <v>1471</v>
      </c>
      <c r="B818" t="s">
        <v>1472</v>
      </c>
      <c r="C818" t="s">
        <v>1598</v>
      </c>
      <c r="D818" t="s">
        <v>1599</v>
      </c>
    </row>
    <row r="819" spans="1:4" x14ac:dyDescent="0.3">
      <c r="A819" t="s">
        <v>1471</v>
      </c>
      <c r="B819" t="s">
        <v>1472</v>
      </c>
      <c r="C819" t="s">
        <v>1668</v>
      </c>
      <c r="D819" t="s">
        <v>1669</v>
      </c>
    </row>
    <row r="820" spans="1:4" x14ac:dyDescent="0.3">
      <c r="A820" t="s">
        <v>1471</v>
      </c>
      <c r="B820" t="s">
        <v>1472</v>
      </c>
      <c r="C820" t="s">
        <v>1741</v>
      </c>
      <c r="D820" t="s">
        <v>1742</v>
      </c>
    </row>
    <row r="821" spans="1:4" x14ac:dyDescent="0.3">
      <c r="A821" t="s">
        <v>1471</v>
      </c>
      <c r="B821" t="s">
        <v>1472</v>
      </c>
      <c r="C821" t="s">
        <v>1753</v>
      </c>
      <c r="D821" t="s">
        <v>1754</v>
      </c>
    </row>
    <row r="822" spans="1:4" x14ac:dyDescent="0.3">
      <c r="A822" t="s">
        <v>1471</v>
      </c>
      <c r="B822" t="s">
        <v>1472</v>
      </c>
      <c r="C822" t="s">
        <v>1767</v>
      </c>
      <c r="D822" t="s">
        <v>1768</v>
      </c>
    </row>
    <row r="823" spans="1:4" x14ac:dyDescent="0.3">
      <c r="A823" t="s">
        <v>1471</v>
      </c>
      <c r="B823" t="s">
        <v>1472</v>
      </c>
      <c r="C823" t="s">
        <v>1827</v>
      </c>
      <c r="D823" t="s">
        <v>1828</v>
      </c>
    </row>
    <row r="824" spans="1:4" x14ac:dyDescent="0.3">
      <c r="A824" t="s">
        <v>1471</v>
      </c>
      <c r="B824" t="s">
        <v>1472</v>
      </c>
      <c r="C824" t="s">
        <v>1913</v>
      </c>
      <c r="D824" t="s">
        <v>1914</v>
      </c>
    </row>
    <row r="825" spans="1:4" x14ac:dyDescent="0.3">
      <c r="A825" t="s">
        <v>1471</v>
      </c>
      <c r="B825" t="s">
        <v>1472</v>
      </c>
      <c r="C825" t="s">
        <v>1678</v>
      </c>
      <c r="D825" t="s">
        <v>1679</v>
      </c>
    </row>
    <row r="826" spans="1:4" x14ac:dyDescent="0.3">
      <c r="A826" t="s">
        <v>1471</v>
      </c>
      <c r="B826" t="s">
        <v>1472</v>
      </c>
      <c r="C826" t="s">
        <v>1602</v>
      </c>
      <c r="D826" t="s">
        <v>1603</v>
      </c>
    </row>
    <row r="827" spans="1:4" x14ac:dyDescent="0.3">
      <c r="A827" t="s">
        <v>1471</v>
      </c>
      <c r="B827" t="s">
        <v>1472</v>
      </c>
      <c r="C827" t="s">
        <v>1879</v>
      </c>
      <c r="D827" t="s">
        <v>987</v>
      </c>
    </row>
    <row r="828" spans="1:4" x14ac:dyDescent="0.3">
      <c r="A828" t="s">
        <v>1471</v>
      </c>
      <c r="B828" t="s">
        <v>1472</v>
      </c>
      <c r="C828" t="s">
        <v>1576</v>
      </c>
      <c r="D828" t="s">
        <v>1577</v>
      </c>
    </row>
    <row r="829" spans="1:4" x14ac:dyDescent="0.3">
      <c r="A829" t="s">
        <v>1471</v>
      </c>
      <c r="B829" t="s">
        <v>1472</v>
      </c>
      <c r="C829" t="s">
        <v>1624</v>
      </c>
      <c r="D829" t="s">
        <v>1625</v>
      </c>
    </row>
    <row r="830" spans="1:4" x14ac:dyDescent="0.3">
      <c r="A830" t="s">
        <v>1471</v>
      </c>
      <c r="B830" t="s">
        <v>1472</v>
      </c>
      <c r="C830" t="s">
        <v>1747</v>
      </c>
      <c r="D830" t="s">
        <v>1748</v>
      </c>
    </row>
    <row r="831" spans="1:4" x14ac:dyDescent="0.3">
      <c r="A831" t="s">
        <v>1471</v>
      </c>
      <c r="B831" t="s">
        <v>1472</v>
      </c>
      <c r="C831" t="s">
        <v>1729</v>
      </c>
      <c r="D831" t="s">
        <v>1730</v>
      </c>
    </row>
    <row r="832" spans="1:4" x14ac:dyDescent="0.3">
      <c r="A832" t="s">
        <v>1471</v>
      </c>
      <c r="B832" t="s">
        <v>1472</v>
      </c>
      <c r="C832" t="s">
        <v>1529</v>
      </c>
      <c r="D832" t="s">
        <v>1530</v>
      </c>
    </row>
    <row r="833" spans="1:4" x14ac:dyDescent="0.3">
      <c r="A833" t="s">
        <v>1471</v>
      </c>
      <c r="B833" t="s">
        <v>1472</v>
      </c>
      <c r="C833" t="s">
        <v>1521</v>
      </c>
      <c r="D833" t="s">
        <v>1522</v>
      </c>
    </row>
    <row r="834" spans="1:4" x14ac:dyDescent="0.3">
      <c r="A834" t="s">
        <v>1471</v>
      </c>
      <c r="B834" t="s">
        <v>1472</v>
      </c>
      <c r="C834" t="s">
        <v>1511</v>
      </c>
      <c r="D834" t="s">
        <v>1512</v>
      </c>
    </row>
    <row r="835" spans="1:4" x14ac:dyDescent="0.3">
      <c r="A835" t="s">
        <v>1471</v>
      </c>
      <c r="B835" t="s">
        <v>1472</v>
      </c>
      <c r="C835" t="s">
        <v>1808</v>
      </c>
      <c r="D835" t="s">
        <v>1809</v>
      </c>
    </row>
    <row r="836" spans="1:4" x14ac:dyDescent="0.3">
      <c r="A836" t="s">
        <v>1471</v>
      </c>
      <c r="B836" t="s">
        <v>1472</v>
      </c>
      <c r="C836" t="s">
        <v>1826</v>
      </c>
      <c r="D836" t="s">
        <v>913</v>
      </c>
    </row>
    <row r="837" spans="1:4" x14ac:dyDescent="0.3">
      <c r="A837" t="s">
        <v>1471</v>
      </c>
      <c r="B837" t="s">
        <v>1472</v>
      </c>
      <c r="C837" t="s">
        <v>1592</v>
      </c>
      <c r="D837" t="s">
        <v>1593</v>
      </c>
    </row>
    <row r="838" spans="1:4" x14ac:dyDescent="0.3">
      <c r="A838" t="s">
        <v>1471</v>
      </c>
      <c r="B838" t="s">
        <v>1472</v>
      </c>
      <c r="C838" t="s">
        <v>1479</v>
      </c>
      <c r="D838" t="s">
        <v>1480</v>
      </c>
    </row>
    <row r="839" spans="1:4" x14ac:dyDescent="0.3">
      <c r="A839" t="s">
        <v>1471</v>
      </c>
      <c r="B839" t="s">
        <v>1472</v>
      </c>
      <c r="C839" t="s">
        <v>1846</v>
      </c>
      <c r="D839" t="s">
        <v>1847</v>
      </c>
    </row>
    <row r="840" spans="1:4" x14ac:dyDescent="0.3">
      <c r="A840" t="s">
        <v>1471</v>
      </c>
      <c r="B840" t="s">
        <v>1472</v>
      </c>
      <c r="C840" t="s">
        <v>1509</v>
      </c>
      <c r="D840" t="s">
        <v>1510</v>
      </c>
    </row>
    <row r="841" spans="1:4" x14ac:dyDescent="0.3">
      <c r="A841" t="s">
        <v>1471</v>
      </c>
      <c r="B841" t="s">
        <v>1472</v>
      </c>
      <c r="C841" t="s">
        <v>1535</v>
      </c>
      <c r="D841" t="s">
        <v>1536</v>
      </c>
    </row>
    <row r="842" spans="1:4" x14ac:dyDescent="0.3">
      <c r="A842" t="s">
        <v>1471</v>
      </c>
      <c r="B842" t="s">
        <v>1472</v>
      </c>
      <c r="C842" t="s">
        <v>1852</v>
      </c>
      <c r="D842" t="s">
        <v>153</v>
      </c>
    </row>
    <row r="843" spans="1:4" x14ac:dyDescent="0.3">
      <c r="A843" t="s">
        <v>1471</v>
      </c>
      <c r="B843" t="s">
        <v>1472</v>
      </c>
      <c r="C843" t="s">
        <v>1686</v>
      </c>
      <c r="D843" t="s">
        <v>1687</v>
      </c>
    </row>
    <row r="844" spans="1:4" x14ac:dyDescent="0.3">
      <c r="A844" t="s">
        <v>1471</v>
      </c>
      <c r="B844" t="s">
        <v>1472</v>
      </c>
      <c r="C844" t="s">
        <v>1650</v>
      </c>
      <c r="D844" t="s">
        <v>1651</v>
      </c>
    </row>
    <row r="845" spans="1:4" x14ac:dyDescent="0.3">
      <c r="A845" t="s">
        <v>1471</v>
      </c>
      <c r="B845" t="s">
        <v>1472</v>
      </c>
      <c r="C845" t="s">
        <v>1859</v>
      </c>
      <c r="D845" t="s">
        <v>1860</v>
      </c>
    </row>
    <row r="846" spans="1:4" x14ac:dyDescent="0.3">
      <c r="A846" t="s">
        <v>1471</v>
      </c>
      <c r="B846" t="s">
        <v>1472</v>
      </c>
      <c r="C846" t="s">
        <v>1737</v>
      </c>
      <c r="D846" t="s">
        <v>1738</v>
      </c>
    </row>
    <row r="847" spans="1:4" x14ac:dyDescent="0.3">
      <c r="A847" t="s">
        <v>1471</v>
      </c>
      <c r="B847" t="s">
        <v>1472</v>
      </c>
      <c r="C847" t="s">
        <v>1867</v>
      </c>
      <c r="D847" t="s">
        <v>1868</v>
      </c>
    </row>
    <row r="848" spans="1:4" x14ac:dyDescent="0.3">
      <c r="A848" t="s">
        <v>1471</v>
      </c>
      <c r="B848" t="s">
        <v>1472</v>
      </c>
      <c r="C848" t="s">
        <v>1578</v>
      </c>
      <c r="D848" t="s">
        <v>1579</v>
      </c>
    </row>
    <row r="849" spans="1:4" x14ac:dyDescent="0.3">
      <c r="A849" t="s">
        <v>1471</v>
      </c>
      <c r="B849" t="s">
        <v>1472</v>
      </c>
      <c r="C849" t="s">
        <v>1503</v>
      </c>
      <c r="D849" t="s">
        <v>1504</v>
      </c>
    </row>
    <row r="850" spans="1:4" x14ac:dyDescent="0.3">
      <c r="A850" t="s">
        <v>1471</v>
      </c>
      <c r="B850" t="s">
        <v>1472</v>
      </c>
      <c r="C850" t="s">
        <v>1802</v>
      </c>
      <c r="D850" t="s">
        <v>1803</v>
      </c>
    </row>
    <row r="851" spans="1:4" x14ac:dyDescent="0.3">
      <c r="A851" t="s">
        <v>1471</v>
      </c>
      <c r="B851" t="s">
        <v>1472</v>
      </c>
      <c r="C851" t="s">
        <v>1777</v>
      </c>
      <c r="D851" t="s">
        <v>1778</v>
      </c>
    </row>
    <row r="852" spans="1:4" x14ac:dyDescent="0.3">
      <c r="A852" t="s">
        <v>1471</v>
      </c>
      <c r="B852" t="s">
        <v>1472</v>
      </c>
      <c r="C852" t="s">
        <v>1630</v>
      </c>
      <c r="D852" t="s">
        <v>1631</v>
      </c>
    </row>
    <row r="853" spans="1:4" x14ac:dyDescent="0.3">
      <c r="A853" t="s">
        <v>1471</v>
      </c>
      <c r="B853" t="s">
        <v>1472</v>
      </c>
      <c r="C853" t="s">
        <v>1844</v>
      </c>
      <c r="D853" t="s">
        <v>1845</v>
      </c>
    </row>
    <row r="854" spans="1:4" x14ac:dyDescent="0.3">
      <c r="A854" t="s">
        <v>1471</v>
      </c>
      <c r="B854" t="s">
        <v>1472</v>
      </c>
      <c r="C854" t="s">
        <v>1501</v>
      </c>
      <c r="D854" t="s">
        <v>1502</v>
      </c>
    </row>
    <row r="855" spans="1:4" x14ac:dyDescent="0.3">
      <c r="A855" t="s">
        <v>1471</v>
      </c>
      <c r="B855" t="s">
        <v>1472</v>
      </c>
      <c r="C855" t="s">
        <v>1690</v>
      </c>
      <c r="D855" t="s">
        <v>1691</v>
      </c>
    </row>
    <row r="856" spans="1:4" x14ac:dyDescent="0.3">
      <c r="A856" t="s">
        <v>1471</v>
      </c>
      <c r="B856" t="s">
        <v>1472</v>
      </c>
      <c r="C856" t="s">
        <v>1644</v>
      </c>
      <c r="D856" t="s">
        <v>1645</v>
      </c>
    </row>
    <row r="857" spans="1:4" x14ac:dyDescent="0.3">
      <c r="A857" t="s">
        <v>1471</v>
      </c>
      <c r="B857" t="s">
        <v>1472</v>
      </c>
      <c r="C857" t="s">
        <v>1775</v>
      </c>
      <c r="D857" t="s">
        <v>1776</v>
      </c>
    </row>
    <row r="858" spans="1:4" x14ac:dyDescent="0.3">
      <c r="A858" t="s">
        <v>1471</v>
      </c>
      <c r="B858" t="s">
        <v>1472</v>
      </c>
      <c r="C858" t="s">
        <v>1816</v>
      </c>
      <c r="D858" t="s">
        <v>1817</v>
      </c>
    </row>
    <row r="859" spans="1:4" x14ac:dyDescent="0.3">
      <c r="A859" t="s">
        <v>1471</v>
      </c>
      <c r="B859" t="s">
        <v>1472</v>
      </c>
      <c r="C859" t="s">
        <v>1771</v>
      </c>
      <c r="D859" t="s">
        <v>1772</v>
      </c>
    </row>
    <row r="860" spans="1:4" x14ac:dyDescent="0.3">
      <c r="A860" t="s">
        <v>1471</v>
      </c>
      <c r="B860" t="s">
        <v>1472</v>
      </c>
      <c r="C860" t="s">
        <v>1537</v>
      </c>
      <c r="D860" t="s">
        <v>1538</v>
      </c>
    </row>
    <row r="861" spans="1:4" x14ac:dyDescent="0.3">
      <c r="A861" t="s">
        <v>1471</v>
      </c>
      <c r="B861" t="s">
        <v>1472</v>
      </c>
      <c r="C861" t="s">
        <v>1703</v>
      </c>
      <c r="D861" t="s">
        <v>1704</v>
      </c>
    </row>
    <row r="862" spans="1:4" x14ac:dyDescent="0.3">
      <c r="A862" t="s">
        <v>1471</v>
      </c>
      <c r="B862" t="s">
        <v>1472</v>
      </c>
      <c r="C862" t="s">
        <v>1546</v>
      </c>
      <c r="D862" t="s">
        <v>1547</v>
      </c>
    </row>
    <row r="863" spans="1:4" x14ac:dyDescent="0.3">
      <c r="A863" t="s">
        <v>1471</v>
      </c>
      <c r="B863" t="s">
        <v>1472</v>
      </c>
      <c r="C863" t="s">
        <v>1552</v>
      </c>
      <c r="D863" t="s">
        <v>1553</v>
      </c>
    </row>
    <row r="864" spans="1:4" x14ac:dyDescent="0.3">
      <c r="A864" t="s">
        <v>1471</v>
      </c>
      <c r="B864" t="s">
        <v>1472</v>
      </c>
      <c r="C864" t="s">
        <v>1898</v>
      </c>
      <c r="D864" t="s">
        <v>1899</v>
      </c>
    </row>
    <row r="865" spans="1:4" x14ac:dyDescent="0.3">
      <c r="A865" t="s">
        <v>1471</v>
      </c>
      <c r="B865" t="s">
        <v>1472</v>
      </c>
      <c r="C865" t="s">
        <v>1713</v>
      </c>
      <c r="D865" t="s">
        <v>1714</v>
      </c>
    </row>
    <row r="866" spans="1:4" x14ac:dyDescent="0.3">
      <c r="A866" t="s">
        <v>1471</v>
      </c>
      <c r="B866" t="s">
        <v>1472</v>
      </c>
      <c r="C866" t="s">
        <v>1739</v>
      </c>
      <c r="D866" t="s">
        <v>1740</v>
      </c>
    </row>
    <row r="867" spans="1:4" x14ac:dyDescent="0.3">
      <c r="A867" t="s">
        <v>1471</v>
      </c>
      <c r="B867" t="s">
        <v>1472</v>
      </c>
      <c r="C867" t="s">
        <v>1880</v>
      </c>
      <c r="D867" t="s">
        <v>1881</v>
      </c>
    </row>
    <row r="868" spans="1:4" x14ac:dyDescent="0.3">
      <c r="A868" t="s">
        <v>1471</v>
      </c>
      <c r="B868" t="s">
        <v>1472</v>
      </c>
      <c r="C868" t="s">
        <v>1608</v>
      </c>
      <c r="D868" t="s">
        <v>1609</v>
      </c>
    </row>
    <row r="869" spans="1:4" x14ac:dyDescent="0.3">
      <c r="A869" t="s">
        <v>1471</v>
      </c>
      <c r="B869" t="s">
        <v>1472</v>
      </c>
      <c r="C869" t="s">
        <v>1789</v>
      </c>
      <c r="D869" t="s">
        <v>1790</v>
      </c>
    </row>
    <row r="870" spans="1:4" x14ac:dyDescent="0.3">
      <c r="A870" t="s">
        <v>1471</v>
      </c>
      <c r="B870" t="s">
        <v>1472</v>
      </c>
      <c r="C870" t="s">
        <v>1684</v>
      </c>
      <c r="D870" t="s">
        <v>1685</v>
      </c>
    </row>
    <row r="871" spans="1:4" x14ac:dyDescent="0.3">
      <c r="A871" t="s">
        <v>1471</v>
      </c>
      <c r="B871" t="s">
        <v>1472</v>
      </c>
      <c r="C871" t="s">
        <v>1517</v>
      </c>
      <c r="D871" t="s">
        <v>1518</v>
      </c>
    </row>
    <row r="872" spans="1:4" x14ac:dyDescent="0.3">
      <c r="A872" t="s">
        <v>1471</v>
      </c>
      <c r="B872" t="s">
        <v>1472</v>
      </c>
      <c r="C872" t="s">
        <v>1709</v>
      </c>
      <c r="D872" t="s">
        <v>1710</v>
      </c>
    </row>
    <row r="873" spans="1:4" x14ac:dyDescent="0.3">
      <c r="A873" t="s">
        <v>1471</v>
      </c>
      <c r="B873" t="s">
        <v>1472</v>
      </c>
      <c r="C873" t="s">
        <v>1580</v>
      </c>
      <c r="D873" t="s">
        <v>1581</v>
      </c>
    </row>
    <row r="874" spans="1:4" x14ac:dyDescent="0.3">
      <c r="A874" t="s">
        <v>1471</v>
      </c>
      <c r="B874" t="s">
        <v>1472</v>
      </c>
      <c r="C874" t="s">
        <v>1614</v>
      </c>
      <c r="D874" t="s">
        <v>1615</v>
      </c>
    </row>
    <row r="875" spans="1:4" x14ac:dyDescent="0.3">
      <c r="A875" t="s">
        <v>1471</v>
      </c>
      <c r="B875" t="s">
        <v>1472</v>
      </c>
      <c r="C875" t="s">
        <v>1884</v>
      </c>
      <c r="D875" t="s">
        <v>1885</v>
      </c>
    </row>
    <row r="876" spans="1:4" x14ac:dyDescent="0.3">
      <c r="A876" t="s">
        <v>1471</v>
      </c>
      <c r="B876" t="s">
        <v>1472</v>
      </c>
      <c r="C876" t="s">
        <v>1779</v>
      </c>
      <c r="D876" t="s">
        <v>1780</v>
      </c>
    </row>
    <row r="877" spans="1:4" x14ac:dyDescent="0.3">
      <c r="A877" t="s">
        <v>1471</v>
      </c>
      <c r="B877" t="s">
        <v>1472</v>
      </c>
      <c r="C877" t="s">
        <v>1485</v>
      </c>
      <c r="D877" t="s">
        <v>1486</v>
      </c>
    </row>
    <row r="878" spans="1:4" x14ac:dyDescent="0.3">
      <c r="A878" t="s">
        <v>1471</v>
      </c>
      <c r="B878" t="s">
        <v>1472</v>
      </c>
      <c r="C878" t="s">
        <v>1497</v>
      </c>
      <c r="D878" t="s">
        <v>1498</v>
      </c>
    </row>
    <row r="879" spans="1:4" x14ac:dyDescent="0.3">
      <c r="A879" t="s">
        <v>1471</v>
      </c>
      <c r="B879" t="s">
        <v>1472</v>
      </c>
      <c r="C879" t="s">
        <v>1499</v>
      </c>
      <c r="D879" t="s">
        <v>1500</v>
      </c>
    </row>
    <row r="880" spans="1:4" x14ac:dyDescent="0.3">
      <c r="A880" t="s">
        <v>1471</v>
      </c>
      <c r="B880" t="s">
        <v>1472</v>
      </c>
      <c r="C880" t="s">
        <v>1548</v>
      </c>
      <c r="D880" t="s">
        <v>1549</v>
      </c>
    </row>
    <row r="881" spans="1:4" x14ac:dyDescent="0.3">
      <c r="A881" t="s">
        <v>1471</v>
      </c>
      <c r="B881" t="s">
        <v>1472</v>
      </c>
      <c r="C881" t="s">
        <v>1523</v>
      </c>
      <c r="D881" t="s">
        <v>1524</v>
      </c>
    </row>
    <row r="882" spans="1:4" x14ac:dyDescent="0.3">
      <c r="A882" t="s">
        <v>1471</v>
      </c>
      <c r="B882" t="s">
        <v>1472</v>
      </c>
      <c r="C882" t="s">
        <v>1564</v>
      </c>
      <c r="D882" t="s">
        <v>1565</v>
      </c>
    </row>
    <row r="883" spans="1:4" x14ac:dyDescent="0.3">
      <c r="A883" t="s">
        <v>1471</v>
      </c>
      <c r="B883" t="s">
        <v>1472</v>
      </c>
      <c r="C883" t="s">
        <v>1610</v>
      </c>
      <c r="D883" t="s">
        <v>1611</v>
      </c>
    </row>
    <row r="884" spans="1:4" x14ac:dyDescent="0.3">
      <c r="A884" t="s">
        <v>1471</v>
      </c>
      <c r="B884" t="s">
        <v>1472</v>
      </c>
      <c r="C884" t="s">
        <v>1634</v>
      </c>
      <c r="D884" t="s">
        <v>1635</v>
      </c>
    </row>
    <row r="885" spans="1:4" x14ac:dyDescent="0.3">
      <c r="A885" t="s">
        <v>1471</v>
      </c>
      <c r="B885" t="s">
        <v>1472</v>
      </c>
      <c r="C885" t="s">
        <v>1640</v>
      </c>
      <c r="D885" t="s">
        <v>1641</v>
      </c>
    </row>
    <row r="886" spans="1:4" x14ac:dyDescent="0.3">
      <c r="A886" t="s">
        <v>1471</v>
      </c>
      <c r="B886" t="s">
        <v>1472</v>
      </c>
      <c r="C886" t="s">
        <v>1648</v>
      </c>
      <c r="D886" t="s">
        <v>1649</v>
      </c>
    </row>
    <row r="887" spans="1:4" x14ac:dyDescent="0.3">
      <c r="A887" t="s">
        <v>1471</v>
      </c>
      <c r="B887" t="s">
        <v>1472</v>
      </c>
      <c r="C887" t="s">
        <v>1698</v>
      </c>
      <c r="D887" t="s">
        <v>810</v>
      </c>
    </row>
    <row r="888" spans="1:4" x14ac:dyDescent="0.3">
      <c r="A888" t="s">
        <v>1471</v>
      </c>
      <c r="B888" t="s">
        <v>1472</v>
      </c>
      <c r="C888" t="s">
        <v>1701</v>
      </c>
      <c r="D888" t="s">
        <v>1702</v>
      </c>
    </row>
    <row r="889" spans="1:4" x14ac:dyDescent="0.3">
      <c r="A889" t="s">
        <v>1471</v>
      </c>
      <c r="B889" t="s">
        <v>1472</v>
      </c>
      <c r="C889" t="s">
        <v>1717</v>
      </c>
      <c r="D889" t="s">
        <v>1718</v>
      </c>
    </row>
    <row r="890" spans="1:4" x14ac:dyDescent="0.3">
      <c r="A890" t="s">
        <v>1471</v>
      </c>
      <c r="B890" t="s">
        <v>1472</v>
      </c>
      <c r="C890" t="s">
        <v>1676</v>
      </c>
      <c r="D890" t="s">
        <v>1677</v>
      </c>
    </row>
    <row r="891" spans="1:4" x14ac:dyDescent="0.3">
      <c r="A891" t="s">
        <v>1471</v>
      </c>
      <c r="B891" t="s">
        <v>1472</v>
      </c>
      <c r="C891" t="s">
        <v>1550</v>
      </c>
      <c r="D891" t="s">
        <v>1551</v>
      </c>
    </row>
    <row r="892" spans="1:4" x14ac:dyDescent="0.3">
      <c r="A892" t="s">
        <v>1471</v>
      </c>
      <c r="B892" t="s">
        <v>1472</v>
      </c>
      <c r="C892" t="s">
        <v>1759</v>
      </c>
      <c r="D892" t="s">
        <v>1760</v>
      </c>
    </row>
    <row r="893" spans="1:4" x14ac:dyDescent="0.3">
      <c r="A893" t="s">
        <v>1471</v>
      </c>
      <c r="B893" t="s">
        <v>1472</v>
      </c>
      <c r="C893" t="s">
        <v>1791</v>
      </c>
      <c r="D893" t="s">
        <v>1792</v>
      </c>
    </row>
    <row r="894" spans="1:4" x14ac:dyDescent="0.3">
      <c r="A894" t="s">
        <v>1471</v>
      </c>
      <c r="B894" t="s">
        <v>1472</v>
      </c>
      <c r="C894" t="s">
        <v>1801</v>
      </c>
      <c r="D894" t="s">
        <v>4169</v>
      </c>
    </row>
    <row r="895" spans="1:4" x14ac:dyDescent="0.3">
      <c r="A895" t="s">
        <v>1471</v>
      </c>
      <c r="B895" t="s">
        <v>1472</v>
      </c>
      <c r="C895" t="s">
        <v>1804</v>
      </c>
      <c r="D895" t="s">
        <v>1805</v>
      </c>
    </row>
    <row r="896" spans="1:4" x14ac:dyDescent="0.3">
      <c r="A896" t="s">
        <v>1471</v>
      </c>
      <c r="B896" t="s">
        <v>1472</v>
      </c>
      <c r="C896" t="s">
        <v>1810</v>
      </c>
      <c r="D896" t="s">
        <v>1811</v>
      </c>
    </row>
    <row r="897" spans="1:4" x14ac:dyDescent="0.3">
      <c r="A897" t="s">
        <v>1471</v>
      </c>
      <c r="B897" t="s">
        <v>1472</v>
      </c>
      <c r="C897" t="s">
        <v>1812</v>
      </c>
      <c r="D897" t="s">
        <v>1813</v>
      </c>
    </row>
    <row r="898" spans="1:4" x14ac:dyDescent="0.3">
      <c r="A898" t="s">
        <v>1471</v>
      </c>
      <c r="B898" t="s">
        <v>1472</v>
      </c>
      <c r="C898" t="s">
        <v>1857</v>
      </c>
      <c r="D898" t="s">
        <v>1858</v>
      </c>
    </row>
    <row r="899" spans="1:4" x14ac:dyDescent="0.3">
      <c r="A899" t="s">
        <v>1471</v>
      </c>
      <c r="B899" t="s">
        <v>1472</v>
      </c>
      <c r="C899" t="s">
        <v>1735</v>
      </c>
      <c r="D899" t="s">
        <v>1736</v>
      </c>
    </row>
    <row r="900" spans="1:4" x14ac:dyDescent="0.3">
      <c r="A900" t="s">
        <v>1471</v>
      </c>
      <c r="B900" t="s">
        <v>1472</v>
      </c>
      <c r="C900" t="s">
        <v>1838</v>
      </c>
      <c r="D900" t="s">
        <v>1839</v>
      </c>
    </row>
    <row r="901" spans="1:4" x14ac:dyDescent="0.3">
      <c r="A901" t="s">
        <v>1471</v>
      </c>
      <c r="B901" t="s">
        <v>1472</v>
      </c>
      <c r="C901" t="s">
        <v>1855</v>
      </c>
      <c r="D901" t="s">
        <v>1856</v>
      </c>
    </row>
    <row r="902" spans="1:4" x14ac:dyDescent="0.3">
      <c r="A902" t="s">
        <v>1471</v>
      </c>
      <c r="B902" t="s">
        <v>1472</v>
      </c>
      <c r="C902" t="s">
        <v>1829</v>
      </c>
      <c r="D902" t="s">
        <v>915</v>
      </c>
    </row>
    <row r="903" spans="1:4" x14ac:dyDescent="0.3">
      <c r="A903" t="s">
        <v>1471</v>
      </c>
      <c r="B903" t="s">
        <v>1472</v>
      </c>
      <c r="C903" t="s">
        <v>1902</v>
      </c>
      <c r="D903" t="s">
        <v>1152</v>
      </c>
    </row>
    <row r="904" spans="1:4" x14ac:dyDescent="0.3">
      <c r="A904" t="s">
        <v>1471</v>
      </c>
      <c r="B904" t="s">
        <v>1472</v>
      </c>
      <c r="C904" t="s">
        <v>1903</v>
      </c>
      <c r="D904" t="s">
        <v>1904</v>
      </c>
    </row>
    <row r="905" spans="1:4" x14ac:dyDescent="0.3">
      <c r="A905" t="s">
        <v>1471</v>
      </c>
      <c r="B905" t="s">
        <v>1472</v>
      </c>
      <c r="C905" t="s">
        <v>1905</v>
      </c>
      <c r="D905" t="s">
        <v>1906</v>
      </c>
    </row>
    <row r="906" spans="1:4" x14ac:dyDescent="0.3">
      <c r="A906" t="s">
        <v>1471</v>
      </c>
      <c r="B906" t="s">
        <v>1472</v>
      </c>
      <c r="C906" t="s">
        <v>1692</v>
      </c>
      <c r="D906" t="s">
        <v>1693</v>
      </c>
    </row>
    <row r="907" spans="1:4" x14ac:dyDescent="0.3">
      <c r="A907" t="s">
        <v>1471</v>
      </c>
      <c r="B907" t="s">
        <v>1472</v>
      </c>
      <c r="C907" t="s">
        <v>1495</v>
      </c>
      <c r="D907" t="s">
        <v>1496</v>
      </c>
    </row>
    <row r="908" spans="1:4" x14ac:dyDescent="0.3">
      <c r="A908" t="s">
        <v>1471</v>
      </c>
      <c r="B908" t="s">
        <v>1472</v>
      </c>
      <c r="C908" t="s">
        <v>1525</v>
      </c>
      <c r="D908" t="s">
        <v>1526</v>
      </c>
    </row>
    <row r="909" spans="1:4" x14ac:dyDescent="0.3">
      <c r="A909" t="s">
        <v>1471</v>
      </c>
      <c r="B909" t="s">
        <v>1472</v>
      </c>
      <c r="C909" t="s">
        <v>1642</v>
      </c>
      <c r="D909" t="s">
        <v>1643</v>
      </c>
    </row>
    <row r="910" spans="1:4" x14ac:dyDescent="0.3">
      <c r="A910" t="s">
        <v>1471</v>
      </c>
      <c r="B910" t="s">
        <v>1472</v>
      </c>
      <c r="C910" t="s">
        <v>1861</v>
      </c>
      <c r="D910" t="s">
        <v>1862</v>
      </c>
    </row>
    <row r="911" spans="1:4" x14ac:dyDescent="0.3">
      <c r="A911" t="s">
        <v>1471</v>
      </c>
      <c r="B911" t="s">
        <v>1472</v>
      </c>
      <c r="C911" t="s">
        <v>1886</v>
      </c>
      <c r="D911" t="s">
        <v>1887</v>
      </c>
    </row>
    <row r="912" spans="1:4" x14ac:dyDescent="0.3">
      <c r="A912" t="s">
        <v>1471</v>
      </c>
      <c r="B912" t="s">
        <v>1472</v>
      </c>
      <c r="C912" t="s">
        <v>1560</v>
      </c>
      <c r="D912" t="s">
        <v>1561</v>
      </c>
    </row>
    <row r="913" spans="1:4" x14ac:dyDescent="0.3">
      <c r="A913" t="s">
        <v>1471</v>
      </c>
      <c r="B913" t="s">
        <v>1472</v>
      </c>
      <c r="C913" t="s">
        <v>1584</v>
      </c>
      <c r="D913" t="s">
        <v>1585</v>
      </c>
    </row>
    <row r="914" spans="1:4" x14ac:dyDescent="0.3">
      <c r="A914" t="s">
        <v>1471</v>
      </c>
      <c r="B914" t="s">
        <v>1472</v>
      </c>
      <c r="C914" t="s">
        <v>1705</v>
      </c>
      <c r="D914" t="s">
        <v>1706</v>
      </c>
    </row>
    <row r="915" spans="1:4" x14ac:dyDescent="0.3">
      <c r="A915" t="s">
        <v>1471</v>
      </c>
      <c r="B915" t="s">
        <v>1472</v>
      </c>
      <c r="C915" t="s">
        <v>1596</v>
      </c>
      <c r="D915" t="s">
        <v>1597</v>
      </c>
    </row>
    <row r="916" spans="1:4" x14ac:dyDescent="0.3">
      <c r="A916" t="s">
        <v>1471</v>
      </c>
      <c r="B916" t="s">
        <v>1472</v>
      </c>
      <c r="C916" t="s">
        <v>1652</v>
      </c>
      <c r="D916" t="s">
        <v>1653</v>
      </c>
    </row>
    <row r="917" spans="1:4" x14ac:dyDescent="0.3">
      <c r="A917" t="s">
        <v>1471</v>
      </c>
      <c r="B917" t="s">
        <v>1472</v>
      </c>
      <c r="C917" t="s">
        <v>1909</v>
      </c>
      <c r="D917" t="s">
        <v>1910</v>
      </c>
    </row>
    <row r="918" spans="1:4" x14ac:dyDescent="0.3">
      <c r="A918" t="s">
        <v>1471</v>
      </c>
      <c r="B918" t="s">
        <v>1472</v>
      </c>
      <c r="C918" t="s">
        <v>1869</v>
      </c>
      <c r="D918" t="s">
        <v>1870</v>
      </c>
    </row>
    <row r="919" spans="1:4" x14ac:dyDescent="0.3">
      <c r="A919" t="s">
        <v>1471</v>
      </c>
      <c r="B919" t="s">
        <v>1472</v>
      </c>
      <c r="C919" t="s">
        <v>1842</v>
      </c>
      <c r="D919" t="s">
        <v>1843</v>
      </c>
    </row>
    <row r="920" spans="1:4" x14ac:dyDescent="0.3">
      <c r="A920" t="s">
        <v>1471</v>
      </c>
      <c r="B920" t="s">
        <v>1472</v>
      </c>
      <c r="C920" t="s">
        <v>1751</v>
      </c>
      <c r="D920" t="s">
        <v>1752</v>
      </c>
    </row>
    <row r="921" spans="1:4" x14ac:dyDescent="0.3">
      <c r="A921" t="s">
        <v>1471</v>
      </c>
      <c r="B921" t="s">
        <v>1472</v>
      </c>
      <c r="C921" t="s">
        <v>1680</v>
      </c>
      <c r="D921" t="s">
        <v>1681</v>
      </c>
    </row>
    <row r="922" spans="1:4" x14ac:dyDescent="0.3">
      <c r="A922" t="s">
        <v>1471</v>
      </c>
      <c r="B922" t="s">
        <v>1472</v>
      </c>
      <c r="C922" t="s">
        <v>1688</v>
      </c>
      <c r="D922" t="s">
        <v>1689</v>
      </c>
    </row>
    <row r="923" spans="1:4" x14ac:dyDescent="0.3">
      <c r="A923" t="s">
        <v>1471</v>
      </c>
      <c r="B923" t="s">
        <v>1472</v>
      </c>
      <c r="C923" t="s">
        <v>1745</v>
      </c>
      <c r="D923" t="s">
        <v>1746</v>
      </c>
    </row>
    <row r="924" spans="1:4" x14ac:dyDescent="0.3">
      <c r="A924" t="s">
        <v>1471</v>
      </c>
      <c r="B924" t="s">
        <v>1472</v>
      </c>
      <c r="C924" t="s">
        <v>1654</v>
      </c>
      <c r="D924" t="s">
        <v>1655</v>
      </c>
    </row>
    <row r="925" spans="1:4" x14ac:dyDescent="0.3">
      <c r="A925" t="s">
        <v>1471</v>
      </c>
      <c r="B925" t="s">
        <v>1472</v>
      </c>
      <c r="C925" t="s">
        <v>1707</v>
      </c>
      <c r="D925" t="s">
        <v>1708</v>
      </c>
    </row>
    <row r="926" spans="1:4" x14ac:dyDescent="0.3">
      <c r="A926" t="s">
        <v>1471</v>
      </c>
      <c r="B926" t="s">
        <v>1472</v>
      </c>
      <c r="C926" t="s">
        <v>1519</v>
      </c>
      <c r="D926" t="s">
        <v>1520</v>
      </c>
    </row>
    <row r="927" spans="1:4" x14ac:dyDescent="0.3">
      <c r="A927" t="s">
        <v>1471</v>
      </c>
      <c r="B927" t="s">
        <v>1472</v>
      </c>
      <c r="C927" t="s">
        <v>1658</v>
      </c>
      <c r="D927" t="s">
        <v>1659</v>
      </c>
    </row>
    <row r="928" spans="1:4" x14ac:dyDescent="0.3">
      <c r="A928" t="s">
        <v>1471</v>
      </c>
      <c r="B928" t="s">
        <v>1472</v>
      </c>
      <c r="C928" t="s">
        <v>1491</v>
      </c>
      <c r="D928" t="s">
        <v>1492</v>
      </c>
    </row>
    <row r="929" spans="1:4" x14ac:dyDescent="0.3">
      <c r="A929" t="s">
        <v>1471</v>
      </c>
      <c r="B929" t="s">
        <v>1472</v>
      </c>
      <c r="C929" t="s">
        <v>1723</v>
      </c>
      <c r="D929" t="s">
        <v>1724</v>
      </c>
    </row>
    <row r="930" spans="1:4" x14ac:dyDescent="0.3">
      <c r="A930" t="s">
        <v>1471</v>
      </c>
      <c r="B930" t="s">
        <v>1472</v>
      </c>
      <c r="C930" t="s">
        <v>1721</v>
      </c>
      <c r="D930" t="s">
        <v>1722</v>
      </c>
    </row>
    <row r="931" spans="1:4" x14ac:dyDescent="0.3">
      <c r="A931" t="s">
        <v>1471</v>
      </c>
      <c r="B931" t="s">
        <v>1472</v>
      </c>
      <c r="C931" t="s">
        <v>1719</v>
      </c>
      <c r="D931" t="s">
        <v>1720</v>
      </c>
    </row>
    <row r="932" spans="1:4" x14ac:dyDescent="0.3">
      <c r="A932" t="s">
        <v>1471</v>
      </c>
      <c r="B932" t="s">
        <v>1472</v>
      </c>
      <c r="C932" t="s">
        <v>1834</v>
      </c>
      <c r="D932" t="s">
        <v>1835</v>
      </c>
    </row>
    <row r="933" spans="1:4" x14ac:dyDescent="0.3">
      <c r="A933" t="s">
        <v>1471</v>
      </c>
      <c r="B933" t="s">
        <v>1472</v>
      </c>
      <c r="C933" t="s">
        <v>1477</v>
      </c>
      <c r="D933" t="s">
        <v>1478</v>
      </c>
    </row>
    <row r="934" spans="1:4" x14ac:dyDescent="0.3">
      <c r="A934" t="s">
        <v>1471</v>
      </c>
      <c r="B934" t="s">
        <v>1472</v>
      </c>
      <c r="C934" t="s">
        <v>1873</v>
      </c>
      <c r="D934" t="s">
        <v>1874</v>
      </c>
    </row>
    <row r="935" spans="1:4" x14ac:dyDescent="0.3">
      <c r="A935" t="s">
        <v>1471</v>
      </c>
      <c r="B935" t="s">
        <v>1472</v>
      </c>
      <c r="C935" t="s">
        <v>1806</v>
      </c>
      <c r="D935" t="s">
        <v>1807</v>
      </c>
    </row>
    <row r="936" spans="1:4" x14ac:dyDescent="0.3">
      <c r="A936" t="s">
        <v>1471</v>
      </c>
      <c r="B936" t="s">
        <v>1472</v>
      </c>
      <c r="C936" t="s">
        <v>1586</v>
      </c>
      <c r="D936" t="s">
        <v>1587</v>
      </c>
    </row>
    <row r="937" spans="1:4" x14ac:dyDescent="0.3">
      <c r="A937" t="s">
        <v>1471</v>
      </c>
      <c r="B937" t="s">
        <v>1472</v>
      </c>
      <c r="C937" t="s">
        <v>1787</v>
      </c>
      <c r="D937" t="s">
        <v>1788</v>
      </c>
    </row>
    <row r="938" spans="1:4" x14ac:dyDescent="0.3">
      <c r="A938" t="s">
        <v>1471</v>
      </c>
      <c r="B938" t="s">
        <v>1472</v>
      </c>
      <c r="C938" t="s">
        <v>1871</v>
      </c>
      <c r="D938" t="s">
        <v>1872</v>
      </c>
    </row>
    <row r="939" spans="1:4" x14ac:dyDescent="0.3">
      <c r="A939" t="s">
        <v>1471</v>
      </c>
      <c r="B939" t="s">
        <v>1472</v>
      </c>
      <c r="C939" t="s">
        <v>1765</v>
      </c>
      <c r="D939" t="s">
        <v>1766</v>
      </c>
    </row>
    <row r="940" spans="1:4" x14ac:dyDescent="0.3">
      <c r="A940" t="s">
        <v>1917</v>
      </c>
      <c r="B940" t="s">
        <v>1918</v>
      </c>
      <c r="C940" t="s">
        <v>1925</v>
      </c>
      <c r="D940" t="s">
        <v>1926</v>
      </c>
    </row>
    <row r="941" spans="1:4" x14ac:dyDescent="0.3">
      <c r="A941" t="s">
        <v>1917</v>
      </c>
      <c r="B941" t="s">
        <v>1918</v>
      </c>
      <c r="C941" t="s">
        <v>1939</v>
      </c>
      <c r="D941" t="s">
        <v>1940</v>
      </c>
    </row>
    <row r="942" spans="1:4" x14ac:dyDescent="0.3">
      <c r="A942" t="s">
        <v>1917</v>
      </c>
      <c r="B942" t="s">
        <v>1918</v>
      </c>
      <c r="C942" t="s">
        <v>1941</v>
      </c>
      <c r="D942" t="s">
        <v>1942</v>
      </c>
    </row>
    <row r="943" spans="1:4" x14ac:dyDescent="0.3">
      <c r="A943" t="s">
        <v>1917</v>
      </c>
      <c r="B943" t="s">
        <v>1918</v>
      </c>
      <c r="C943" t="s">
        <v>1933</v>
      </c>
      <c r="D943" t="s">
        <v>1934</v>
      </c>
    </row>
    <row r="944" spans="1:4" x14ac:dyDescent="0.3">
      <c r="A944" t="s">
        <v>1917</v>
      </c>
      <c r="B944" t="s">
        <v>1918</v>
      </c>
      <c r="C944" t="s">
        <v>1931</v>
      </c>
      <c r="D944" t="s">
        <v>1932</v>
      </c>
    </row>
    <row r="945" spans="1:4" x14ac:dyDescent="0.3">
      <c r="A945" t="s">
        <v>1917</v>
      </c>
      <c r="B945" t="s">
        <v>1918</v>
      </c>
      <c r="C945" t="s">
        <v>1921</v>
      </c>
      <c r="D945" t="s">
        <v>1922</v>
      </c>
    </row>
    <row r="946" spans="1:4" x14ac:dyDescent="0.3">
      <c r="A946" t="s">
        <v>1917</v>
      </c>
      <c r="B946" t="s">
        <v>1918</v>
      </c>
      <c r="C946" t="s">
        <v>1919</v>
      </c>
      <c r="D946" t="s">
        <v>1920</v>
      </c>
    </row>
    <row r="947" spans="1:4" x14ac:dyDescent="0.3">
      <c r="A947" t="s">
        <v>1917</v>
      </c>
      <c r="B947" t="s">
        <v>1918</v>
      </c>
      <c r="C947" t="s">
        <v>1949</v>
      </c>
      <c r="D947" t="s">
        <v>1950</v>
      </c>
    </row>
    <row r="948" spans="1:4" x14ac:dyDescent="0.3">
      <c r="A948" t="s">
        <v>1917</v>
      </c>
      <c r="B948" t="s">
        <v>1918</v>
      </c>
      <c r="C948" t="s">
        <v>1927</v>
      </c>
      <c r="D948" t="s">
        <v>1928</v>
      </c>
    </row>
    <row r="949" spans="1:4" x14ac:dyDescent="0.3">
      <c r="A949" t="s">
        <v>1917</v>
      </c>
      <c r="B949" t="s">
        <v>1918</v>
      </c>
      <c r="C949" t="s">
        <v>1953</v>
      </c>
      <c r="D949" t="s">
        <v>1954</v>
      </c>
    </row>
    <row r="950" spans="1:4" x14ac:dyDescent="0.3">
      <c r="A950" t="s">
        <v>1917</v>
      </c>
      <c r="B950" t="s">
        <v>1918</v>
      </c>
      <c r="C950" t="s">
        <v>1943</v>
      </c>
      <c r="D950" t="s">
        <v>1944</v>
      </c>
    </row>
    <row r="951" spans="1:4" x14ac:dyDescent="0.3">
      <c r="A951" t="s">
        <v>1917</v>
      </c>
      <c r="B951" t="s">
        <v>1918</v>
      </c>
      <c r="C951" t="s">
        <v>1923</v>
      </c>
      <c r="D951" t="s">
        <v>1924</v>
      </c>
    </row>
    <row r="952" spans="1:4" x14ac:dyDescent="0.3">
      <c r="A952" t="s">
        <v>1917</v>
      </c>
      <c r="B952" t="s">
        <v>1918</v>
      </c>
      <c r="C952" t="s">
        <v>1935</v>
      </c>
      <c r="D952" t="s">
        <v>1936</v>
      </c>
    </row>
    <row r="953" spans="1:4" x14ac:dyDescent="0.3">
      <c r="A953" t="s">
        <v>1917</v>
      </c>
      <c r="B953" t="s">
        <v>1918</v>
      </c>
      <c r="C953" t="s">
        <v>1937</v>
      </c>
      <c r="D953" t="s">
        <v>1938</v>
      </c>
    </row>
    <row r="954" spans="1:4" x14ac:dyDescent="0.3">
      <c r="A954" t="s">
        <v>1917</v>
      </c>
      <c r="B954" t="s">
        <v>1918</v>
      </c>
      <c r="C954" t="s">
        <v>4258</v>
      </c>
      <c r="D954" t="s">
        <v>4246</v>
      </c>
    </row>
    <row r="955" spans="1:4" x14ac:dyDescent="0.3">
      <c r="A955" t="s">
        <v>1917</v>
      </c>
      <c r="B955" t="s">
        <v>1918</v>
      </c>
      <c r="C955" t="s">
        <v>4259</v>
      </c>
      <c r="D955" t="s">
        <v>4165</v>
      </c>
    </row>
    <row r="956" spans="1:4" x14ac:dyDescent="0.3">
      <c r="A956" t="s">
        <v>1917</v>
      </c>
      <c r="B956" t="s">
        <v>1918</v>
      </c>
      <c r="C956" t="s">
        <v>1945</v>
      </c>
      <c r="D956" t="s">
        <v>1946</v>
      </c>
    </row>
    <row r="957" spans="1:4" x14ac:dyDescent="0.3">
      <c r="A957" t="s">
        <v>1917</v>
      </c>
      <c r="B957" t="s">
        <v>1918</v>
      </c>
      <c r="C957" t="s">
        <v>1947</v>
      </c>
      <c r="D957" t="s">
        <v>1948</v>
      </c>
    </row>
    <row r="958" spans="1:4" x14ac:dyDescent="0.3">
      <c r="A958" t="s">
        <v>1917</v>
      </c>
      <c r="B958" t="s">
        <v>1918</v>
      </c>
      <c r="C958" t="s">
        <v>1929</v>
      </c>
      <c r="D958" t="s">
        <v>1930</v>
      </c>
    </row>
    <row r="959" spans="1:4" x14ac:dyDescent="0.3">
      <c r="A959" t="s">
        <v>1917</v>
      </c>
      <c r="B959" t="s">
        <v>1918</v>
      </c>
      <c r="C959" t="s">
        <v>1951</v>
      </c>
      <c r="D959" t="s">
        <v>1952</v>
      </c>
    </row>
    <row r="960" spans="1:4" x14ac:dyDescent="0.3">
      <c r="A960" t="s">
        <v>303</v>
      </c>
      <c r="B960" t="s">
        <v>1955</v>
      </c>
      <c r="C960" t="s">
        <v>2038</v>
      </c>
      <c r="D960" t="s">
        <v>2039</v>
      </c>
    </row>
    <row r="961" spans="1:4" x14ac:dyDescent="0.3">
      <c r="A961" t="s">
        <v>303</v>
      </c>
      <c r="B961" t="s">
        <v>1955</v>
      </c>
      <c r="C961" t="s">
        <v>2000</v>
      </c>
      <c r="D961" t="s">
        <v>2001</v>
      </c>
    </row>
    <row r="962" spans="1:4" x14ac:dyDescent="0.3">
      <c r="A962" t="s">
        <v>303</v>
      </c>
      <c r="B962" t="s">
        <v>1955</v>
      </c>
      <c r="C962" t="s">
        <v>2010</v>
      </c>
      <c r="D962" t="s">
        <v>2011</v>
      </c>
    </row>
    <row r="963" spans="1:4" x14ac:dyDescent="0.3">
      <c r="A963" t="s">
        <v>303</v>
      </c>
      <c r="B963" t="s">
        <v>1955</v>
      </c>
      <c r="C963" t="s">
        <v>1978</v>
      </c>
      <c r="D963" t="s">
        <v>1979</v>
      </c>
    </row>
    <row r="964" spans="1:4" x14ac:dyDescent="0.3">
      <c r="A964" t="s">
        <v>303</v>
      </c>
      <c r="B964" t="s">
        <v>1955</v>
      </c>
      <c r="C964" t="s">
        <v>1976</v>
      </c>
      <c r="D964" t="s">
        <v>1977</v>
      </c>
    </row>
    <row r="965" spans="1:4" x14ac:dyDescent="0.3">
      <c r="A965" t="s">
        <v>303</v>
      </c>
      <c r="B965" t="s">
        <v>1955</v>
      </c>
      <c r="C965" t="s">
        <v>2032</v>
      </c>
      <c r="D965" t="s">
        <v>2033</v>
      </c>
    </row>
    <row r="966" spans="1:4" x14ac:dyDescent="0.3">
      <c r="A966" t="s">
        <v>303</v>
      </c>
      <c r="B966" t="s">
        <v>1955</v>
      </c>
      <c r="C966" t="s">
        <v>1980</v>
      </c>
      <c r="D966" t="s">
        <v>1981</v>
      </c>
    </row>
    <row r="967" spans="1:4" x14ac:dyDescent="0.3">
      <c r="A967" t="s">
        <v>303</v>
      </c>
      <c r="B967" t="s">
        <v>1955</v>
      </c>
      <c r="C967" t="s">
        <v>2016</v>
      </c>
      <c r="D967" t="s">
        <v>2017</v>
      </c>
    </row>
    <row r="968" spans="1:4" x14ac:dyDescent="0.3">
      <c r="A968" t="s">
        <v>303</v>
      </c>
      <c r="B968" t="s">
        <v>1955</v>
      </c>
      <c r="C968" t="s">
        <v>1974</v>
      </c>
      <c r="D968" t="s">
        <v>1975</v>
      </c>
    </row>
    <row r="969" spans="1:4" x14ac:dyDescent="0.3">
      <c r="A969" t="s">
        <v>303</v>
      </c>
      <c r="B969" t="s">
        <v>1955</v>
      </c>
      <c r="C969" t="s">
        <v>2028</v>
      </c>
      <c r="D969" t="s">
        <v>2029</v>
      </c>
    </row>
    <row r="970" spans="1:4" x14ac:dyDescent="0.3">
      <c r="A970" t="s">
        <v>303</v>
      </c>
      <c r="B970" t="s">
        <v>1955</v>
      </c>
      <c r="C970" t="s">
        <v>1969</v>
      </c>
      <c r="D970" t="s">
        <v>1970</v>
      </c>
    </row>
    <row r="971" spans="1:4" x14ac:dyDescent="0.3">
      <c r="A971" t="s">
        <v>303</v>
      </c>
      <c r="B971" t="s">
        <v>1955</v>
      </c>
      <c r="C971" t="s">
        <v>1996</v>
      </c>
      <c r="D971" t="s">
        <v>1997</v>
      </c>
    </row>
    <row r="972" spans="1:4" x14ac:dyDescent="0.3">
      <c r="A972" t="s">
        <v>303</v>
      </c>
      <c r="B972" t="s">
        <v>1955</v>
      </c>
      <c r="C972" t="s">
        <v>2022</v>
      </c>
      <c r="D972" t="s">
        <v>2023</v>
      </c>
    </row>
    <row r="973" spans="1:4" x14ac:dyDescent="0.3">
      <c r="A973" t="s">
        <v>303</v>
      </c>
      <c r="B973" t="s">
        <v>1955</v>
      </c>
      <c r="C973" t="s">
        <v>4263</v>
      </c>
      <c r="D973" t="s">
        <v>4250</v>
      </c>
    </row>
    <row r="974" spans="1:4" x14ac:dyDescent="0.3">
      <c r="A974" t="s">
        <v>303</v>
      </c>
      <c r="B974" t="s">
        <v>1955</v>
      </c>
      <c r="C974" t="s">
        <v>1958</v>
      </c>
      <c r="D974" t="s">
        <v>1959</v>
      </c>
    </row>
    <row r="975" spans="1:4" x14ac:dyDescent="0.3">
      <c r="A975" t="s">
        <v>303</v>
      </c>
      <c r="B975" t="s">
        <v>1955</v>
      </c>
      <c r="C975" t="s">
        <v>1971</v>
      </c>
      <c r="D975" t="s">
        <v>4170</v>
      </c>
    </row>
    <row r="976" spans="1:4" x14ac:dyDescent="0.3">
      <c r="A976" t="s">
        <v>303</v>
      </c>
      <c r="B976" t="s">
        <v>1955</v>
      </c>
      <c r="C976" t="s">
        <v>2034</v>
      </c>
      <c r="D976" t="s">
        <v>2035</v>
      </c>
    </row>
    <row r="977" spans="1:4" x14ac:dyDescent="0.3">
      <c r="A977" t="s">
        <v>303</v>
      </c>
      <c r="B977" t="s">
        <v>1955</v>
      </c>
      <c r="C977" t="s">
        <v>2026</v>
      </c>
      <c r="D977" t="s">
        <v>2027</v>
      </c>
    </row>
    <row r="978" spans="1:4" x14ac:dyDescent="0.3">
      <c r="A978" t="s">
        <v>303</v>
      </c>
      <c r="B978" t="s">
        <v>1955</v>
      </c>
      <c r="C978" t="s">
        <v>1990</v>
      </c>
      <c r="D978" t="s">
        <v>1991</v>
      </c>
    </row>
    <row r="979" spans="1:4" x14ac:dyDescent="0.3">
      <c r="A979" t="s">
        <v>303</v>
      </c>
      <c r="B979" t="s">
        <v>1955</v>
      </c>
      <c r="C979" t="s">
        <v>1988</v>
      </c>
      <c r="D979" t="s">
        <v>1989</v>
      </c>
    </row>
    <row r="980" spans="1:4" x14ac:dyDescent="0.3">
      <c r="A980" t="s">
        <v>303</v>
      </c>
      <c r="B980" t="s">
        <v>1955</v>
      </c>
      <c r="C980" t="s">
        <v>1986</v>
      </c>
      <c r="D980" t="s">
        <v>1987</v>
      </c>
    </row>
    <row r="981" spans="1:4" x14ac:dyDescent="0.3">
      <c r="A981" t="s">
        <v>303</v>
      </c>
      <c r="B981" t="s">
        <v>1955</v>
      </c>
      <c r="C981" t="s">
        <v>2044</v>
      </c>
      <c r="D981" t="s">
        <v>2045</v>
      </c>
    </row>
    <row r="982" spans="1:4" x14ac:dyDescent="0.3">
      <c r="A982" t="s">
        <v>303</v>
      </c>
      <c r="B982" t="s">
        <v>1955</v>
      </c>
      <c r="C982" t="s">
        <v>1982</v>
      </c>
      <c r="D982" t="s">
        <v>1983</v>
      </c>
    </row>
    <row r="983" spans="1:4" x14ac:dyDescent="0.3">
      <c r="A983" t="s">
        <v>303</v>
      </c>
      <c r="B983" t="s">
        <v>1955</v>
      </c>
      <c r="C983" t="s">
        <v>2020</v>
      </c>
      <c r="D983" t="s">
        <v>2021</v>
      </c>
    </row>
    <row r="984" spans="1:4" x14ac:dyDescent="0.3">
      <c r="A984" t="s">
        <v>303</v>
      </c>
      <c r="B984" t="s">
        <v>1955</v>
      </c>
      <c r="C984" t="s">
        <v>2024</v>
      </c>
      <c r="D984" t="s">
        <v>2025</v>
      </c>
    </row>
    <row r="985" spans="1:4" x14ac:dyDescent="0.3">
      <c r="A985" t="s">
        <v>303</v>
      </c>
      <c r="B985" t="s">
        <v>1955</v>
      </c>
      <c r="C985" t="s">
        <v>1962</v>
      </c>
      <c r="D985" t="s">
        <v>591</v>
      </c>
    </row>
    <row r="986" spans="1:4" x14ac:dyDescent="0.3">
      <c r="A986" t="s">
        <v>303</v>
      </c>
      <c r="B986" t="s">
        <v>1955</v>
      </c>
      <c r="C986" t="s">
        <v>1972</v>
      </c>
      <c r="D986" t="s">
        <v>1973</v>
      </c>
    </row>
    <row r="987" spans="1:4" x14ac:dyDescent="0.3">
      <c r="A987" t="s">
        <v>303</v>
      </c>
      <c r="B987" t="s">
        <v>1955</v>
      </c>
      <c r="C987" t="s">
        <v>2012</v>
      </c>
      <c r="D987" t="s">
        <v>2013</v>
      </c>
    </row>
    <row r="988" spans="1:4" x14ac:dyDescent="0.3">
      <c r="A988" t="s">
        <v>303</v>
      </c>
      <c r="B988" t="s">
        <v>1955</v>
      </c>
      <c r="C988" t="s">
        <v>2042</v>
      </c>
      <c r="D988" t="s">
        <v>2043</v>
      </c>
    </row>
    <row r="989" spans="1:4" x14ac:dyDescent="0.3">
      <c r="A989" t="s">
        <v>303</v>
      </c>
      <c r="B989" t="s">
        <v>1955</v>
      </c>
      <c r="C989" t="s">
        <v>2006</v>
      </c>
      <c r="D989" t="s">
        <v>2007</v>
      </c>
    </row>
    <row r="990" spans="1:4" x14ac:dyDescent="0.3">
      <c r="A990" t="s">
        <v>303</v>
      </c>
      <c r="B990" t="s">
        <v>1955</v>
      </c>
      <c r="C990" t="s">
        <v>1967</v>
      </c>
      <c r="D990" t="s">
        <v>1968</v>
      </c>
    </row>
    <row r="991" spans="1:4" x14ac:dyDescent="0.3">
      <c r="A991" t="s">
        <v>303</v>
      </c>
      <c r="B991" t="s">
        <v>1955</v>
      </c>
      <c r="C991" t="s">
        <v>1965</v>
      </c>
      <c r="D991" t="s">
        <v>1966</v>
      </c>
    </row>
    <row r="992" spans="1:4" x14ac:dyDescent="0.3">
      <c r="A992" t="s">
        <v>303</v>
      </c>
      <c r="B992" t="s">
        <v>1955</v>
      </c>
      <c r="C992" t="s">
        <v>1994</v>
      </c>
      <c r="D992" t="s">
        <v>1995</v>
      </c>
    </row>
    <row r="993" spans="1:4" x14ac:dyDescent="0.3">
      <c r="A993" t="s">
        <v>303</v>
      </c>
      <c r="B993" t="s">
        <v>1955</v>
      </c>
      <c r="C993" t="s">
        <v>2040</v>
      </c>
      <c r="D993" t="s">
        <v>2041</v>
      </c>
    </row>
    <row r="994" spans="1:4" x14ac:dyDescent="0.3">
      <c r="A994" t="s">
        <v>303</v>
      </c>
      <c r="B994" t="s">
        <v>1955</v>
      </c>
      <c r="C994" t="s">
        <v>1992</v>
      </c>
      <c r="D994" t="s">
        <v>1993</v>
      </c>
    </row>
    <row r="995" spans="1:4" x14ac:dyDescent="0.3">
      <c r="A995" t="s">
        <v>303</v>
      </c>
      <c r="B995" t="s">
        <v>1955</v>
      </c>
      <c r="C995" t="s">
        <v>2046</v>
      </c>
      <c r="D995" t="s">
        <v>2047</v>
      </c>
    </row>
    <row r="996" spans="1:4" x14ac:dyDescent="0.3">
      <c r="A996" t="s">
        <v>303</v>
      </c>
      <c r="B996" t="s">
        <v>1955</v>
      </c>
      <c r="C996" t="s">
        <v>2018</v>
      </c>
      <c r="D996" t="s">
        <v>2019</v>
      </c>
    </row>
    <row r="997" spans="1:4" x14ac:dyDescent="0.3">
      <c r="A997" t="s">
        <v>303</v>
      </c>
      <c r="B997" t="s">
        <v>1955</v>
      </c>
      <c r="C997" t="s">
        <v>1960</v>
      </c>
      <c r="D997" t="s">
        <v>1961</v>
      </c>
    </row>
    <row r="998" spans="1:4" x14ac:dyDescent="0.3">
      <c r="A998" t="s">
        <v>303</v>
      </c>
      <c r="B998" t="s">
        <v>1955</v>
      </c>
      <c r="C998" t="s">
        <v>1998</v>
      </c>
      <c r="D998" t="s">
        <v>1999</v>
      </c>
    </row>
    <row r="999" spans="1:4" x14ac:dyDescent="0.3">
      <c r="A999" t="s">
        <v>303</v>
      </c>
      <c r="B999" t="s">
        <v>1955</v>
      </c>
      <c r="C999" t="s">
        <v>2030</v>
      </c>
      <c r="D999" t="s">
        <v>2031</v>
      </c>
    </row>
    <row r="1000" spans="1:4" x14ac:dyDescent="0.3">
      <c r="A1000" t="s">
        <v>303</v>
      </c>
      <c r="B1000" t="s">
        <v>1955</v>
      </c>
      <c r="C1000" t="s">
        <v>1984</v>
      </c>
      <c r="D1000" t="s">
        <v>1985</v>
      </c>
    </row>
    <row r="1001" spans="1:4" x14ac:dyDescent="0.3">
      <c r="A1001" t="s">
        <v>303</v>
      </c>
      <c r="B1001" t="s">
        <v>1955</v>
      </c>
      <c r="C1001" t="s">
        <v>2004</v>
      </c>
      <c r="D1001" t="s">
        <v>2005</v>
      </c>
    </row>
    <row r="1002" spans="1:4" x14ac:dyDescent="0.3">
      <c r="A1002" t="s">
        <v>303</v>
      </c>
      <c r="B1002" t="s">
        <v>1955</v>
      </c>
      <c r="C1002" t="s">
        <v>2002</v>
      </c>
      <c r="D1002" t="s">
        <v>2003</v>
      </c>
    </row>
    <row r="1003" spans="1:4" x14ac:dyDescent="0.3">
      <c r="A1003" t="s">
        <v>303</v>
      </c>
      <c r="B1003" t="s">
        <v>1955</v>
      </c>
      <c r="C1003" t="s">
        <v>2008</v>
      </c>
      <c r="D1003" t="s">
        <v>2009</v>
      </c>
    </row>
    <row r="1004" spans="1:4" x14ac:dyDescent="0.3">
      <c r="A1004" t="s">
        <v>303</v>
      </c>
      <c r="B1004" t="s">
        <v>1955</v>
      </c>
      <c r="C1004" t="s">
        <v>1963</v>
      </c>
      <c r="D1004" t="s">
        <v>1964</v>
      </c>
    </row>
    <row r="1005" spans="1:4" x14ac:dyDescent="0.3">
      <c r="A1005" t="s">
        <v>303</v>
      </c>
      <c r="B1005" t="s">
        <v>1955</v>
      </c>
      <c r="C1005" t="s">
        <v>2036</v>
      </c>
      <c r="D1005" t="s">
        <v>2037</v>
      </c>
    </row>
    <row r="1006" spans="1:4" x14ac:dyDescent="0.3">
      <c r="A1006" t="s">
        <v>303</v>
      </c>
      <c r="B1006" t="s">
        <v>1955</v>
      </c>
      <c r="C1006" t="s">
        <v>1956</v>
      </c>
      <c r="D1006" t="s">
        <v>1957</v>
      </c>
    </row>
    <row r="1007" spans="1:4" x14ac:dyDescent="0.3">
      <c r="A1007" t="s">
        <v>303</v>
      </c>
      <c r="B1007" t="s">
        <v>1955</v>
      </c>
      <c r="C1007" t="s">
        <v>2014</v>
      </c>
      <c r="D1007" t="s">
        <v>2015</v>
      </c>
    </row>
    <row r="1008" spans="1:4" x14ac:dyDescent="0.3">
      <c r="A1008" t="s">
        <v>2048</v>
      </c>
      <c r="B1008" t="s">
        <v>2049</v>
      </c>
      <c r="C1008" t="s">
        <v>2053</v>
      </c>
      <c r="D1008" t="s">
        <v>2054</v>
      </c>
    </row>
    <row r="1009" spans="1:4" x14ac:dyDescent="0.3">
      <c r="A1009" t="s">
        <v>2048</v>
      </c>
      <c r="B1009" t="s">
        <v>2049</v>
      </c>
      <c r="C1009" t="s">
        <v>2052</v>
      </c>
      <c r="D1009" t="s">
        <v>1926</v>
      </c>
    </row>
    <row r="1010" spans="1:4" x14ac:dyDescent="0.3">
      <c r="A1010" t="s">
        <v>2048</v>
      </c>
      <c r="B1010" t="s">
        <v>2049</v>
      </c>
      <c r="C1010" t="s">
        <v>2066</v>
      </c>
      <c r="D1010" t="s">
        <v>2067</v>
      </c>
    </row>
    <row r="1011" spans="1:4" x14ac:dyDescent="0.3">
      <c r="A1011" t="s">
        <v>2048</v>
      </c>
      <c r="B1011" t="s">
        <v>2049</v>
      </c>
      <c r="C1011" t="s">
        <v>2062</v>
      </c>
      <c r="D1011" t="s">
        <v>2063</v>
      </c>
    </row>
    <row r="1012" spans="1:4" x14ac:dyDescent="0.3">
      <c r="A1012" t="s">
        <v>2048</v>
      </c>
      <c r="B1012" t="s">
        <v>2049</v>
      </c>
      <c r="C1012" t="s">
        <v>2064</v>
      </c>
      <c r="D1012" t="s">
        <v>2065</v>
      </c>
    </row>
    <row r="1013" spans="1:4" x14ac:dyDescent="0.3">
      <c r="A1013" t="s">
        <v>2048</v>
      </c>
      <c r="B1013" t="s">
        <v>2049</v>
      </c>
      <c r="C1013" t="s">
        <v>2050</v>
      </c>
      <c r="D1013" t="s">
        <v>2051</v>
      </c>
    </row>
    <row r="1014" spans="1:4" x14ac:dyDescent="0.3">
      <c r="A1014" t="s">
        <v>2048</v>
      </c>
      <c r="B1014" t="s">
        <v>2049</v>
      </c>
      <c r="C1014" t="s">
        <v>2056</v>
      </c>
      <c r="D1014" t="s">
        <v>2057</v>
      </c>
    </row>
    <row r="1015" spans="1:4" x14ac:dyDescent="0.3">
      <c r="A1015" t="s">
        <v>2048</v>
      </c>
      <c r="B1015" t="s">
        <v>2049</v>
      </c>
      <c r="C1015" t="s">
        <v>2055</v>
      </c>
      <c r="D1015" t="s">
        <v>1940</v>
      </c>
    </row>
    <row r="1016" spans="1:4" x14ac:dyDescent="0.3">
      <c r="A1016" t="s">
        <v>2048</v>
      </c>
      <c r="B1016" t="s">
        <v>2049</v>
      </c>
      <c r="C1016" t="s">
        <v>2058</v>
      </c>
      <c r="D1016" t="s">
        <v>2059</v>
      </c>
    </row>
    <row r="1017" spans="1:4" x14ac:dyDescent="0.3">
      <c r="A1017" t="s">
        <v>2048</v>
      </c>
      <c r="B1017" t="s">
        <v>2049</v>
      </c>
      <c r="C1017" t="s">
        <v>2068</v>
      </c>
      <c r="D1017" t="s">
        <v>2069</v>
      </c>
    </row>
    <row r="1018" spans="1:4" x14ac:dyDescent="0.3">
      <c r="A1018" t="s">
        <v>2048</v>
      </c>
      <c r="B1018" t="s">
        <v>2049</v>
      </c>
      <c r="C1018" t="s">
        <v>2060</v>
      </c>
      <c r="D1018" t="s">
        <v>2061</v>
      </c>
    </row>
    <row r="1019" spans="1:4" x14ac:dyDescent="0.3">
      <c r="A1019" t="s">
        <v>2070</v>
      </c>
      <c r="B1019" t="s">
        <v>2071</v>
      </c>
      <c r="C1019" t="s">
        <v>2092</v>
      </c>
      <c r="D1019" t="s">
        <v>2093</v>
      </c>
    </row>
    <row r="1020" spans="1:4" x14ac:dyDescent="0.3">
      <c r="A1020" t="s">
        <v>2070</v>
      </c>
      <c r="B1020" t="s">
        <v>2071</v>
      </c>
      <c r="C1020" t="s">
        <v>2123</v>
      </c>
      <c r="D1020" t="s">
        <v>1906</v>
      </c>
    </row>
    <row r="1021" spans="1:4" x14ac:dyDescent="0.3">
      <c r="A1021" t="s">
        <v>2070</v>
      </c>
      <c r="B1021" t="s">
        <v>2071</v>
      </c>
      <c r="C1021" t="s">
        <v>2098</v>
      </c>
      <c r="D1021" t="s">
        <v>4171</v>
      </c>
    </row>
    <row r="1022" spans="1:4" x14ac:dyDescent="0.3">
      <c r="A1022" t="s">
        <v>2070</v>
      </c>
      <c r="B1022" t="s">
        <v>2071</v>
      </c>
      <c r="C1022" t="s">
        <v>2103</v>
      </c>
      <c r="D1022" t="s">
        <v>2104</v>
      </c>
    </row>
    <row r="1023" spans="1:4" x14ac:dyDescent="0.3">
      <c r="A1023" t="s">
        <v>2070</v>
      </c>
      <c r="B1023" t="s">
        <v>2071</v>
      </c>
      <c r="C1023" t="s">
        <v>2076</v>
      </c>
      <c r="D1023" t="s">
        <v>2077</v>
      </c>
    </row>
    <row r="1024" spans="1:4" x14ac:dyDescent="0.3">
      <c r="A1024" t="s">
        <v>2070</v>
      </c>
      <c r="B1024" t="s">
        <v>2071</v>
      </c>
      <c r="C1024" t="s">
        <v>2084</v>
      </c>
      <c r="D1024" t="s">
        <v>2085</v>
      </c>
    </row>
    <row r="1025" spans="1:4" x14ac:dyDescent="0.3">
      <c r="A1025" t="s">
        <v>2070</v>
      </c>
      <c r="B1025" t="s">
        <v>2071</v>
      </c>
      <c r="C1025" t="s">
        <v>2111</v>
      </c>
      <c r="D1025" t="s">
        <v>2112</v>
      </c>
    </row>
    <row r="1026" spans="1:4" x14ac:dyDescent="0.3">
      <c r="A1026" t="s">
        <v>2070</v>
      </c>
      <c r="B1026" t="s">
        <v>2071</v>
      </c>
      <c r="C1026" t="s">
        <v>2117</v>
      </c>
      <c r="D1026" t="s">
        <v>2118</v>
      </c>
    </row>
    <row r="1027" spans="1:4" x14ac:dyDescent="0.3">
      <c r="A1027" t="s">
        <v>2070</v>
      </c>
      <c r="B1027" t="s">
        <v>2071</v>
      </c>
      <c r="C1027" t="s">
        <v>2119</v>
      </c>
      <c r="D1027" t="s">
        <v>2120</v>
      </c>
    </row>
    <row r="1028" spans="1:4" x14ac:dyDescent="0.3">
      <c r="A1028" t="s">
        <v>2070</v>
      </c>
      <c r="B1028" t="s">
        <v>2071</v>
      </c>
      <c r="C1028" t="s">
        <v>2094</v>
      </c>
      <c r="D1028" t="s">
        <v>2095</v>
      </c>
    </row>
    <row r="1029" spans="1:4" x14ac:dyDescent="0.3">
      <c r="A1029" t="s">
        <v>2070</v>
      </c>
      <c r="B1029" t="s">
        <v>2071</v>
      </c>
      <c r="C1029" t="s">
        <v>2105</v>
      </c>
      <c r="D1029" t="s">
        <v>2106</v>
      </c>
    </row>
    <row r="1030" spans="1:4" x14ac:dyDescent="0.3">
      <c r="A1030" t="s">
        <v>2070</v>
      </c>
      <c r="B1030" t="s">
        <v>2071</v>
      </c>
      <c r="C1030" t="s">
        <v>2109</v>
      </c>
      <c r="D1030" t="s">
        <v>2110</v>
      </c>
    </row>
    <row r="1031" spans="1:4" x14ac:dyDescent="0.3">
      <c r="A1031" t="s">
        <v>2070</v>
      </c>
      <c r="B1031" t="s">
        <v>2071</v>
      </c>
      <c r="C1031" t="s">
        <v>2113</v>
      </c>
      <c r="D1031" t="s">
        <v>2114</v>
      </c>
    </row>
    <row r="1032" spans="1:4" x14ac:dyDescent="0.3">
      <c r="A1032" t="s">
        <v>2070</v>
      </c>
      <c r="B1032" t="s">
        <v>2071</v>
      </c>
      <c r="C1032" t="s">
        <v>2107</v>
      </c>
      <c r="D1032" t="s">
        <v>2108</v>
      </c>
    </row>
    <row r="1033" spans="1:4" x14ac:dyDescent="0.3">
      <c r="A1033" t="s">
        <v>2070</v>
      </c>
      <c r="B1033" t="s">
        <v>2071</v>
      </c>
      <c r="C1033" t="s">
        <v>2121</v>
      </c>
      <c r="D1033" t="s">
        <v>2122</v>
      </c>
    </row>
    <row r="1034" spans="1:4" x14ac:dyDescent="0.3">
      <c r="A1034" t="s">
        <v>2070</v>
      </c>
      <c r="B1034" t="s">
        <v>2071</v>
      </c>
      <c r="C1034" t="s">
        <v>2078</v>
      </c>
      <c r="D1034" t="s">
        <v>2079</v>
      </c>
    </row>
    <row r="1035" spans="1:4" x14ac:dyDescent="0.3">
      <c r="A1035" t="s">
        <v>2070</v>
      </c>
      <c r="B1035" t="s">
        <v>2071</v>
      </c>
      <c r="C1035" t="s">
        <v>2099</v>
      </c>
      <c r="D1035" t="s">
        <v>2100</v>
      </c>
    </row>
    <row r="1036" spans="1:4" x14ac:dyDescent="0.3">
      <c r="A1036" t="s">
        <v>2070</v>
      </c>
      <c r="B1036" t="s">
        <v>2071</v>
      </c>
      <c r="C1036" t="s">
        <v>2082</v>
      </c>
      <c r="D1036" t="s">
        <v>2083</v>
      </c>
    </row>
    <row r="1037" spans="1:4" x14ac:dyDescent="0.3">
      <c r="A1037" t="s">
        <v>2070</v>
      </c>
      <c r="B1037" t="s">
        <v>2071</v>
      </c>
      <c r="C1037" t="s">
        <v>2101</v>
      </c>
      <c r="D1037" t="s">
        <v>2102</v>
      </c>
    </row>
    <row r="1038" spans="1:4" x14ac:dyDescent="0.3">
      <c r="A1038" t="s">
        <v>2070</v>
      </c>
      <c r="B1038" t="s">
        <v>2071</v>
      </c>
      <c r="C1038" t="s">
        <v>2115</v>
      </c>
      <c r="D1038" t="s">
        <v>2116</v>
      </c>
    </row>
    <row r="1039" spans="1:4" x14ac:dyDescent="0.3">
      <c r="A1039" t="s">
        <v>2070</v>
      </c>
      <c r="B1039" t="s">
        <v>2071</v>
      </c>
      <c r="C1039" t="s">
        <v>2074</v>
      </c>
      <c r="D1039" t="s">
        <v>2075</v>
      </c>
    </row>
    <row r="1040" spans="1:4" x14ac:dyDescent="0.3">
      <c r="A1040" t="s">
        <v>2070</v>
      </c>
      <c r="B1040" t="s">
        <v>2071</v>
      </c>
      <c r="C1040" t="s">
        <v>2090</v>
      </c>
      <c r="D1040" t="s">
        <v>2091</v>
      </c>
    </row>
    <row r="1041" spans="1:4" x14ac:dyDescent="0.3">
      <c r="A1041" t="s">
        <v>2070</v>
      </c>
      <c r="B1041" t="s">
        <v>2071</v>
      </c>
      <c r="C1041" t="s">
        <v>2086</v>
      </c>
      <c r="D1041" t="s">
        <v>2087</v>
      </c>
    </row>
    <row r="1042" spans="1:4" x14ac:dyDescent="0.3">
      <c r="A1042" t="s">
        <v>2070</v>
      </c>
      <c r="B1042" t="s">
        <v>2071</v>
      </c>
      <c r="C1042" t="s">
        <v>2088</v>
      </c>
      <c r="D1042" t="s">
        <v>2089</v>
      </c>
    </row>
    <row r="1043" spans="1:4" x14ac:dyDescent="0.3">
      <c r="A1043" t="s">
        <v>2070</v>
      </c>
      <c r="B1043" t="s">
        <v>2071</v>
      </c>
      <c r="C1043" t="s">
        <v>2072</v>
      </c>
      <c r="D1043" t="s">
        <v>2073</v>
      </c>
    </row>
    <row r="1044" spans="1:4" x14ac:dyDescent="0.3">
      <c r="A1044" t="s">
        <v>2070</v>
      </c>
      <c r="B1044" t="s">
        <v>2071</v>
      </c>
      <c r="C1044" t="s">
        <v>2096</v>
      </c>
      <c r="D1044" t="s">
        <v>2097</v>
      </c>
    </row>
    <row r="1045" spans="1:4" x14ac:dyDescent="0.3">
      <c r="A1045" t="s">
        <v>2070</v>
      </c>
      <c r="B1045" t="s">
        <v>2071</v>
      </c>
      <c r="C1045" t="s">
        <v>2080</v>
      </c>
      <c r="D1045" t="s">
        <v>2081</v>
      </c>
    </row>
    <row r="1046" spans="1:4" x14ac:dyDescent="0.3">
      <c r="A1046" t="s">
        <v>2124</v>
      </c>
      <c r="B1046" t="s">
        <v>2125</v>
      </c>
      <c r="C1046" t="s">
        <v>2148</v>
      </c>
      <c r="D1046" t="s">
        <v>2149</v>
      </c>
    </row>
    <row r="1047" spans="1:4" x14ac:dyDescent="0.3">
      <c r="A1047" t="s">
        <v>2124</v>
      </c>
      <c r="B1047" t="s">
        <v>2125</v>
      </c>
      <c r="C1047" t="s">
        <v>2134</v>
      </c>
      <c r="D1047" t="s">
        <v>2135</v>
      </c>
    </row>
    <row r="1048" spans="1:4" x14ac:dyDescent="0.3">
      <c r="A1048" t="s">
        <v>2124</v>
      </c>
      <c r="B1048" t="s">
        <v>2125</v>
      </c>
      <c r="C1048" t="s">
        <v>2146</v>
      </c>
      <c r="D1048" t="s">
        <v>2147</v>
      </c>
    </row>
    <row r="1049" spans="1:4" x14ac:dyDescent="0.3">
      <c r="A1049" t="s">
        <v>2124</v>
      </c>
      <c r="B1049" t="s">
        <v>2125</v>
      </c>
      <c r="C1049" t="s">
        <v>2140</v>
      </c>
      <c r="D1049" t="s">
        <v>2141</v>
      </c>
    </row>
    <row r="1050" spans="1:4" x14ac:dyDescent="0.3">
      <c r="A1050" t="s">
        <v>2124</v>
      </c>
      <c r="B1050" t="s">
        <v>2125</v>
      </c>
      <c r="C1050" t="s">
        <v>2138</v>
      </c>
      <c r="D1050" t="s">
        <v>2139</v>
      </c>
    </row>
    <row r="1051" spans="1:4" x14ac:dyDescent="0.3">
      <c r="A1051" t="s">
        <v>2124</v>
      </c>
      <c r="B1051" t="s">
        <v>2125</v>
      </c>
      <c r="C1051" t="s">
        <v>2132</v>
      </c>
      <c r="D1051" t="s">
        <v>2133</v>
      </c>
    </row>
    <row r="1052" spans="1:4" x14ac:dyDescent="0.3">
      <c r="A1052" t="s">
        <v>2124</v>
      </c>
      <c r="B1052" t="s">
        <v>2125</v>
      </c>
      <c r="C1052" t="s">
        <v>2150</v>
      </c>
      <c r="D1052" t="s">
        <v>2151</v>
      </c>
    </row>
    <row r="1053" spans="1:4" x14ac:dyDescent="0.3">
      <c r="A1053" t="s">
        <v>2124</v>
      </c>
      <c r="B1053" t="s">
        <v>2125</v>
      </c>
      <c r="C1053" t="s">
        <v>2130</v>
      </c>
      <c r="D1053" t="s">
        <v>2131</v>
      </c>
    </row>
    <row r="1054" spans="1:4" x14ac:dyDescent="0.3">
      <c r="A1054" t="s">
        <v>2124</v>
      </c>
      <c r="B1054" t="s">
        <v>2125</v>
      </c>
      <c r="C1054" t="s">
        <v>2144</v>
      </c>
      <c r="D1054" t="s">
        <v>2145</v>
      </c>
    </row>
    <row r="1055" spans="1:4" x14ac:dyDescent="0.3">
      <c r="A1055" t="s">
        <v>2124</v>
      </c>
      <c r="B1055" t="s">
        <v>2125</v>
      </c>
      <c r="C1055" t="s">
        <v>2142</v>
      </c>
      <c r="D1055" t="s">
        <v>2143</v>
      </c>
    </row>
    <row r="1056" spans="1:4" x14ac:dyDescent="0.3">
      <c r="A1056" t="s">
        <v>2124</v>
      </c>
      <c r="B1056" t="s">
        <v>2125</v>
      </c>
      <c r="C1056" t="s">
        <v>2128</v>
      </c>
      <c r="D1056" t="s">
        <v>2129</v>
      </c>
    </row>
    <row r="1057" spans="1:4" x14ac:dyDescent="0.3">
      <c r="A1057" t="s">
        <v>2124</v>
      </c>
      <c r="B1057" t="s">
        <v>2125</v>
      </c>
      <c r="C1057" t="s">
        <v>2126</v>
      </c>
      <c r="D1057" t="s">
        <v>2127</v>
      </c>
    </row>
    <row r="1058" spans="1:4" x14ac:dyDescent="0.3">
      <c r="A1058" t="s">
        <v>2124</v>
      </c>
      <c r="B1058" t="s">
        <v>2125</v>
      </c>
      <c r="C1058" t="s">
        <v>2136</v>
      </c>
      <c r="D1058" t="s">
        <v>2137</v>
      </c>
    </row>
    <row r="1059" spans="1:4" x14ac:dyDescent="0.3">
      <c r="A1059" t="s">
        <v>2152</v>
      </c>
      <c r="B1059" t="s">
        <v>2153</v>
      </c>
      <c r="C1059" t="s">
        <v>2170</v>
      </c>
      <c r="D1059" t="s">
        <v>2171</v>
      </c>
    </row>
    <row r="1060" spans="1:4" x14ac:dyDescent="0.3">
      <c r="A1060" t="s">
        <v>2152</v>
      </c>
      <c r="B1060" t="s">
        <v>2153</v>
      </c>
      <c r="C1060" t="s">
        <v>2164</v>
      </c>
      <c r="D1060" t="s">
        <v>2165</v>
      </c>
    </row>
    <row r="1061" spans="1:4" x14ac:dyDescent="0.3">
      <c r="A1061" t="s">
        <v>2152</v>
      </c>
      <c r="B1061" t="s">
        <v>2153</v>
      </c>
      <c r="C1061" t="s">
        <v>2180</v>
      </c>
      <c r="D1061" t="s">
        <v>2181</v>
      </c>
    </row>
    <row r="1062" spans="1:4" x14ac:dyDescent="0.3">
      <c r="A1062" t="s">
        <v>2152</v>
      </c>
      <c r="B1062" t="s">
        <v>2153</v>
      </c>
      <c r="C1062" t="s">
        <v>2160</v>
      </c>
      <c r="D1062" t="s">
        <v>2161</v>
      </c>
    </row>
    <row r="1063" spans="1:4" x14ac:dyDescent="0.3">
      <c r="A1063" t="s">
        <v>2152</v>
      </c>
      <c r="B1063" t="s">
        <v>2153</v>
      </c>
      <c r="C1063" t="s">
        <v>2154</v>
      </c>
      <c r="D1063" t="s">
        <v>2155</v>
      </c>
    </row>
    <row r="1064" spans="1:4" x14ac:dyDescent="0.3">
      <c r="A1064" t="s">
        <v>2152</v>
      </c>
      <c r="B1064" t="s">
        <v>2153</v>
      </c>
      <c r="C1064" t="s">
        <v>2176</v>
      </c>
      <c r="D1064" t="s">
        <v>2177</v>
      </c>
    </row>
    <row r="1065" spans="1:4" x14ac:dyDescent="0.3">
      <c r="A1065" t="s">
        <v>2152</v>
      </c>
      <c r="B1065" t="s">
        <v>2153</v>
      </c>
      <c r="C1065" t="s">
        <v>2168</v>
      </c>
      <c r="D1065" t="s">
        <v>2169</v>
      </c>
    </row>
    <row r="1066" spans="1:4" x14ac:dyDescent="0.3">
      <c r="A1066" t="s">
        <v>2152</v>
      </c>
      <c r="B1066" t="s">
        <v>2153</v>
      </c>
      <c r="C1066" t="s">
        <v>2182</v>
      </c>
      <c r="D1066" t="s">
        <v>2183</v>
      </c>
    </row>
    <row r="1067" spans="1:4" x14ac:dyDescent="0.3">
      <c r="A1067" t="s">
        <v>2152</v>
      </c>
      <c r="B1067" t="s">
        <v>2153</v>
      </c>
      <c r="C1067" t="s">
        <v>2174</v>
      </c>
      <c r="D1067" t="s">
        <v>2175</v>
      </c>
    </row>
    <row r="1068" spans="1:4" x14ac:dyDescent="0.3">
      <c r="A1068" t="s">
        <v>2152</v>
      </c>
      <c r="B1068" t="s">
        <v>2153</v>
      </c>
      <c r="C1068" t="s">
        <v>2162</v>
      </c>
      <c r="D1068" t="s">
        <v>2163</v>
      </c>
    </row>
    <row r="1069" spans="1:4" x14ac:dyDescent="0.3">
      <c r="A1069" t="s">
        <v>2152</v>
      </c>
      <c r="B1069" t="s">
        <v>2153</v>
      </c>
      <c r="C1069" t="s">
        <v>2178</v>
      </c>
      <c r="D1069" t="s">
        <v>2179</v>
      </c>
    </row>
    <row r="1070" spans="1:4" x14ac:dyDescent="0.3">
      <c r="A1070" t="s">
        <v>2152</v>
      </c>
      <c r="B1070" t="s">
        <v>2153</v>
      </c>
      <c r="C1070" t="s">
        <v>2184</v>
      </c>
      <c r="D1070" t="s">
        <v>2185</v>
      </c>
    </row>
    <row r="1071" spans="1:4" x14ac:dyDescent="0.3">
      <c r="A1071" t="s">
        <v>2152</v>
      </c>
      <c r="B1071" t="s">
        <v>2153</v>
      </c>
      <c r="C1071" t="s">
        <v>2172</v>
      </c>
      <c r="D1071" t="s">
        <v>2173</v>
      </c>
    </row>
    <row r="1072" spans="1:4" x14ac:dyDescent="0.3">
      <c r="A1072" t="s">
        <v>2152</v>
      </c>
      <c r="B1072" t="s">
        <v>2153</v>
      </c>
      <c r="C1072" t="s">
        <v>2166</v>
      </c>
      <c r="D1072" t="s">
        <v>2167</v>
      </c>
    </row>
    <row r="1073" spans="1:4" x14ac:dyDescent="0.3">
      <c r="A1073" t="s">
        <v>2152</v>
      </c>
      <c r="B1073" t="s">
        <v>2153</v>
      </c>
      <c r="C1073" t="s">
        <v>2158</v>
      </c>
      <c r="D1073" t="s">
        <v>2159</v>
      </c>
    </row>
    <row r="1074" spans="1:4" x14ac:dyDescent="0.3">
      <c r="A1074" t="s">
        <v>2152</v>
      </c>
      <c r="B1074" t="s">
        <v>2153</v>
      </c>
      <c r="C1074" t="s">
        <v>2156</v>
      </c>
      <c r="D1074" t="s">
        <v>2157</v>
      </c>
    </row>
    <row r="1075" spans="1:4" x14ac:dyDescent="0.3">
      <c r="A1075" t="s">
        <v>2186</v>
      </c>
      <c r="B1075" t="s">
        <v>2187</v>
      </c>
      <c r="C1075" t="s">
        <v>2214</v>
      </c>
      <c r="D1075" t="s">
        <v>2215</v>
      </c>
    </row>
    <row r="1076" spans="1:4" x14ac:dyDescent="0.3">
      <c r="A1076" t="s">
        <v>2186</v>
      </c>
      <c r="B1076" t="s">
        <v>2187</v>
      </c>
      <c r="C1076" t="s">
        <v>2190</v>
      </c>
      <c r="D1076" t="s">
        <v>2191</v>
      </c>
    </row>
    <row r="1077" spans="1:4" x14ac:dyDescent="0.3">
      <c r="A1077" t="s">
        <v>2186</v>
      </c>
      <c r="B1077" t="s">
        <v>2187</v>
      </c>
      <c r="C1077" t="s">
        <v>2194</v>
      </c>
      <c r="D1077" t="s">
        <v>2195</v>
      </c>
    </row>
    <row r="1078" spans="1:4" x14ac:dyDescent="0.3">
      <c r="A1078" t="s">
        <v>2186</v>
      </c>
      <c r="B1078" t="s">
        <v>2187</v>
      </c>
      <c r="C1078" t="s">
        <v>2196</v>
      </c>
      <c r="D1078" t="s">
        <v>2197</v>
      </c>
    </row>
    <row r="1079" spans="1:4" x14ac:dyDescent="0.3">
      <c r="A1079" t="s">
        <v>2186</v>
      </c>
      <c r="B1079" t="s">
        <v>2187</v>
      </c>
      <c r="C1079" t="s">
        <v>2200</v>
      </c>
      <c r="D1079" t="s">
        <v>2201</v>
      </c>
    </row>
    <row r="1080" spans="1:4" x14ac:dyDescent="0.3">
      <c r="A1080" t="s">
        <v>2186</v>
      </c>
      <c r="B1080" t="s">
        <v>2187</v>
      </c>
      <c r="C1080" t="s">
        <v>2206</v>
      </c>
      <c r="D1080" t="s">
        <v>2207</v>
      </c>
    </row>
    <row r="1081" spans="1:4" x14ac:dyDescent="0.3">
      <c r="A1081" t="s">
        <v>2186</v>
      </c>
      <c r="B1081" t="s">
        <v>2187</v>
      </c>
      <c r="C1081" t="s">
        <v>2210</v>
      </c>
      <c r="D1081" t="s">
        <v>2211</v>
      </c>
    </row>
    <row r="1082" spans="1:4" x14ac:dyDescent="0.3">
      <c r="A1082" t="s">
        <v>2186</v>
      </c>
      <c r="B1082" t="s">
        <v>2187</v>
      </c>
      <c r="C1082" t="s">
        <v>2192</v>
      </c>
      <c r="D1082" t="s">
        <v>2193</v>
      </c>
    </row>
    <row r="1083" spans="1:4" x14ac:dyDescent="0.3">
      <c r="A1083" t="s">
        <v>2186</v>
      </c>
      <c r="B1083" t="s">
        <v>2187</v>
      </c>
      <c r="C1083" t="s">
        <v>2198</v>
      </c>
      <c r="D1083" t="s">
        <v>2199</v>
      </c>
    </row>
    <row r="1084" spans="1:4" x14ac:dyDescent="0.3">
      <c r="A1084" t="s">
        <v>2186</v>
      </c>
      <c r="B1084" t="s">
        <v>2187</v>
      </c>
      <c r="C1084" t="s">
        <v>2188</v>
      </c>
      <c r="D1084" t="s">
        <v>2189</v>
      </c>
    </row>
    <row r="1085" spans="1:4" x14ac:dyDescent="0.3">
      <c r="A1085" t="s">
        <v>2186</v>
      </c>
      <c r="B1085" t="s">
        <v>2187</v>
      </c>
      <c r="C1085" t="s">
        <v>2208</v>
      </c>
      <c r="D1085" t="s">
        <v>2209</v>
      </c>
    </row>
    <row r="1086" spans="1:4" x14ac:dyDescent="0.3">
      <c r="A1086" t="s">
        <v>2186</v>
      </c>
      <c r="B1086" t="s">
        <v>2187</v>
      </c>
      <c r="C1086" t="s">
        <v>2202</v>
      </c>
      <c r="D1086" t="s">
        <v>2203</v>
      </c>
    </row>
    <row r="1087" spans="1:4" x14ac:dyDescent="0.3">
      <c r="A1087" t="s">
        <v>2186</v>
      </c>
      <c r="B1087" t="s">
        <v>2187</v>
      </c>
      <c r="C1087" t="s">
        <v>2216</v>
      </c>
      <c r="D1087" t="s">
        <v>2217</v>
      </c>
    </row>
    <row r="1088" spans="1:4" x14ac:dyDescent="0.3">
      <c r="A1088" t="s">
        <v>2186</v>
      </c>
      <c r="B1088" t="s">
        <v>2187</v>
      </c>
      <c r="C1088" t="s">
        <v>2218</v>
      </c>
      <c r="D1088" t="s">
        <v>2219</v>
      </c>
    </row>
    <row r="1089" spans="1:4" x14ac:dyDescent="0.3">
      <c r="A1089" t="s">
        <v>2186</v>
      </c>
      <c r="B1089" t="s">
        <v>2187</v>
      </c>
      <c r="C1089" t="s">
        <v>2212</v>
      </c>
      <c r="D1089" t="s">
        <v>2213</v>
      </c>
    </row>
    <row r="1090" spans="1:4" x14ac:dyDescent="0.3">
      <c r="A1090" t="s">
        <v>2186</v>
      </c>
      <c r="B1090" t="s">
        <v>2187</v>
      </c>
      <c r="C1090" t="s">
        <v>2204</v>
      </c>
      <c r="D1090" t="s">
        <v>2205</v>
      </c>
    </row>
    <row r="1091" spans="1:4" x14ac:dyDescent="0.3">
      <c r="A1091" t="s">
        <v>2186</v>
      </c>
      <c r="B1091" t="s">
        <v>2187</v>
      </c>
      <c r="C1091" t="s">
        <v>4172</v>
      </c>
      <c r="D1091" t="s">
        <v>4173</v>
      </c>
    </row>
    <row r="1092" spans="1:4" x14ac:dyDescent="0.3">
      <c r="A1092" t="s">
        <v>2186</v>
      </c>
      <c r="B1092" t="s">
        <v>2187</v>
      </c>
      <c r="C1092" t="s">
        <v>4174</v>
      </c>
      <c r="D1092" t="s">
        <v>4175</v>
      </c>
    </row>
    <row r="1093" spans="1:4" x14ac:dyDescent="0.3">
      <c r="A1093" t="s">
        <v>2186</v>
      </c>
      <c r="B1093" t="s">
        <v>2187</v>
      </c>
      <c r="C1093" t="s">
        <v>4176</v>
      </c>
      <c r="D1093" t="s">
        <v>4177</v>
      </c>
    </row>
    <row r="1094" spans="1:4" x14ac:dyDescent="0.3">
      <c r="A1094" t="s">
        <v>291</v>
      </c>
      <c r="B1094" t="s">
        <v>2220</v>
      </c>
      <c r="C1094" t="s">
        <v>2247</v>
      </c>
      <c r="D1094" t="s">
        <v>2248</v>
      </c>
    </row>
    <row r="1095" spans="1:4" x14ac:dyDescent="0.3">
      <c r="A1095" t="s">
        <v>291</v>
      </c>
      <c r="B1095" t="s">
        <v>2220</v>
      </c>
      <c r="C1095" t="s">
        <v>2291</v>
      </c>
      <c r="D1095" t="s">
        <v>2292</v>
      </c>
    </row>
    <row r="1096" spans="1:4" x14ac:dyDescent="0.3">
      <c r="A1096" t="s">
        <v>291</v>
      </c>
      <c r="B1096" t="s">
        <v>2220</v>
      </c>
      <c r="C1096" t="s">
        <v>2249</v>
      </c>
      <c r="D1096" t="s">
        <v>2250</v>
      </c>
    </row>
    <row r="1097" spans="1:4" x14ac:dyDescent="0.3">
      <c r="A1097" t="s">
        <v>291</v>
      </c>
      <c r="B1097" t="s">
        <v>2220</v>
      </c>
      <c r="C1097" t="s">
        <v>2300</v>
      </c>
      <c r="D1097" t="s">
        <v>2301</v>
      </c>
    </row>
    <row r="1098" spans="1:4" x14ac:dyDescent="0.3">
      <c r="A1098" t="s">
        <v>291</v>
      </c>
      <c r="B1098" t="s">
        <v>2220</v>
      </c>
      <c r="C1098" t="s">
        <v>2259</v>
      </c>
      <c r="D1098" t="s">
        <v>2260</v>
      </c>
    </row>
    <row r="1099" spans="1:4" x14ac:dyDescent="0.3">
      <c r="A1099" t="s">
        <v>291</v>
      </c>
      <c r="B1099" t="s">
        <v>2220</v>
      </c>
      <c r="C1099" t="s">
        <v>2277</v>
      </c>
      <c r="D1099" t="s">
        <v>2278</v>
      </c>
    </row>
    <row r="1100" spans="1:4" x14ac:dyDescent="0.3">
      <c r="A1100" t="s">
        <v>291</v>
      </c>
      <c r="B1100" t="s">
        <v>2220</v>
      </c>
      <c r="C1100" t="s">
        <v>2261</v>
      </c>
      <c r="D1100" t="s">
        <v>2262</v>
      </c>
    </row>
    <row r="1101" spans="1:4" x14ac:dyDescent="0.3">
      <c r="A1101" t="s">
        <v>291</v>
      </c>
      <c r="B1101" t="s">
        <v>2220</v>
      </c>
      <c r="C1101" t="s">
        <v>2251</v>
      </c>
      <c r="D1101" t="s">
        <v>2252</v>
      </c>
    </row>
    <row r="1102" spans="1:4" x14ac:dyDescent="0.3">
      <c r="A1102" t="s">
        <v>291</v>
      </c>
      <c r="B1102" t="s">
        <v>2220</v>
      </c>
      <c r="C1102" t="s">
        <v>2281</v>
      </c>
      <c r="D1102" t="s">
        <v>2282</v>
      </c>
    </row>
    <row r="1103" spans="1:4" x14ac:dyDescent="0.3">
      <c r="A1103" t="s">
        <v>291</v>
      </c>
      <c r="B1103" t="s">
        <v>2220</v>
      </c>
      <c r="C1103" t="s">
        <v>2287</v>
      </c>
      <c r="D1103" t="s">
        <v>2288</v>
      </c>
    </row>
    <row r="1104" spans="1:4" x14ac:dyDescent="0.3">
      <c r="A1104" t="s">
        <v>291</v>
      </c>
      <c r="B1104" t="s">
        <v>2220</v>
      </c>
      <c r="C1104" t="s">
        <v>2296</v>
      </c>
      <c r="D1104" t="s">
        <v>2297</v>
      </c>
    </row>
    <row r="1105" spans="1:4" x14ac:dyDescent="0.3">
      <c r="A1105" t="s">
        <v>291</v>
      </c>
      <c r="B1105" t="s">
        <v>2220</v>
      </c>
      <c r="C1105" t="s">
        <v>2223</v>
      </c>
      <c r="D1105" t="s">
        <v>2224</v>
      </c>
    </row>
    <row r="1106" spans="1:4" x14ac:dyDescent="0.3">
      <c r="A1106" t="s">
        <v>291</v>
      </c>
      <c r="B1106" t="s">
        <v>2220</v>
      </c>
      <c r="C1106" t="s">
        <v>2245</v>
      </c>
      <c r="D1106" t="s">
        <v>2246</v>
      </c>
    </row>
    <row r="1107" spans="1:4" x14ac:dyDescent="0.3">
      <c r="A1107" t="s">
        <v>291</v>
      </c>
      <c r="B1107" t="s">
        <v>2220</v>
      </c>
      <c r="C1107" t="s">
        <v>2231</v>
      </c>
      <c r="D1107" t="s">
        <v>2232</v>
      </c>
    </row>
    <row r="1108" spans="1:4" x14ac:dyDescent="0.3">
      <c r="A1108" t="s">
        <v>291</v>
      </c>
      <c r="B1108" t="s">
        <v>2220</v>
      </c>
      <c r="C1108" t="s">
        <v>4262</v>
      </c>
      <c r="D1108" t="s">
        <v>4249</v>
      </c>
    </row>
    <row r="1109" spans="1:4" x14ac:dyDescent="0.3">
      <c r="A1109" t="s">
        <v>291</v>
      </c>
      <c r="B1109" t="s">
        <v>2220</v>
      </c>
      <c r="C1109" t="s">
        <v>2229</v>
      </c>
      <c r="D1109" t="s">
        <v>2230</v>
      </c>
    </row>
    <row r="1110" spans="1:4" x14ac:dyDescent="0.3">
      <c r="A1110" t="s">
        <v>291</v>
      </c>
      <c r="B1110" t="s">
        <v>2220</v>
      </c>
      <c r="C1110" t="s">
        <v>2295</v>
      </c>
      <c r="D1110" t="s">
        <v>1906</v>
      </c>
    </row>
    <row r="1111" spans="1:4" x14ac:dyDescent="0.3">
      <c r="A1111" t="s">
        <v>291</v>
      </c>
      <c r="B1111" t="s">
        <v>2220</v>
      </c>
      <c r="C1111" t="s">
        <v>2275</v>
      </c>
      <c r="D1111" t="s">
        <v>2276</v>
      </c>
    </row>
    <row r="1112" spans="1:4" x14ac:dyDescent="0.3">
      <c r="A1112" t="s">
        <v>291</v>
      </c>
      <c r="B1112" t="s">
        <v>2220</v>
      </c>
      <c r="C1112" t="s">
        <v>2273</v>
      </c>
      <c r="D1112" t="s">
        <v>2274</v>
      </c>
    </row>
    <row r="1113" spans="1:4" x14ac:dyDescent="0.3">
      <c r="A1113" t="s">
        <v>291</v>
      </c>
      <c r="B1113" t="s">
        <v>2220</v>
      </c>
      <c r="C1113" t="s">
        <v>2285</v>
      </c>
      <c r="D1113" t="s">
        <v>2286</v>
      </c>
    </row>
    <row r="1114" spans="1:4" x14ac:dyDescent="0.3">
      <c r="A1114" t="s">
        <v>291</v>
      </c>
      <c r="B1114" t="s">
        <v>2220</v>
      </c>
      <c r="C1114" t="s">
        <v>2271</v>
      </c>
      <c r="D1114" t="s">
        <v>2272</v>
      </c>
    </row>
    <row r="1115" spans="1:4" x14ac:dyDescent="0.3">
      <c r="A1115" t="s">
        <v>291</v>
      </c>
      <c r="B1115" t="s">
        <v>2220</v>
      </c>
      <c r="C1115" t="s">
        <v>2255</v>
      </c>
      <c r="D1115" t="s">
        <v>2256</v>
      </c>
    </row>
    <row r="1116" spans="1:4" x14ac:dyDescent="0.3">
      <c r="A1116" t="s">
        <v>291</v>
      </c>
      <c r="B1116" t="s">
        <v>2220</v>
      </c>
      <c r="C1116" t="s">
        <v>2267</v>
      </c>
      <c r="D1116" t="s">
        <v>2268</v>
      </c>
    </row>
    <row r="1117" spans="1:4" x14ac:dyDescent="0.3">
      <c r="A1117" t="s">
        <v>291</v>
      </c>
      <c r="B1117" t="s">
        <v>2220</v>
      </c>
      <c r="C1117" t="s">
        <v>2243</v>
      </c>
      <c r="D1117" t="s">
        <v>2244</v>
      </c>
    </row>
    <row r="1118" spans="1:4" x14ac:dyDescent="0.3">
      <c r="A1118" t="s">
        <v>291</v>
      </c>
      <c r="B1118" t="s">
        <v>2220</v>
      </c>
      <c r="C1118" t="s">
        <v>2235</v>
      </c>
      <c r="D1118" t="s">
        <v>2236</v>
      </c>
    </row>
    <row r="1119" spans="1:4" x14ac:dyDescent="0.3">
      <c r="A1119" t="s">
        <v>291</v>
      </c>
      <c r="B1119" t="s">
        <v>2220</v>
      </c>
      <c r="C1119" t="s">
        <v>2263</v>
      </c>
      <c r="D1119" t="s">
        <v>2264</v>
      </c>
    </row>
    <row r="1120" spans="1:4" x14ac:dyDescent="0.3">
      <c r="A1120" t="s">
        <v>291</v>
      </c>
      <c r="B1120" t="s">
        <v>2220</v>
      </c>
      <c r="C1120" t="s">
        <v>2269</v>
      </c>
      <c r="D1120" t="s">
        <v>2270</v>
      </c>
    </row>
    <row r="1121" spans="1:4" x14ac:dyDescent="0.3">
      <c r="A1121" t="s">
        <v>291</v>
      </c>
      <c r="B1121" t="s">
        <v>2220</v>
      </c>
      <c r="C1121" t="s">
        <v>2233</v>
      </c>
      <c r="D1121" t="s">
        <v>2234</v>
      </c>
    </row>
    <row r="1122" spans="1:4" x14ac:dyDescent="0.3">
      <c r="A1122" t="s">
        <v>291</v>
      </c>
      <c r="B1122" t="s">
        <v>2220</v>
      </c>
      <c r="C1122" t="s">
        <v>2298</v>
      </c>
      <c r="D1122" t="s">
        <v>2299</v>
      </c>
    </row>
    <row r="1123" spans="1:4" x14ac:dyDescent="0.3">
      <c r="A1123" t="s">
        <v>291</v>
      </c>
      <c r="B1123" t="s">
        <v>2220</v>
      </c>
      <c r="C1123" t="s">
        <v>2239</v>
      </c>
      <c r="D1123" t="s">
        <v>2240</v>
      </c>
    </row>
    <row r="1124" spans="1:4" x14ac:dyDescent="0.3">
      <c r="A1124" t="s">
        <v>291</v>
      </c>
      <c r="B1124" t="s">
        <v>2220</v>
      </c>
      <c r="C1124" t="s">
        <v>2279</v>
      </c>
      <c r="D1124" t="s">
        <v>2280</v>
      </c>
    </row>
    <row r="1125" spans="1:4" x14ac:dyDescent="0.3">
      <c r="A1125" t="s">
        <v>291</v>
      </c>
      <c r="B1125" t="s">
        <v>2220</v>
      </c>
      <c r="C1125" t="s">
        <v>2221</v>
      </c>
      <c r="D1125" t="s">
        <v>2222</v>
      </c>
    </row>
    <row r="1126" spans="1:4" x14ac:dyDescent="0.3">
      <c r="A1126" t="s">
        <v>291</v>
      </c>
      <c r="B1126" t="s">
        <v>2220</v>
      </c>
      <c r="C1126" t="s">
        <v>2227</v>
      </c>
      <c r="D1126" t="s">
        <v>2228</v>
      </c>
    </row>
    <row r="1127" spans="1:4" x14ac:dyDescent="0.3">
      <c r="A1127" t="s">
        <v>291</v>
      </c>
      <c r="B1127" t="s">
        <v>2220</v>
      </c>
      <c r="C1127" t="s">
        <v>2225</v>
      </c>
      <c r="D1127" t="s">
        <v>2226</v>
      </c>
    </row>
    <row r="1128" spans="1:4" x14ac:dyDescent="0.3">
      <c r="A1128" t="s">
        <v>291</v>
      </c>
      <c r="B1128" t="s">
        <v>2220</v>
      </c>
      <c r="C1128" t="s">
        <v>2237</v>
      </c>
      <c r="D1128" t="s">
        <v>2238</v>
      </c>
    </row>
    <row r="1129" spans="1:4" x14ac:dyDescent="0.3">
      <c r="A1129" t="s">
        <v>291</v>
      </c>
      <c r="B1129" t="s">
        <v>2220</v>
      </c>
      <c r="C1129" t="s">
        <v>2283</v>
      </c>
      <c r="D1129" t="s">
        <v>2284</v>
      </c>
    </row>
    <row r="1130" spans="1:4" x14ac:dyDescent="0.3">
      <c r="A1130" t="s">
        <v>291</v>
      </c>
      <c r="B1130" t="s">
        <v>2220</v>
      </c>
      <c r="C1130" t="s">
        <v>2289</v>
      </c>
      <c r="D1130" t="s">
        <v>2290</v>
      </c>
    </row>
    <row r="1131" spans="1:4" x14ac:dyDescent="0.3">
      <c r="A1131" t="s">
        <v>291</v>
      </c>
      <c r="B1131" t="s">
        <v>2220</v>
      </c>
      <c r="C1131" t="s">
        <v>2257</v>
      </c>
      <c r="D1131" t="s">
        <v>2258</v>
      </c>
    </row>
    <row r="1132" spans="1:4" x14ac:dyDescent="0.3">
      <c r="A1132" t="s">
        <v>291</v>
      </c>
      <c r="B1132" t="s">
        <v>2220</v>
      </c>
      <c r="C1132" t="s">
        <v>2293</v>
      </c>
      <c r="D1132" t="s">
        <v>2294</v>
      </c>
    </row>
    <row r="1133" spans="1:4" x14ac:dyDescent="0.3">
      <c r="A1133" t="s">
        <v>291</v>
      </c>
      <c r="B1133" t="s">
        <v>2220</v>
      </c>
      <c r="C1133" t="s">
        <v>2265</v>
      </c>
      <c r="D1133" t="s">
        <v>2266</v>
      </c>
    </row>
    <row r="1134" spans="1:4" x14ac:dyDescent="0.3">
      <c r="A1134" t="s">
        <v>291</v>
      </c>
      <c r="B1134" t="s">
        <v>2220</v>
      </c>
      <c r="C1134" t="s">
        <v>2241</v>
      </c>
      <c r="D1134" t="s">
        <v>2242</v>
      </c>
    </row>
    <row r="1135" spans="1:4" x14ac:dyDescent="0.3">
      <c r="A1135" t="s">
        <v>291</v>
      </c>
      <c r="B1135" t="s">
        <v>2220</v>
      </c>
      <c r="C1135" t="s">
        <v>2253</v>
      </c>
      <c r="D1135" t="s">
        <v>2254</v>
      </c>
    </row>
    <row r="1136" spans="1:4" x14ac:dyDescent="0.3">
      <c r="A1136" t="s">
        <v>2302</v>
      </c>
      <c r="B1136" t="s">
        <v>2303</v>
      </c>
      <c r="C1136" t="s">
        <v>2315</v>
      </c>
      <c r="D1136" t="s">
        <v>2316</v>
      </c>
    </row>
    <row r="1137" spans="1:4" x14ac:dyDescent="0.3">
      <c r="A1137" t="s">
        <v>2302</v>
      </c>
      <c r="B1137" t="s">
        <v>2303</v>
      </c>
      <c r="C1137" t="s">
        <v>2322</v>
      </c>
      <c r="D1137" t="s">
        <v>2061</v>
      </c>
    </row>
    <row r="1138" spans="1:4" x14ac:dyDescent="0.3">
      <c r="A1138" t="s">
        <v>2302</v>
      </c>
      <c r="B1138" t="s">
        <v>2303</v>
      </c>
      <c r="C1138" t="s">
        <v>2323</v>
      </c>
      <c r="D1138" t="s">
        <v>2324</v>
      </c>
    </row>
    <row r="1139" spans="1:4" x14ac:dyDescent="0.3">
      <c r="A1139" t="s">
        <v>2302</v>
      </c>
      <c r="B1139" t="s">
        <v>2303</v>
      </c>
      <c r="C1139" t="s">
        <v>2307</v>
      </c>
      <c r="D1139" t="s">
        <v>2308</v>
      </c>
    </row>
    <row r="1140" spans="1:4" x14ac:dyDescent="0.3">
      <c r="A1140" t="s">
        <v>2302</v>
      </c>
      <c r="B1140" t="s">
        <v>2303</v>
      </c>
      <c r="C1140" t="s">
        <v>2313</v>
      </c>
      <c r="D1140" t="s">
        <v>2314</v>
      </c>
    </row>
    <row r="1141" spans="1:4" x14ac:dyDescent="0.3">
      <c r="A1141" t="s">
        <v>2302</v>
      </c>
      <c r="B1141" t="s">
        <v>2303</v>
      </c>
      <c r="C1141" t="s">
        <v>2319</v>
      </c>
      <c r="D1141" t="s">
        <v>2320</v>
      </c>
    </row>
    <row r="1142" spans="1:4" x14ac:dyDescent="0.3">
      <c r="A1142" t="s">
        <v>2302</v>
      </c>
      <c r="B1142" t="s">
        <v>2303</v>
      </c>
      <c r="C1142" t="s">
        <v>4178</v>
      </c>
      <c r="D1142" t="s">
        <v>1952</v>
      </c>
    </row>
    <row r="1143" spans="1:4" x14ac:dyDescent="0.3">
      <c r="A1143" t="s">
        <v>2302</v>
      </c>
      <c r="B1143" t="s">
        <v>2303</v>
      </c>
      <c r="C1143" t="s">
        <v>2070</v>
      </c>
      <c r="D1143" t="s">
        <v>2306</v>
      </c>
    </row>
    <row r="1144" spans="1:4" x14ac:dyDescent="0.3">
      <c r="A1144" t="s">
        <v>2302</v>
      </c>
      <c r="B1144" t="s">
        <v>2303</v>
      </c>
      <c r="C1144" t="s">
        <v>2321</v>
      </c>
      <c r="D1144" t="s">
        <v>1423</v>
      </c>
    </row>
    <row r="1145" spans="1:4" x14ac:dyDescent="0.3">
      <c r="A1145" t="s">
        <v>2302</v>
      </c>
      <c r="B1145" t="s">
        <v>2303</v>
      </c>
      <c r="C1145" t="s">
        <v>2325</v>
      </c>
      <c r="D1145" t="s">
        <v>2326</v>
      </c>
    </row>
    <row r="1146" spans="1:4" x14ac:dyDescent="0.3">
      <c r="A1146" t="s">
        <v>2302</v>
      </c>
      <c r="B1146" t="s">
        <v>2303</v>
      </c>
      <c r="C1146" t="s">
        <v>2309</v>
      </c>
      <c r="D1146" t="s">
        <v>2310</v>
      </c>
    </row>
    <row r="1147" spans="1:4" x14ac:dyDescent="0.3">
      <c r="A1147" t="s">
        <v>2302</v>
      </c>
      <c r="B1147" t="s">
        <v>2303</v>
      </c>
      <c r="C1147" t="s">
        <v>2311</v>
      </c>
      <c r="D1147" t="s">
        <v>2312</v>
      </c>
    </row>
    <row r="1148" spans="1:4" x14ac:dyDescent="0.3">
      <c r="A1148" t="s">
        <v>2302</v>
      </c>
      <c r="B1148" t="s">
        <v>2303</v>
      </c>
      <c r="C1148" t="s">
        <v>2317</v>
      </c>
      <c r="D1148" t="s">
        <v>2318</v>
      </c>
    </row>
    <row r="1149" spans="1:4" x14ac:dyDescent="0.3">
      <c r="A1149" t="s">
        <v>2302</v>
      </c>
      <c r="B1149" t="s">
        <v>2303</v>
      </c>
      <c r="C1149" t="s">
        <v>2304</v>
      </c>
      <c r="D1149" t="s">
        <v>2305</v>
      </c>
    </row>
    <row r="1150" spans="1:4" x14ac:dyDescent="0.3">
      <c r="A1150" t="s">
        <v>2327</v>
      </c>
      <c r="B1150" t="s">
        <v>2328</v>
      </c>
      <c r="C1150" t="s">
        <v>2353</v>
      </c>
      <c r="D1150" t="s">
        <v>2354</v>
      </c>
    </row>
    <row r="1151" spans="1:4" x14ac:dyDescent="0.3">
      <c r="A1151" t="s">
        <v>2327</v>
      </c>
      <c r="B1151" t="s">
        <v>2328</v>
      </c>
      <c r="C1151" t="s">
        <v>2333</v>
      </c>
      <c r="D1151" t="s">
        <v>2334</v>
      </c>
    </row>
    <row r="1152" spans="1:4" x14ac:dyDescent="0.3">
      <c r="A1152" t="s">
        <v>2327</v>
      </c>
      <c r="B1152" t="s">
        <v>2328</v>
      </c>
      <c r="C1152" t="s">
        <v>2347</v>
      </c>
      <c r="D1152" t="s">
        <v>2348</v>
      </c>
    </row>
    <row r="1153" spans="1:4" x14ac:dyDescent="0.3">
      <c r="A1153" t="s">
        <v>2327</v>
      </c>
      <c r="B1153" t="s">
        <v>2328</v>
      </c>
      <c r="C1153" t="s">
        <v>2329</v>
      </c>
      <c r="D1153" t="s">
        <v>2330</v>
      </c>
    </row>
    <row r="1154" spans="1:4" x14ac:dyDescent="0.3">
      <c r="A1154" t="s">
        <v>2327</v>
      </c>
      <c r="B1154" t="s">
        <v>2328</v>
      </c>
      <c r="C1154" t="s">
        <v>2351</v>
      </c>
      <c r="D1154" t="s">
        <v>2352</v>
      </c>
    </row>
    <row r="1155" spans="1:4" x14ac:dyDescent="0.3">
      <c r="A1155" t="s">
        <v>2327</v>
      </c>
      <c r="B1155" t="s">
        <v>2328</v>
      </c>
      <c r="C1155" t="s">
        <v>2343</v>
      </c>
      <c r="D1155" t="s">
        <v>2344</v>
      </c>
    </row>
    <row r="1156" spans="1:4" x14ac:dyDescent="0.3">
      <c r="A1156" t="s">
        <v>2327</v>
      </c>
      <c r="B1156" t="s">
        <v>2328</v>
      </c>
      <c r="C1156" t="s">
        <v>2365</v>
      </c>
      <c r="D1156" t="s">
        <v>2366</v>
      </c>
    </row>
    <row r="1157" spans="1:4" x14ac:dyDescent="0.3">
      <c r="A1157" t="s">
        <v>2327</v>
      </c>
      <c r="B1157" t="s">
        <v>2328</v>
      </c>
      <c r="C1157" t="s">
        <v>2359</v>
      </c>
      <c r="D1157" t="s">
        <v>2360</v>
      </c>
    </row>
    <row r="1158" spans="1:4" x14ac:dyDescent="0.3">
      <c r="A1158" t="s">
        <v>2327</v>
      </c>
      <c r="B1158" t="s">
        <v>2328</v>
      </c>
      <c r="C1158" t="s">
        <v>2339</v>
      </c>
      <c r="D1158" t="s">
        <v>2340</v>
      </c>
    </row>
    <row r="1159" spans="1:4" x14ac:dyDescent="0.3">
      <c r="A1159" t="s">
        <v>2327</v>
      </c>
      <c r="B1159" t="s">
        <v>2328</v>
      </c>
      <c r="C1159" t="s">
        <v>2331</v>
      </c>
      <c r="D1159" t="s">
        <v>2332</v>
      </c>
    </row>
    <row r="1160" spans="1:4" x14ac:dyDescent="0.3">
      <c r="A1160" t="s">
        <v>2327</v>
      </c>
      <c r="B1160" t="s">
        <v>2328</v>
      </c>
      <c r="C1160" t="s">
        <v>2335</v>
      </c>
      <c r="D1160" t="s">
        <v>2336</v>
      </c>
    </row>
    <row r="1161" spans="1:4" x14ac:dyDescent="0.3">
      <c r="A1161" t="s">
        <v>2327</v>
      </c>
      <c r="B1161" t="s">
        <v>2328</v>
      </c>
      <c r="C1161" t="s">
        <v>2349</v>
      </c>
      <c r="D1161" t="s">
        <v>2350</v>
      </c>
    </row>
    <row r="1162" spans="1:4" x14ac:dyDescent="0.3">
      <c r="A1162" t="s">
        <v>2327</v>
      </c>
      <c r="B1162" t="s">
        <v>2328</v>
      </c>
      <c r="C1162" t="s">
        <v>2345</v>
      </c>
      <c r="D1162" t="s">
        <v>2346</v>
      </c>
    </row>
    <row r="1163" spans="1:4" x14ac:dyDescent="0.3">
      <c r="A1163" t="s">
        <v>2327</v>
      </c>
      <c r="B1163" t="s">
        <v>2328</v>
      </c>
      <c r="C1163" t="s">
        <v>2367</v>
      </c>
      <c r="D1163" t="s">
        <v>2368</v>
      </c>
    </row>
    <row r="1164" spans="1:4" x14ac:dyDescent="0.3">
      <c r="A1164" t="s">
        <v>2327</v>
      </c>
      <c r="B1164" t="s">
        <v>2328</v>
      </c>
      <c r="C1164" t="s">
        <v>2341</v>
      </c>
      <c r="D1164" t="s">
        <v>2342</v>
      </c>
    </row>
    <row r="1165" spans="1:4" x14ac:dyDescent="0.3">
      <c r="A1165" t="s">
        <v>2327</v>
      </c>
      <c r="B1165" t="s">
        <v>2328</v>
      </c>
      <c r="C1165" t="s">
        <v>2357</v>
      </c>
      <c r="D1165" t="s">
        <v>2358</v>
      </c>
    </row>
    <row r="1166" spans="1:4" x14ac:dyDescent="0.3">
      <c r="A1166" t="s">
        <v>2327</v>
      </c>
      <c r="B1166" t="s">
        <v>2328</v>
      </c>
      <c r="C1166" t="s">
        <v>2337</v>
      </c>
      <c r="D1166" t="s">
        <v>2338</v>
      </c>
    </row>
    <row r="1167" spans="1:4" x14ac:dyDescent="0.3">
      <c r="A1167" t="s">
        <v>2327</v>
      </c>
      <c r="B1167" t="s">
        <v>2328</v>
      </c>
      <c r="C1167" t="s">
        <v>2361</v>
      </c>
      <c r="D1167" t="s">
        <v>2362</v>
      </c>
    </row>
    <row r="1168" spans="1:4" x14ac:dyDescent="0.3">
      <c r="A1168" t="s">
        <v>2327</v>
      </c>
      <c r="B1168" t="s">
        <v>2328</v>
      </c>
      <c r="C1168" t="s">
        <v>2355</v>
      </c>
      <c r="D1168" t="s">
        <v>2356</v>
      </c>
    </row>
    <row r="1169" spans="1:4" x14ac:dyDescent="0.3">
      <c r="A1169" t="s">
        <v>2327</v>
      </c>
      <c r="B1169" t="s">
        <v>2328</v>
      </c>
      <c r="C1169" t="s">
        <v>2363</v>
      </c>
      <c r="D1169" t="s">
        <v>2364</v>
      </c>
    </row>
    <row r="1170" spans="1:4" x14ac:dyDescent="0.3">
      <c r="A1170" t="s">
        <v>2369</v>
      </c>
      <c r="B1170" t="s">
        <v>2370</v>
      </c>
      <c r="C1170" t="s">
        <v>2408</v>
      </c>
      <c r="D1170" t="s">
        <v>2409</v>
      </c>
    </row>
    <row r="1171" spans="1:4" x14ac:dyDescent="0.3">
      <c r="A1171" t="s">
        <v>2369</v>
      </c>
      <c r="B1171" t="s">
        <v>2370</v>
      </c>
      <c r="C1171" t="s">
        <v>2394</v>
      </c>
      <c r="D1171" t="s">
        <v>2395</v>
      </c>
    </row>
    <row r="1172" spans="1:4" x14ac:dyDescent="0.3">
      <c r="A1172" t="s">
        <v>2369</v>
      </c>
      <c r="B1172" t="s">
        <v>2370</v>
      </c>
      <c r="C1172" t="s">
        <v>2406</v>
      </c>
      <c r="D1172" t="s">
        <v>2407</v>
      </c>
    </row>
    <row r="1173" spans="1:4" x14ac:dyDescent="0.3">
      <c r="A1173" t="s">
        <v>2369</v>
      </c>
      <c r="B1173" t="s">
        <v>2370</v>
      </c>
      <c r="C1173" t="s">
        <v>2398</v>
      </c>
      <c r="D1173" t="s">
        <v>2399</v>
      </c>
    </row>
    <row r="1174" spans="1:4" x14ac:dyDescent="0.3">
      <c r="A1174" t="s">
        <v>2369</v>
      </c>
      <c r="B1174" t="s">
        <v>2370</v>
      </c>
      <c r="C1174" t="s">
        <v>2375</v>
      </c>
      <c r="D1174" t="s">
        <v>2376</v>
      </c>
    </row>
    <row r="1175" spans="1:4" x14ac:dyDescent="0.3">
      <c r="A1175" t="s">
        <v>2369</v>
      </c>
      <c r="B1175" t="s">
        <v>2370</v>
      </c>
      <c r="C1175" t="s">
        <v>2379</v>
      </c>
      <c r="D1175" t="s">
        <v>734</v>
      </c>
    </row>
    <row r="1176" spans="1:4" x14ac:dyDescent="0.3">
      <c r="A1176" t="s">
        <v>2369</v>
      </c>
      <c r="B1176" t="s">
        <v>2370</v>
      </c>
      <c r="C1176" t="s">
        <v>2382</v>
      </c>
      <c r="D1176" t="s">
        <v>2383</v>
      </c>
    </row>
    <row r="1177" spans="1:4" x14ac:dyDescent="0.3">
      <c r="A1177" t="s">
        <v>2369</v>
      </c>
      <c r="B1177" t="s">
        <v>2370</v>
      </c>
      <c r="C1177" t="s">
        <v>2377</v>
      </c>
      <c r="D1177" t="s">
        <v>2378</v>
      </c>
    </row>
    <row r="1178" spans="1:4" x14ac:dyDescent="0.3">
      <c r="A1178" t="s">
        <v>2369</v>
      </c>
      <c r="B1178" t="s">
        <v>2370</v>
      </c>
      <c r="C1178" t="s">
        <v>2380</v>
      </c>
      <c r="D1178" t="s">
        <v>2381</v>
      </c>
    </row>
    <row r="1179" spans="1:4" x14ac:dyDescent="0.3">
      <c r="A1179" t="s">
        <v>2369</v>
      </c>
      <c r="B1179" t="s">
        <v>2370</v>
      </c>
      <c r="C1179" t="s">
        <v>2388</v>
      </c>
      <c r="D1179" t="s">
        <v>2389</v>
      </c>
    </row>
    <row r="1180" spans="1:4" x14ac:dyDescent="0.3">
      <c r="A1180" t="s">
        <v>2369</v>
      </c>
      <c r="B1180" t="s">
        <v>2370</v>
      </c>
      <c r="C1180" t="s">
        <v>2371</v>
      </c>
      <c r="D1180" t="s">
        <v>2372</v>
      </c>
    </row>
    <row r="1181" spans="1:4" x14ac:dyDescent="0.3">
      <c r="A1181" t="s">
        <v>2369</v>
      </c>
      <c r="B1181" t="s">
        <v>2370</v>
      </c>
      <c r="C1181" t="s">
        <v>2373</v>
      </c>
      <c r="D1181" t="s">
        <v>2374</v>
      </c>
    </row>
    <row r="1182" spans="1:4" x14ac:dyDescent="0.3">
      <c r="A1182" t="s">
        <v>2369</v>
      </c>
      <c r="B1182" t="s">
        <v>2370</v>
      </c>
      <c r="C1182" t="s">
        <v>2396</v>
      </c>
      <c r="D1182" t="s">
        <v>2397</v>
      </c>
    </row>
    <row r="1183" spans="1:4" x14ac:dyDescent="0.3">
      <c r="A1183" t="s">
        <v>2369</v>
      </c>
      <c r="B1183" t="s">
        <v>2370</v>
      </c>
      <c r="C1183" t="s">
        <v>2416</v>
      </c>
      <c r="D1183" t="s">
        <v>1027</v>
      </c>
    </row>
    <row r="1184" spans="1:4" x14ac:dyDescent="0.3">
      <c r="A1184" t="s">
        <v>2369</v>
      </c>
      <c r="B1184" t="s">
        <v>2370</v>
      </c>
      <c r="C1184" t="s">
        <v>2414</v>
      </c>
      <c r="D1184" t="s">
        <v>2415</v>
      </c>
    </row>
    <row r="1185" spans="1:4" x14ac:dyDescent="0.3">
      <c r="A1185" t="s">
        <v>2369</v>
      </c>
      <c r="B1185" t="s">
        <v>2370</v>
      </c>
      <c r="C1185" t="s">
        <v>2386</v>
      </c>
      <c r="D1185" t="s">
        <v>2387</v>
      </c>
    </row>
    <row r="1186" spans="1:4" x14ac:dyDescent="0.3">
      <c r="A1186" t="s">
        <v>2369</v>
      </c>
      <c r="B1186" t="s">
        <v>2370</v>
      </c>
      <c r="C1186" t="s">
        <v>2404</v>
      </c>
      <c r="D1186" t="s">
        <v>2405</v>
      </c>
    </row>
    <row r="1187" spans="1:4" x14ac:dyDescent="0.3">
      <c r="A1187" t="s">
        <v>2369</v>
      </c>
      <c r="B1187" t="s">
        <v>2370</v>
      </c>
      <c r="C1187" t="s">
        <v>2410</v>
      </c>
      <c r="D1187" t="s">
        <v>2411</v>
      </c>
    </row>
    <row r="1188" spans="1:4" x14ac:dyDescent="0.3">
      <c r="A1188" t="s">
        <v>2369</v>
      </c>
      <c r="B1188" t="s">
        <v>2370</v>
      </c>
      <c r="C1188" t="s">
        <v>2392</v>
      </c>
      <c r="D1188" t="s">
        <v>2393</v>
      </c>
    </row>
    <row r="1189" spans="1:4" x14ac:dyDescent="0.3">
      <c r="A1189" t="s">
        <v>2369</v>
      </c>
      <c r="B1189" t="s">
        <v>2370</v>
      </c>
      <c r="C1189" t="s">
        <v>2390</v>
      </c>
      <c r="D1189" t="s">
        <v>2391</v>
      </c>
    </row>
    <row r="1190" spans="1:4" x14ac:dyDescent="0.3">
      <c r="A1190" t="s">
        <v>2369</v>
      </c>
      <c r="B1190" t="s">
        <v>2370</v>
      </c>
      <c r="C1190" t="s">
        <v>2384</v>
      </c>
      <c r="D1190" t="s">
        <v>2385</v>
      </c>
    </row>
    <row r="1191" spans="1:4" x14ac:dyDescent="0.3">
      <c r="A1191" t="s">
        <v>2369</v>
      </c>
      <c r="B1191" t="s">
        <v>2370</v>
      </c>
      <c r="C1191" t="s">
        <v>2402</v>
      </c>
      <c r="D1191" t="s">
        <v>2403</v>
      </c>
    </row>
    <row r="1192" spans="1:4" x14ac:dyDescent="0.3">
      <c r="A1192" t="s">
        <v>2369</v>
      </c>
      <c r="B1192" t="s">
        <v>2370</v>
      </c>
      <c r="C1192" t="s">
        <v>2400</v>
      </c>
      <c r="D1192" t="s">
        <v>2401</v>
      </c>
    </row>
    <row r="1193" spans="1:4" x14ac:dyDescent="0.3">
      <c r="A1193" t="s">
        <v>2369</v>
      </c>
      <c r="B1193" t="s">
        <v>2370</v>
      </c>
      <c r="C1193" t="s">
        <v>2412</v>
      </c>
      <c r="D1193" t="s">
        <v>2413</v>
      </c>
    </row>
    <row r="1194" spans="1:4" x14ac:dyDescent="0.3">
      <c r="A1194" t="s">
        <v>1949</v>
      </c>
      <c r="B1194" t="s">
        <v>2417</v>
      </c>
      <c r="C1194" t="s">
        <v>2440</v>
      </c>
      <c r="D1194" t="s">
        <v>2441</v>
      </c>
    </row>
    <row r="1195" spans="1:4" x14ac:dyDescent="0.3">
      <c r="A1195" t="s">
        <v>1949</v>
      </c>
      <c r="B1195" t="s">
        <v>2417</v>
      </c>
      <c r="C1195" t="s">
        <v>2456</v>
      </c>
      <c r="D1195" t="s">
        <v>2457</v>
      </c>
    </row>
    <row r="1196" spans="1:4" x14ac:dyDescent="0.3">
      <c r="A1196" t="s">
        <v>1949</v>
      </c>
      <c r="B1196" t="s">
        <v>2417</v>
      </c>
      <c r="C1196" t="s">
        <v>2418</v>
      </c>
      <c r="D1196" t="s">
        <v>2419</v>
      </c>
    </row>
    <row r="1197" spans="1:4" x14ac:dyDescent="0.3">
      <c r="A1197" t="s">
        <v>1949</v>
      </c>
      <c r="B1197" t="s">
        <v>2417</v>
      </c>
      <c r="C1197" t="s">
        <v>2420</v>
      </c>
      <c r="D1197" t="s">
        <v>2421</v>
      </c>
    </row>
    <row r="1198" spans="1:4" x14ac:dyDescent="0.3">
      <c r="A1198" t="s">
        <v>1949</v>
      </c>
      <c r="B1198" t="s">
        <v>2417</v>
      </c>
      <c r="C1198" t="s">
        <v>2430</v>
      </c>
      <c r="D1198" t="s">
        <v>2431</v>
      </c>
    </row>
    <row r="1199" spans="1:4" x14ac:dyDescent="0.3">
      <c r="A1199" t="s">
        <v>1949</v>
      </c>
      <c r="B1199" t="s">
        <v>2417</v>
      </c>
      <c r="C1199" t="s">
        <v>2444</v>
      </c>
      <c r="D1199" t="s">
        <v>2445</v>
      </c>
    </row>
    <row r="1200" spans="1:4" x14ac:dyDescent="0.3">
      <c r="A1200" t="s">
        <v>1949</v>
      </c>
      <c r="B1200" t="s">
        <v>2417</v>
      </c>
      <c r="C1200" t="s">
        <v>2436</v>
      </c>
      <c r="D1200" t="s">
        <v>2437</v>
      </c>
    </row>
    <row r="1201" spans="1:4" x14ac:dyDescent="0.3">
      <c r="A1201" t="s">
        <v>1949</v>
      </c>
      <c r="B1201" t="s">
        <v>2417</v>
      </c>
      <c r="C1201" t="s">
        <v>2446</v>
      </c>
      <c r="D1201" t="s">
        <v>2447</v>
      </c>
    </row>
    <row r="1202" spans="1:4" x14ac:dyDescent="0.3">
      <c r="A1202" t="s">
        <v>1949</v>
      </c>
      <c r="B1202" t="s">
        <v>2417</v>
      </c>
      <c r="C1202" t="s">
        <v>2454</v>
      </c>
      <c r="D1202" t="s">
        <v>2455</v>
      </c>
    </row>
    <row r="1203" spans="1:4" x14ac:dyDescent="0.3">
      <c r="A1203" t="s">
        <v>1949</v>
      </c>
      <c r="B1203" t="s">
        <v>2417</v>
      </c>
      <c r="C1203" t="s">
        <v>2422</v>
      </c>
      <c r="D1203" t="s">
        <v>2423</v>
      </c>
    </row>
    <row r="1204" spans="1:4" x14ac:dyDescent="0.3">
      <c r="A1204" t="s">
        <v>1949</v>
      </c>
      <c r="B1204" t="s">
        <v>2417</v>
      </c>
      <c r="C1204" t="s">
        <v>2442</v>
      </c>
      <c r="D1204" t="s">
        <v>2443</v>
      </c>
    </row>
    <row r="1205" spans="1:4" x14ac:dyDescent="0.3">
      <c r="A1205" t="s">
        <v>1949</v>
      </c>
      <c r="B1205" t="s">
        <v>2417</v>
      </c>
      <c r="C1205" t="s">
        <v>2448</v>
      </c>
      <c r="D1205" t="s">
        <v>2449</v>
      </c>
    </row>
    <row r="1206" spans="1:4" x14ac:dyDescent="0.3">
      <c r="A1206" t="s">
        <v>1949</v>
      </c>
      <c r="B1206" t="s">
        <v>2417</v>
      </c>
      <c r="C1206" t="s">
        <v>2434</v>
      </c>
      <c r="D1206" t="s">
        <v>2435</v>
      </c>
    </row>
    <row r="1207" spans="1:4" x14ac:dyDescent="0.3">
      <c r="A1207" t="s">
        <v>1949</v>
      </c>
      <c r="B1207" t="s">
        <v>2417</v>
      </c>
      <c r="C1207" t="s">
        <v>2452</v>
      </c>
      <c r="D1207" t="s">
        <v>2453</v>
      </c>
    </row>
    <row r="1208" spans="1:4" x14ac:dyDescent="0.3">
      <c r="A1208" t="s">
        <v>1949</v>
      </c>
      <c r="B1208" t="s">
        <v>2417</v>
      </c>
      <c r="C1208" t="s">
        <v>2424</v>
      </c>
      <c r="D1208" t="s">
        <v>2425</v>
      </c>
    </row>
    <row r="1209" spans="1:4" x14ac:dyDescent="0.3">
      <c r="A1209" t="s">
        <v>1949</v>
      </c>
      <c r="B1209" t="s">
        <v>2417</v>
      </c>
      <c r="C1209" t="s">
        <v>2426</v>
      </c>
      <c r="D1209" t="s">
        <v>2427</v>
      </c>
    </row>
    <row r="1210" spans="1:4" x14ac:dyDescent="0.3">
      <c r="A1210" t="s">
        <v>1949</v>
      </c>
      <c r="B1210" t="s">
        <v>2417</v>
      </c>
      <c r="C1210" t="s">
        <v>2432</v>
      </c>
      <c r="D1210" t="s">
        <v>2433</v>
      </c>
    </row>
    <row r="1211" spans="1:4" x14ac:dyDescent="0.3">
      <c r="A1211" t="s">
        <v>1949</v>
      </c>
      <c r="B1211" t="s">
        <v>2417</v>
      </c>
      <c r="C1211" t="s">
        <v>2438</v>
      </c>
      <c r="D1211" t="s">
        <v>2439</v>
      </c>
    </row>
    <row r="1212" spans="1:4" x14ac:dyDescent="0.3">
      <c r="A1212" t="s">
        <v>1949</v>
      </c>
      <c r="B1212" t="s">
        <v>2417</v>
      </c>
      <c r="C1212" t="s">
        <v>2428</v>
      </c>
      <c r="D1212" t="s">
        <v>2429</v>
      </c>
    </row>
    <row r="1213" spans="1:4" x14ac:dyDescent="0.3">
      <c r="A1213" t="s">
        <v>1949</v>
      </c>
      <c r="B1213" t="s">
        <v>2417</v>
      </c>
      <c r="C1213" t="s">
        <v>2450</v>
      </c>
      <c r="D1213" t="s">
        <v>2451</v>
      </c>
    </row>
    <row r="1214" spans="1:4" x14ac:dyDescent="0.3">
      <c r="A1214" t="s">
        <v>1420</v>
      </c>
      <c r="B1214" t="s">
        <v>2458</v>
      </c>
      <c r="C1214" t="s">
        <v>2479</v>
      </c>
      <c r="D1214" t="s">
        <v>4179</v>
      </c>
    </row>
    <row r="1215" spans="1:4" x14ac:dyDescent="0.3">
      <c r="A1215" t="s">
        <v>1420</v>
      </c>
      <c r="B1215" t="s">
        <v>2458</v>
      </c>
      <c r="C1215" t="s">
        <v>2482</v>
      </c>
      <c r="D1215" t="s">
        <v>4180</v>
      </c>
    </row>
    <row r="1216" spans="1:4" x14ac:dyDescent="0.3">
      <c r="A1216" t="s">
        <v>1420</v>
      </c>
      <c r="B1216" t="s">
        <v>2458</v>
      </c>
      <c r="C1216" t="s">
        <v>2469</v>
      </c>
      <c r="D1216" t="s">
        <v>4181</v>
      </c>
    </row>
    <row r="1217" spans="1:4" x14ac:dyDescent="0.3">
      <c r="A1217" t="s">
        <v>1420</v>
      </c>
      <c r="B1217" t="s">
        <v>2458</v>
      </c>
      <c r="C1217" t="s">
        <v>1269</v>
      </c>
      <c r="D1217" t="s">
        <v>4182</v>
      </c>
    </row>
    <row r="1218" spans="1:4" x14ac:dyDescent="0.3">
      <c r="A1218" t="s">
        <v>1420</v>
      </c>
      <c r="B1218" t="s">
        <v>2458</v>
      </c>
      <c r="C1218" t="s">
        <v>2459</v>
      </c>
      <c r="D1218" t="s">
        <v>4183</v>
      </c>
    </row>
    <row r="1219" spans="1:4" x14ac:dyDescent="0.3">
      <c r="A1219" t="s">
        <v>1420</v>
      </c>
      <c r="B1219" t="s">
        <v>2458</v>
      </c>
      <c r="C1219" t="s">
        <v>2471</v>
      </c>
      <c r="D1219" t="s">
        <v>2472</v>
      </c>
    </row>
    <row r="1220" spans="1:4" x14ac:dyDescent="0.3">
      <c r="A1220" t="s">
        <v>1420</v>
      </c>
      <c r="B1220" t="s">
        <v>2458</v>
      </c>
      <c r="C1220" t="s">
        <v>2460</v>
      </c>
      <c r="D1220" t="s">
        <v>2461</v>
      </c>
    </row>
    <row r="1221" spans="1:4" x14ac:dyDescent="0.3">
      <c r="A1221" t="s">
        <v>1420</v>
      </c>
      <c r="B1221" t="s">
        <v>2458</v>
      </c>
      <c r="C1221" t="s">
        <v>2480</v>
      </c>
      <c r="D1221" t="s">
        <v>2481</v>
      </c>
    </row>
    <row r="1222" spans="1:4" x14ac:dyDescent="0.3">
      <c r="A1222" t="s">
        <v>1420</v>
      </c>
      <c r="B1222" t="s">
        <v>2458</v>
      </c>
      <c r="C1222" t="s">
        <v>2462</v>
      </c>
      <c r="D1222" t="s">
        <v>2463</v>
      </c>
    </row>
    <row r="1223" spans="1:4" x14ac:dyDescent="0.3">
      <c r="A1223" t="s">
        <v>1420</v>
      </c>
      <c r="B1223" t="s">
        <v>2458</v>
      </c>
      <c r="C1223" t="s">
        <v>2467</v>
      </c>
      <c r="D1223" t="s">
        <v>2468</v>
      </c>
    </row>
    <row r="1224" spans="1:4" x14ac:dyDescent="0.3">
      <c r="A1224" t="s">
        <v>1420</v>
      </c>
      <c r="B1224" t="s">
        <v>2458</v>
      </c>
      <c r="C1224" t="s">
        <v>2483</v>
      </c>
      <c r="D1224" t="s">
        <v>2484</v>
      </c>
    </row>
    <row r="1225" spans="1:4" x14ac:dyDescent="0.3">
      <c r="A1225" t="s">
        <v>1420</v>
      </c>
      <c r="B1225" t="s">
        <v>2458</v>
      </c>
      <c r="C1225" t="s">
        <v>2465</v>
      </c>
      <c r="D1225" t="s">
        <v>2466</v>
      </c>
    </row>
    <row r="1226" spans="1:4" x14ac:dyDescent="0.3">
      <c r="A1226" t="s">
        <v>1420</v>
      </c>
      <c r="B1226" t="s">
        <v>2458</v>
      </c>
      <c r="C1226" t="s">
        <v>58</v>
      </c>
      <c r="D1226" t="s">
        <v>2476</v>
      </c>
    </row>
    <row r="1227" spans="1:4" x14ac:dyDescent="0.3">
      <c r="A1227" t="s">
        <v>1420</v>
      </c>
      <c r="B1227" t="s">
        <v>2458</v>
      </c>
      <c r="C1227" t="s">
        <v>2470</v>
      </c>
      <c r="D1227" t="s">
        <v>4184</v>
      </c>
    </row>
    <row r="1228" spans="1:4" x14ac:dyDescent="0.3">
      <c r="A1228" t="s">
        <v>1420</v>
      </c>
      <c r="B1228" t="s">
        <v>2458</v>
      </c>
      <c r="C1228" t="s">
        <v>2464</v>
      </c>
      <c r="D1228" t="s">
        <v>4185</v>
      </c>
    </row>
    <row r="1229" spans="1:4" x14ac:dyDescent="0.3">
      <c r="A1229" t="s">
        <v>1420</v>
      </c>
      <c r="B1229" t="s">
        <v>2458</v>
      </c>
      <c r="C1229" t="s">
        <v>2473</v>
      </c>
      <c r="D1229" t="s">
        <v>4186</v>
      </c>
    </row>
    <row r="1230" spans="1:4" x14ac:dyDescent="0.3">
      <c r="A1230" t="s">
        <v>1420</v>
      </c>
      <c r="B1230" t="s">
        <v>2458</v>
      </c>
      <c r="C1230" t="s">
        <v>2474</v>
      </c>
      <c r="D1230" t="s">
        <v>4187</v>
      </c>
    </row>
    <row r="1231" spans="1:4" x14ac:dyDescent="0.3">
      <c r="A1231" t="s">
        <v>1420</v>
      </c>
      <c r="B1231" t="s">
        <v>2458</v>
      </c>
      <c r="C1231" t="s">
        <v>4188</v>
      </c>
      <c r="D1231" t="s">
        <v>4189</v>
      </c>
    </row>
    <row r="1232" spans="1:4" x14ac:dyDescent="0.3">
      <c r="A1232" t="s">
        <v>1420</v>
      </c>
      <c r="B1232" t="s">
        <v>2458</v>
      </c>
      <c r="C1232" t="s">
        <v>2478</v>
      </c>
      <c r="D1232" t="s">
        <v>4190</v>
      </c>
    </row>
    <row r="1233" spans="1:4" x14ac:dyDescent="0.3">
      <c r="A1233" t="s">
        <v>1420</v>
      </c>
      <c r="B1233" t="s">
        <v>2458</v>
      </c>
      <c r="C1233" t="s">
        <v>2477</v>
      </c>
      <c r="D1233" t="s">
        <v>4191</v>
      </c>
    </row>
    <row r="1234" spans="1:4" x14ac:dyDescent="0.3">
      <c r="A1234" t="s">
        <v>1420</v>
      </c>
      <c r="B1234" t="s">
        <v>2458</v>
      </c>
      <c r="C1234" t="s">
        <v>2485</v>
      </c>
      <c r="D1234" t="s">
        <v>4192</v>
      </c>
    </row>
    <row r="1235" spans="1:4" x14ac:dyDescent="0.3">
      <c r="A1235" t="s">
        <v>1420</v>
      </c>
      <c r="B1235" t="s">
        <v>2458</v>
      </c>
      <c r="C1235" t="s">
        <v>2475</v>
      </c>
      <c r="D1235" t="s">
        <v>4193</v>
      </c>
    </row>
    <row r="1236" spans="1:4" x14ac:dyDescent="0.3">
      <c r="A1236" t="s">
        <v>2486</v>
      </c>
      <c r="B1236" t="s">
        <v>2487</v>
      </c>
      <c r="C1236" t="s">
        <v>2502</v>
      </c>
      <c r="D1236" t="s">
        <v>2503</v>
      </c>
    </row>
    <row r="1237" spans="1:4" x14ac:dyDescent="0.3">
      <c r="A1237" t="s">
        <v>2486</v>
      </c>
      <c r="B1237" t="s">
        <v>2487</v>
      </c>
      <c r="C1237" t="s">
        <v>2516</v>
      </c>
      <c r="D1237" t="s">
        <v>2517</v>
      </c>
    </row>
    <row r="1238" spans="1:4" x14ac:dyDescent="0.3">
      <c r="A1238" t="s">
        <v>2486</v>
      </c>
      <c r="B1238" t="s">
        <v>2487</v>
      </c>
      <c r="C1238" t="s">
        <v>2518</v>
      </c>
      <c r="D1238" t="s">
        <v>2519</v>
      </c>
    </row>
    <row r="1239" spans="1:4" x14ac:dyDescent="0.3">
      <c r="A1239" t="s">
        <v>2486</v>
      </c>
      <c r="B1239" t="s">
        <v>2487</v>
      </c>
      <c r="C1239" t="s">
        <v>2514</v>
      </c>
      <c r="D1239" t="s">
        <v>2515</v>
      </c>
    </row>
    <row r="1240" spans="1:4" x14ac:dyDescent="0.3">
      <c r="A1240" t="s">
        <v>2486</v>
      </c>
      <c r="B1240" t="s">
        <v>2487</v>
      </c>
      <c r="C1240" t="s">
        <v>2504</v>
      </c>
      <c r="D1240" t="s">
        <v>2505</v>
      </c>
    </row>
    <row r="1241" spans="1:4" x14ac:dyDescent="0.3">
      <c r="A1241" t="s">
        <v>2486</v>
      </c>
      <c r="B1241" t="s">
        <v>2487</v>
      </c>
      <c r="C1241" t="s">
        <v>2510</v>
      </c>
      <c r="D1241" t="s">
        <v>2511</v>
      </c>
    </row>
    <row r="1242" spans="1:4" x14ac:dyDescent="0.3">
      <c r="A1242" t="s">
        <v>2486</v>
      </c>
      <c r="B1242" t="s">
        <v>2487</v>
      </c>
      <c r="C1242" t="s">
        <v>2496</v>
      </c>
      <c r="D1242" t="s">
        <v>2497</v>
      </c>
    </row>
    <row r="1243" spans="1:4" x14ac:dyDescent="0.3">
      <c r="A1243" t="s">
        <v>2486</v>
      </c>
      <c r="B1243" t="s">
        <v>2487</v>
      </c>
      <c r="C1243" t="s">
        <v>2498</v>
      </c>
      <c r="D1243" t="s">
        <v>2499</v>
      </c>
    </row>
    <row r="1244" spans="1:4" x14ac:dyDescent="0.3">
      <c r="A1244" t="s">
        <v>2486</v>
      </c>
      <c r="B1244" t="s">
        <v>2487</v>
      </c>
      <c r="C1244" t="s">
        <v>2488</v>
      </c>
      <c r="D1244" t="s">
        <v>2489</v>
      </c>
    </row>
    <row r="1245" spans="1:4" x14ac:dyDescent="0.3">
      <c r="A1245" t="s">
        <v>2486</v>
      </c>
      <c r="B1245" t="s">
        <v>2487</v>
      </c>
      <c r="C1245" t="s">
        <v>2494</v>
      </c>
      <c r="D1245" t="s">
        <v>2495</v>
      </c>
    </row>
    <row r="1246" spans="1:4" x14ac:dyDescent="0.3">
      <c r="A1246" t="s">
        <v>2486</v>
      </c>
      <c r="B1246" t="s">
        <v>2487</v>
      </c>
      <c r="C1246" t="s">
        <v>2500</v>
      </c>
      <c r="D1246" t="s">
        <v>2501</v>
      </c>
    </row>
    <row r="1247" spans="1:4" x14ac:dyDescent="0.3">
      <c r="A1247" t="s">
        <v>2486</v>
      </c>
      <c r="B1247" t="s">
        <v>2487</v>
      </c>
      <c r="C1247" t="s">
        <v>2520</v>
      </c>
      <c r="D1247" t="s">
        <v>2521</v>
      </c>
    </row>
    <row r="1248" spans="1:4" x14ac:dyDescent="0.3">
      <c r="A1248" t="s">
        <v>2486</v>
      </c>
      <c r="B1248" t="s">
        <v>2487</v>
      </c>
      <c r="C1248" t="s">
        <v>2490</v>
      </c>
      <c r="D1248" t="s">
        <v>2491</v>
      </c>
    </row>
    <row r="1249" spans="1:4" x14ac:dyDescent="0.3">
      <c r="A1249" t="s">
        <v>2486</v>
      </c>
      <c r="B1249" t="s">
        <v>2487</v>
      </c>
      <c r="C1249" t="s">
        <v>2508</v>
      </c>
      <c r="D1249" t="s">
        <v>2509</v>
      </c>
    </row>
    <row r="1250" spans="1:4" x14ac:dyDescent="0.3">
      <c r="A1250" t="s">
        <v>2486</v>
      </c>
      <c r="B1250" t="s">
        <v>2487</v>
      </c>
      <c r="C1250" t="s">
        <v>2493</v>
      </c>
      <c r="D1250" t="s">
        <v>4245</v>
      </c>
    </row>
    <row r="1251" spans="1:4" x14ac:dyDescent="0.3">
      <c r="A1251" t="s">
        <v>2486</v>
      </c>
      <c r="B1251" t="s">
        <v>2487</v>
      </c>
      <c r="C1251" t="s">
        <v>2492</v>
      </c>
      <c r="D1251" t="s">
        <v>4194</v>
      </c>
    </row>
    <row r="1252" spans="1:4" x14ac:dyDescent="0.3">
      <c r="A1252" t="s">
        <v>2486</v>
      </c>
      <c r="B1252" t="s">
        <v>2487</v>
      </c>
      <c r="C1252" t="s">
        <v>2512</v>
      </c>
      <c r="D1252" t="s">
        <v>2513</v>
      </c>
    </row>
    <row r="1253" spans="1:4" x14ac:dyDescent="0.3">
      <c r="A1253" t="s">
        <v>2486</v>
      </c>
      <c r="B1253" t="s">
        <v>2487</v>
      </c>
      <c r="C1253" t="s">
        <v>2506</v>
      </c>
      <c r="D1253" t="s">
        <v>2507</v>
      </c>
    </row>
    <row r="1254" spans="1:4" x14ac:dyDescent="0.3">
      <c r="A1254" t="s">
        <v>1254</v>
      </c>
      <c r="B1254" t="s">
        <v>2522</v>
      </c>
      <c r="C1254" t="s">
        <v>2539</v>
      </c>
      <c r="D1254" t="s">
        <v>2540</v>
      </c>
    </row>
    <row r="1255" spans="1:4" x14ac:dyDescent="0.3">
      <c r="A1255" t="s">
        <v>1254</v>
      </c>
      <c r="B1255" t="s">
        <v>2522</v>
      </c>
      <c r="C1255" t="s">
        <v>2543</v>
      </c>
      <c r="D1255" t="s">
        <v>2544</v>
      </c>
    </row>
    <row r="1256" spans="1:4" x14ac:dyDescent="0.3">
      <c r="A1256" t="s">
        <v>1254</v>
      </c>
      <c r="B1256" t="s">
        <v>2522</v>
      </c>
      <c r="C1256" t="s">
        <v>2535</v>
      </c>
      <c r="D1256" t="s">
        <v>2536</v>
      </c>
    </row>
    <row r="1257" spans="1:4" x14ac:dyDescent="0.3">
      <c r="A1257" t="s">
        <v>1254</v>
      </c>
      <c r="B1257" t="s">
        <v>2522</v>
      </c>
      <c r="C1257" t="s">
        <v>2529</v>
      </c>
      <c r="D1257" t="s">
        <v>2530</v>
      </c>
    </row>
    <row r="1258" spans="1:4" x14ac:dyDescent="0.3">
      <c r="A1258" t="s">
        <v>1254</v>
      </c>
      <c r="B1258" t="s">
        <v>2522</v>
      </c>
      <c r="C1258" t="s">
        <v>2527</v>
      </c>
      <c r="D1258" t="s">
        <v>2528</v>
      </c>
    </row>
    <row r="1259" spans="1:4" x14ac:dyDescent="0.3">
      <c r="A1259" t="s">
        <v>1254</v>
      </c>
      <c r="B1259" t="s">
        <v>2522</v>
      </c>
      <c r="C1259" t="s">
        <v>2541</v>
      </c>
      <c r="D1259" t="s">
        <v>2542</v>
      </c>
    </row>
    <row r="1260" spans="1:4" x14ac:dyDescent="0.3">
      <c r="A1260" t="s">
        <v>1254</v>
      </c>
      <c r="B1260" t="s">
        <v>2522</v>
      </c>
      <c r="C1260" t="s">
        <v>2531</v>
      </c>
      <c r="D1260" t="s">
        <v>2532</v>
      </c>
    </row>
    <row r="1261" spans="1:4" x14ac:dyDescent="0.3">
      <c r="A1261" t="s">
        <v>1254</v>
      </c>
      <c r="B1261" t="s">
        <v>2522</v>
      </c>
      <c r="C1261" t="s">
        <v>2533</v>
      </c>
      <c r="D1261" t="s">
        <v>2534</v>
      </c>
    </row>
    <row r="1262" spans="1:4" x14ac:dyDescent="0.3">
      <c r="A1262" t="s">
        <v>1254</v>
      </c>
      <c r="B1262" t="s">
        <v>2522</v>
      </c>
      <c r="C1262" t="s">
        <v>2537</v>
      </c>
      <c r="D1262" t="s">
        <v>2538</v>
      </c>
    </row>
    <row r="1263" spans="1:4" x14ac:dyDescent="0.3">
      <c r="A1263" t="s">
        <v>1254</v>
      </c>
      <c r="B1263" t="s">
        <v>2522</v>
      </c>
      <c r="C1263" t="s">
        <v>2525</v>
      </c>
      <c r="D1263" t="s">
        <v>2526</v>
      </c>
    </row>
    <row r="1264" spans="1:4" x14ac:dyDescent="0.3">
      <c r="A1264" t="s">
        <v>1254</v>
      </c>
      <c r="B1264" t="s">
        <v>2522</v>
      </c>
      <c r="C1264" t="s">
        <v>2523</v>
      </c>
      <c r="D1264" t="s">
        <v>2524</v>
      </c>
    </row>
    <row r="1265" spans="1:4" x14ac:dyDescent="0.3">
      <c r="A1265" t="s">
        <v>1254</v>
      </c>
      <c r="B1265" t="s">
        <v>2522</v>
      </c>
      <c r="C1265" t="s">
        <v>2545</v>
      </c>
      <c r="D1265" t="s">
        <v>2546</v>
      </c>
    </row>
    <row r="1266" spans="1:4" x14ac:dyDescent="0.3">
      <c r="A1266" t="s">
        <v>1254</v>
      </c>
      <c r="B1266" t="s">
        <v>2522</v>
      </c>
      <c r="C1266" t="s">
        <v>2547</v>
      </c>
      <c r="D1266" t="s">
        <v>2548</v>
      </c>
    </row>
    <row r="1267" spans="1:4" x14ac:dyDescent="0.3">
      <c r="A1267" t="s">
        <v>2549</v>
      </c>
      <c r="B1267" t="s">
        <v>2550</v>
      </c>
      <c r="C1267" t="s">
        <v>2556</v>
      </c>
      <c r="D1267" t="s">
        <v>2557</v>
      </c>
    </row>
    <row r="1268" spans="1:4" x14ac:dyDescent="0.3">
      <c r="A1268" t="s">
        <v>2549</v>
      </c>
      <c r="B1268" t="s">
        <v>2550</v>
      </c>
      <c r="C1268" t="s">
        <v>2565</v>
      </c>
      <c r="D1268" t="s">
        <v>2566</v>
      </c>
    </row>
    <row r="1269" spans="1:4" x14ac:dyDescent="0.3">
      <c r="A1269" t="s">
        <v>2549</v>
      </c>
      <c r="B1269" t="s">
        <v>2550</v>
      </c>
      <c r="C1269" t="s">
        <v>2558</v>
      </c>
      <c r="D1269" t="s">
        <v>336</v>
      </c>
    </row>
    <row r="1270" spans="1:4" x14ac:dyDescent="0.3">
      <c r="A1270" t="s">
        <v>2549</v>
      </c>
      <c r="B1270" t="s">
        <v>2550</v>
      </c>
      <c r="C1270" t="s">
        <v>2555</v>
      </c>
      <c r="D1270" t="s">
        <v>326</v>
      </c>
    </row>
    <row r="1271" spans="1:4" x14ac:dyDescent="0.3">
      <c r="A1271" t="s">
        <v>2549</v>
      </c>
      <c r="B1271" t="s">
        <v>2550</v>
      </c>
      <c r="C1271" t="s">
        <v>2553</v>
      </c>
      <c r="D1271" t="s">
        <v>2554</v>
      </c>
    </row>
    <row r="1272" spans="1:4" x14ac:dyDescent="0.3">
      <c r="A1272" t="s">
        <v>2549</v>
      </c>
      <c r="B1272" t="s">
        <v>2550</v>
      </c>
      <c r="C1272" t="s">
        <v>2559</v>
      </c>
      <c r="D1272" t="s">
        <v>2560</v>
      </c>
    </row>
    <row r="1273" spans="1:4" x14ac:dyDescent="0.3">
      <c r="A1273" t="s">
        <v>2549</v>
      </c>
      <c r="B1273" t="s">
        <v>2550</v>
      </c>
      <c r="C1273" t="s">
        <v>2563</v>
      </c>
      <c r="D1273" t="s">
        <v>2564</v>
      </c>
    </row>
    <row r="1274" spans="1:4" x14ac:dyDescent="0.3">
      <c r="A1274" t="s">
        <v>2549</v>
      </c>
      <c r="B1274" t="s">
        <v>2550</v>
      </c>
      <c r="C1274" t="s">
        <v>2561</v>
      </c>
      <c r="D1274" t="s">
        <v>2562</v>
      </c>
    </row>
    <row r="1275" spans="1:4" x14ac:dyDescent="0.3">
      <c r="A1275" t="s">
        <v>2549</v>
      </c>
      <c r="B1275" t="s">
        <v>2550</v>
      </c>
      <c r="C1275" t="s">
        <v>2551</v>
      </c>
      <c r="D1275" t="s">
        <v>2552</v>
      </c>
    </row>
    <row r="1276" spans="1:4" x14ac:dyDescent="0.3">
      <c r="A1276" t="s">
        <v>2549</v>
      </c>
      <c r="B1276" t="s">
        <v>2550</v>
      </c>
      <c r="C1276" t="s">
        <v>4195</v>
      </c>
      <c r="D1276" t="s">
        <v>4196</v>
      </c>
    </row>
    <row r="1277" spans="1:4" x14ac:dyDescent="0.3">
      <c r="A1277" t="s">
        <v>2567</v>
      </c>
      <c r="B1277" t="s">
        <v>2568</v>
      </c>
      <c r="C1277" t="s">
        <v>2600</v>
      </c>
      <c r="D1277" t="s">
        <v>2601</v>
      </c>
    </row>
    <row r="1278" spans="1:4" x14ac:dyDescent="0.3">
      <c r="A1278" t="s">
        <v>2567</v>
      </c>
      <c r="B1278" t="s">
        <v>2568</v>
      </c>
      <c r="C1278" t="s">
        <v>2569</v>
      </c>
      <c r="D1278" t="s">
        <v>2570</v>
      </c>
    </row>
    <row r="1279" spans="1:4" x14ac:dyDescent="0.3">
      <c r="A1279" t="s">
        <v>2567</v>
      </c>
      <c r="B1279" t="s">
        <v>2568</v>
      </c>
      <c r="C1279" t="s">
        <v>2599</v>
      </c>
      <c r="D1279" t="s">
        <v>513</v>
      </c>
    </row>
    <row r="1280" spans="1:4" x14ac:dyDescent="0.3">
      <c r="A1280" t="s">
        <v>2567</v>
      </c>
      <c r="B1280" t="s">
        <v>2568</v>
      </c>
      <c r="C1280" t="s">
        <v>2591</v>
      </c>
      <c r="D1280" t="s">
        <v>2592</v>
      </c>
    </row>
    <row r="1281" spans="1:4" x14ac:dyDescent="0.3">
      <c r="A1281" t="s">
        <v>2567</v>
      </c>
      <c r="B1281" t="s">
        <v>2568</v>
      </c>
      <c r="C1281" t="s">
        <v>2585</v>
      </c>
      <c r="D1281" t="s">
        <v>2586</v>
      </c>
    </row>
    <row r="1282" spans="1:4" x14ac:dyDescent="0.3">
      <c r="A1282" t="s">
        <v>2567</v>
      </c>
      <c r="B1282" t="s">
        <v>2568</v>
      </c>
      <c r="C1282" t="s">
        <v>2581</v>
      </c>
      <c r="D1282" t="s">
        <v>2582</v>
      </c>
    </row>
    <row r="1283" spans="1:4" x14ac:dyDescent="0.3">
      <c r="A1283" t="s">
        <v>2567</v>
      </c>
      <c r="B1283" t="s">
        <v>2568</v>
      </c>
      <c r="C1283" t="s">
        <v>2579</v>
      </c>
      <c r="D1283" t="s">
        <v>2580</v>
      </c>
    </row>
    <row r="1284" spans="1:4" x14ac:dyDescent="0.3">
      <c r="A1284" t="s">
        <v>2567</v>
      </c>
      <c r="B1284" t="s">
        <v>2568</v>
      </c>
      <c r="C1284" t="s">
        <v>2571</v>
      </c>
      <c r="D1284" t="s">
        <v>2572</v>
      </c>
    </row>
    <row r="1285" spans="1:4" x14ac:dyDescent="0.3">
      <c r="A1285" t="s">
        <v>2567</v>
      </c>
      <c r="B1285" t="s">
        <v>2568</v>
      </c>
      <c r="C1285" t="s">
        <v>2575</v>
      </c>
      <c r="D1285" t="s">
        <v>2576</v>
      </c>
    </row>
    <row r="1286" spans="1:4" x14ac:dyDescent="0.3">
      <c r="A1286" t="s">
        <v>2567</v>
      </c>
      <c r="B1286" t="s">
        <v>2568</v>
      </c>
      <c r="C1286" t="s">
        <v>2593</v>
      </c>
      <c r="D1286" t="s">
        <v>2594</v>
      </c>
    </row>
    <row r="1287" spans="1:4" x14ac:dyDescent="0.3">
      <c r="A1287" t="s">
        <v>2567</v>
      </c>
      <c r="B1287" t="s">
        <v>2568</v>
      </c>
      <c r="C1287" t="s">
        <v>2597</v>
      </c>
      <c r="D1287" t="s">
        <v>2598</v>
      </c>
    </row>
    <row r="1288" spans="1:4" x14ac:dyDescent="0.3">
      <c r="A1288" t="s">
        <v>2567</v>
      </c>
      <c r="B1288" t="s">
        <v>2568</v>
      </c>
      <c r="C1288" t="s">
        <v>2583</v>
      </c>
      <c r="D1288" t="s">
        <v>2584</v>
      </c>
    </row>
    <row r="1289" spans="1:4" x14ac:dyDescent="0.3">
      <c r="A1289" t="s">
        <v>2567</v>
      </c>
      <c r="B1289" t="s">
        <v>2568</v>
      </c>
      <c r="C1289" t="s">
        <v>2573</v>
      </c>
      <c r="D1289" t="s">
        <v>2574</v>
      </c>
    </row>
    <row r="1290" spans="1:4" x14ac:dyDescent="0.3">
      <c r="A1290" t="s">
        <v>2567</v>
      </c>
      <c r="B1290" t="s">
        <v>2568</v>
      </c>
      <c r="C1290" t="s">
        <v>2577</v>
      </c>
      <c r="D1290" t="s">
        <v>2578</v>
      </c>
    </row>
    <row r="1291" spans="1:4" x14ac:dyDescent="0.3">
      <c r="A1291" t="s">
        <v>2567</v>
      </c>
      <c r="B1291" t="s">
        <v>2568</v>
      </c>
      <c r="C1291" t="s">
        <v>2587</v>
      </c>
      <c r="D1291" t="s">
        <v>2588</v>
      </c>
    </row>
    <row r="1292" spans="1:4" x14ac:dyDescent="0.3">
      <c r="A1292" t="s">
        <v>2567</v>
      </c>
      <c r="B1292" t="s">
        <v>2568</v>
      </c>
      <c r="C1292" t="s">
        <v>2595</v>
      </c>
      <c r="D1292" t="s">
        <v>2596</v>
      </c>
    </row>
    <row r="1293" spans="1:4" x14ac:dyDescent="0.3">
      <c r="A1293" t="s">
        <v>2567</v>
      </c>
      <c r="B1293" t="s">
        <v>2568</v>
      </c>
      <c r="C1293" t="s">
        <v>2589</v>
      </c>
      <c r="D1293" t="s">
        <v>2590</v>
      </c>
    </row>
    <row r="1294" spans="1:4" x14ac:dyDescent="0.3">
      <c r="A1294" t="s">
        <v>2602</v>
      </c>
      <c r="B1294" t="s">
        <v>2603</v>
      </c>
      <c r="C1294" t="s">
        <v>2661</v>
      </c>
      <c r="D1294" t="s">
        <v>2662</v>
      </c>
    </row>
    <row r="1295" spans="1:4" x14ac:dyDescent="0.3">
      <c r="A1295" t="s">
        <v>2602</v>
      </c>
      <c r="B1295" t="s">
        <v>2603</v>
      </c>
      <c r="C1295" t="s">
        <v>2612</v>
      </c>
      <c r="D1295" t="s">
        <v>2613</v>
      </c>
    </row>
    <row r="1296" spans="1:4" x14ac:dyDescent="0.3">
      <c r="A1296" t="s">
        <v>2602</v>
      </c>
      <c r="B1296" t="s">
        <v>2603</v>
      </c>
      <c r="C1296" t="s">
        <v>2608</v>
      </c>
      <c r="D1296" t="s">
        <v>2609</v>
      </c>
    </row>
    <row r="1297" spans="1:4" x14ac:dyDescent="0.3">
      <c r="A1297" t="s">
        <v>2602</v>
      </c>
      <c r="B1297" t="s">
        <v>2603</v>
      </c>
      <c r="C1297" t="s">
        <v>2622</v>
      </c>
      <c r="D1297" t="s">
        <v>2623</v>
      </c>
    </row>
    <row r="1298" spans="1:4" x14ac:dyDescent="0.3">
      <c r="A1298" t="s">
        <v>2602</v>
      </c>
      <c r="B1298" t="s">
        <v>2603</v>
      </c>
      <c r="C1298" t="s">
        <v>2644</v>
      </c>
      <c r="D1298" t="s">
        <v>2645</v>
      </c>
    </row>
    <row r="1299" spans="1:4" x14ac:dyDescent="0.3">
      <c r="A1299" t="s">
        <v>2602</v>
      </c>
      <c r="B1299" t="s">
        <v>2603</v>
      </c>
      <c r="C1299" t="s">
        <v>2646</v>
      </c>
      <c r="D1299" t="s">
        <v>2647</v>
      </c>
    </row>
    <row r="1300" spans="1:4" x14ac:dyDescent="0.3">
      <c r="A1300" t="s">
        <v>2602</v>
      </c>
      <c r="B1300" t="s">
        <v>2603</v>
      </c>
      <c r="C1300" t="s">
        <v>2634</v>
      </c>
      <c r="D1300" t="s">
        <v>2635</v>
      </c>
    </row>
    <row r="1301" spans="1:4" x14ac:dyDescent="0.3">
      <c r="A1301" t="s">
        <v>2602</v>
      </c>
      <c r="B1301" t="s">
        <v>2603</v>
      </c>
      <c r="C1301" t="s">
        <v>2606</v>
      </c>
      <c r="D1301" t="s">
        <v>2607</v>
      </c>
    </row>
    <row r="1302" spans="1:4" x14ac:dyDescent="0.3">
      <c r="A1302" t="s">
        <v>2602</v>
      </c>
      <c r="B1302" t="s">
        <v>2603</v>
      </c>
      <c r="C1302" t="s">
        <v>2618</v>
      </c>
      <c r="D1302" t="s">
        <v>2619</v>
      </c>
    </row>
    <row r="1303" spans="1:4" x14ac:dyDescent="0.3">
      <c r="A1303" t="s">
        <v>2602</v>
      </c>
      <c r="B1303" t="s">
        <v>2603</v>
      </c>
      <c r="C1303" t="s">
        <v>2638</v>
      </c>
      <c r="D1303" t="s">
        <v>2639</v>
      </c>
    </row>
    <row r="1304" spans="1:4" x14ac:dyDescent="0.3">
      <c r="A1304" t="s">
        <v>2602</v>
      </c>
      <c r="B1304" t="s">
        <v>2603</v>
      </c>
      <c r="C1304" t="s">
        <v>2669</v>
      </c>
      <c r="D1304" t="s">
        <v>2670</v>
      </c>
    </row>
    <row r="1305" spans="1:4" x14ac:dyDescent="0.3">
      <c r="A1305" t="s">
        <v>2602</v>
      </c>
      <c r="B1305" t="s">
        <v>2603</v>
      </c>
      <c r="C1305" t="s">
        <v>2652</v>
      </c>
      <c r="D1305" t="s">
        <v>2653</v>
      </c>
    </row>
    <row r="1306" spans="1:4" x14ac:dyDescent="0.3">
      <c r="A1306" t="s">
        <v>2602</v>
      </c>
      <c r="B1306" t="s">
        <v>2603</v>
      </c>
      <c r="C1306" t="s">
        <v>2650</v>
      </c>
      <c r="D1306" t="s">
        <v>2651</v>
      </c>
    </row>
    <row r="1307" spans="1:4" x14ac:dyDescent="0.3">
      <c r="A1307" t="s">
        <v>2602</v>
      </c>
      <c r="B1307" t="s">
        <v>2603</v>
      </c>
      <c r="C1307" t="s">
        <v>2614</v>
      </c>
      <c r="D1307" t="s">
        <v>2615</v>
      </c>
    </row>
    <row r="1308" spans="1:4" x14ac:dyDescent="0.3">
      <c r="A1308" t="s">
        <v>2602</v>
      </c>
      <c r="B1308" t="s">
        <v>2603</v>
      </c>
      <c r="C1308" t="s">
        <v>2632</v>
      </c>
      <c r="D1308" t="s">
        <v>2633</v>
      </c>
    </row>
    <row r="1309" spans="1:4" x14ac:dyDescent="0.3">
      <c r="A1309" t="s">
        <v>2602</v>
      </c>
      <c r="B1309" t="s">
        <v>2603</v>
      </c>
      <c r="C1309" t="s">
        <v>2656</v>
      </c>
      <c r="D1309" t="s">
        <v>4255</v>
      </c>
    </row>
    <row r="1310" spans="1:4" x14ac:dyDescent="0.3">
      <c r="A1310" t="s">
        <v>2602</v>
      </c>
      <c r="B1310" t="s">
        <v>2603</v>
      </c>
      <c r="C1310" t="s">
        <v>2679</v>
      </c>
      <c r="D1310" t="s">
        <v>2680</v>
      </c>
    </row>
    <row r="1311" spans="1:4" x14ac:dyDescent="0.3">
      <c r="A1311" t="s">
        <v>2602</v>
      </c>
      <c r="B1311" t="s">
        <v>2603</v>
      </c>
      <c r="C1311" t="s">
        <v>2626</v>
      </c>
      <c r="D1311" t="s">
        <v>2627</v>
      </c>
    </row>
    <row r="1312" spans="1:4" x14ac:dyDescent="0.3">
      <c r="A1312" t="s">
        <v>2602</v>
      </c>
      <c r="B1312" t="s">
        <v>2603</v>
      </c>
      <c r="C1312" t="s">
        <v>2665</v>
      </c>
      <c r="D1312" t="s">
        <v>2666</v>
      </c>
    </row>
    <row r="1313" spans="1:4" x14ac:dyDescent="0.3">
      <c r="A1313" t="s">
        <v>2602</v>
      </c>
      <c r="B1313" t="s">
        <v>2603</v>
      </c>
      <c r="C1313" t="s">
        <v>2663</v>
      </c>
      <c r="D1313" t="s">
        <v>2664</v>
      </c>
    </row>
    <row r="1314" spans="1:4" x14ac:dyDescent="0.3">
      <c r="A1314" t="s">
        <v>2602</v>
      </c>
      <c r="B1314" t="s">
        <v>2603</v>
      </c>
      <c r="C1314" t="s">
        <v>2636</v>
      </c>
      <c r="D1314" t="s">
        <v>2637</v>
      </c>
    </row>
    <row r="1315" spans="1:4" x14ac:dyDescent="0.3">
      <c r="A1315" t="s">
        <v>2602</v>
      </c>
      <c r="B1315" t="s">
        <v>2603</v>
      </c>
      <c r="C1315" t="s">
        <v>2657</v>
      </c>
      <c r="D1315" t="s">
        <v>2658</v>
      </c>
    </row>
    <row r="1316" spans="1:4" x14ac:dyDescent="0.3">
      <c r="A1316" t="s">
        <v>2602</v>
      </c>
      <c r="B1316" t="s">
        <v>2603</v>
      </c>
      <c r="C1316" t="s">
        <v>2604</v>
      </c>
      <c r="D1316" t="s">
        <v>2605</v>
      </c>
    </row>
    <row r="1317" spans="1:4" x14ac:dyDescent="0.3">
      <c r="A1317" t="s">
        <v>2602</v>
      </c>
      <c r="B1317" t="s">
        <v>2603</v>
      </c>
      <c r="C1317" t="s">
        <v>2610</v>
      </c>
      <c r="D1317" t="s">
        <v>2611</v>
      </c>
    </row>
    <row r="1318" spans="1:4" x14ac:dyDescent="0.3">
      <c r="A1318" t="s">
        <v>2602</v>
      </c>
      <c r="B1318" t="s">
        <v>2603</v>
      </c>
      <c r="C1318" t="s">
        <v>2616</v>
      </c>
      <c r="D1318" t="s">
        <v>2617</v>
      </c>
    </row>
    <row r="1319" spans="1:4" x14ac:dyDescent="0.3">
      <c r="A1319" t="s">
        <v>2602</v>
      </c>
      <c r="B1319" t="s">
        <v>2603</v>
      </c>
      <c r="C1319" t="s">
        <v>2630</v>
      </c>
      <c r="D1319" t="s">
        <v>2631</v>
      </c>
    </row>
    <row r="1320" spans="1:4" x14ac:dyDescent="0.3">
      <c r="A1320" t="s">
        <v>2602</v>
      </c>
      <c r="B1320" t="s">
        <v>2603</v>
      </c>
      <c r="C1320" t="s">
        <v>2640</v>
      </c>
      <c r="D1320" t="s">
        <v>2641</v>
      </c>
    </row>
    <row r="1321" spans="1:4" x14ac:dyDescent="0.3">
      <c r="A1321" t="s">
        <v>2602</v>
      </c>
      <c r="B1321" t="s">
        <v>2603</v>
      </c>
      <c r="C1321" t="s">
        <v>2677</v>
      </c>
      <c r="D1321" t="s">
        <v>2678</v>
      </c>
    </row>
    <row r="1322" spans="1:4" x14ac:dyDescent="0.3">
      <c r="A1322" t="s">
        <v>2602</v>
      </c>
      <c r="B1322" t="s">
        <v>2603</v>
      </c>
      <c r="C1322" t="s">
        <v>2667</v>
      </c>
      <c r="D1322" t="s">
        <v>2668</v>
      </c>
    </row>
    <row r="1323" spans="1:4" x14ac:dyDescent="0.3">
      <c r="A1323" t="s">
        <v>2602</v>
      </c>
      <c r="B1323" t="s">
        <v>2603</v>
      </c>
      <c r="C1323" t="s">
        <v>2624</v>
      </c>
      <c r="D1323" t="s">
        <v>2625</v>
      </c>
    </row>
    <row r="1324" spans="1:4" x14ac:dyDescent="0.3">
      <c r="A1324" t="s">
        <v>2602</v>
      </c>
      <c r="B1324" t="s">
        <v>2603</v>
      </c>
      <c r="C1324" t="s">
        <v>2648</v>
      </c>
      <c r="D1324" t="s">
        <v>2649</v>
      </c>
    </row>
    <row r="1325" spans="1:4" x14ac:dyDescent="0.3">
      <c r="A1325" t="s">
        <v>2602</v>
      </c>
      <c r="B1325" t="s">
        <v>2603</v>
      </c>
      <c r="C1325" t="s">
        <v>2675</v>
      </c>
      <c r="D1325" t="s">
        <v>2676</v>
      </c>
    </row>
    <row r="1326" spans="1:4" x14ac:dyDescent="0.3">
      <c r="A1326" t="s">
        <v>2602</v>
      </c>
      <c r="B1326" t="s">
        <v>2603</v>
      </c>
      <c r="C1326" t="s">
        <v>2673</v>
      </c>
      <c r="D1326" t="s">
        <v>2674</v>
      </c>
    </row>
    <row r="1327" spans="1:4" x14ac:dyDescent="0.3">
      <c r="A1327" t="s">
        <v>2602</v>
      </c>
      <c r="B1327" t="s">
        <v>2603</v>
      </c>
      <c r="C1327" t="s">
        <v>2654</v>
      </c>
      <c r="D1327" t="s">
        <v>2655</v>
      </c>
    </row>
    <row r="1328" spans="1:4" x14ac:dyDescent="0.3">
      <c r="A1328" t="s">
        <v>2602</v>
      </c>
      <c r="B1328" t="s">
        <v>2603</v>
      </c>
      <c r="C1328" t="s">
        <v>2620</v>
      </c>
      <c r="D1328" t="s">
        <v>2621</v>
      </c>
    </row>
    <row r="1329" spans="1:4" x14ac:dyDescent="0.3">
      <c r="A1329" t="s">
        <v>2602</v>
      </c>
      <c r="B1329" t="s">
        <v>2603</v>
      </c>
      <c r="C1329" t="s">
        <v>2671</v>
      </c>
      <c r="D1329" t="s">
        <v>2672</v>
      </c>
    </row>
    <row r="1330" spans="1:4" x14ac:dyDescent="0.3">
      <c r="A1330" t="s">
        <v>2602</v>
      </c>
      <c r="B1330" t="s">
        <v>2603</v>
      </c>
      <c r="C1330" t="s">
        <v>2628</v>
      </c>
      <c r="D1330" t="s">
        <v>2629</v>
      </c>
    </row>
    <row r="1331" spans="1:4" x14ac:dyDescent="0.3">
      <c r="A1331" t="s">
        <v>2602</v>
      </c>
      <c r="B1331" t="s">
        <v>2603</v>
      </c>
      <c r="C1331" t="s">
        <v>2659</v>
      </c>
      <c r="D1331" t="s">
        <v>2660</v>
      </c>
    </row>
    <row r="1332" spans="1:4" x14ac:dyDescent="0.3">
      <c r="A1332" t="s">
        <v>2602</v>
      </c>
      <c r="B1332" t="s">
        <v>2603</v>
      </c>
      <c r="C1332" t="s">
        <v>2642</v>
      </c>
      <c r="D1332" t="s">
        <v>2643</v>
      </c>
    </row>
    <row r="1333" spans="1:4" x14ac:dyDescent="0.3">
      <c r="A1333" t="s">
        <v>2681</v>
      </c>
      <c r="B1333" t="s">
        <v>2682</v>
      </c>
      <c r="C1333" t="s">
        <v>2691</v>
      </c>
      <c r="D1333" t="s">
        <v>2501</v>
      </c>
    </row>
    <row r="1334" spans="1:4" x14ac:dyDescent="0.3">
      <c r="A1334" t="s">
        <v>2681</v>
      </c>
      <c r="B1334" t="s">
        <v>2682</v>
      </c>
      <c r="C1334" t="s">
        <v>2692</v>
      </c>
      <c r="D1334" t="s">
        <v>348</v>
      </c>
    </row>
    <row r="1335" spans="1:4" x14ac:dyDescent="0.3">
      <c r="A1335" t="s">
        <v>2681</v>
      </c>
      <c r="B1335" t="s">
        <v>2682</v>
      </c>
      <c r="C1335" t="s">
        <v>2694</v>
      </c>
      <c r="D1335" t="s">
        <v>429</v>
      </c>
    </row>
    <row r="1336" spans="1:4" x14ac:dyDescent="0.3">
      <c r="A1336" t="s">
        <v>2681</v>
      </c>
      <c r="B1336" t="s">
        <v>2682</v>
      </c>
      <c r="C1336" t="s">
        <v>2683</v>
      </c>
      <c r="D1336" t="s">
        <v>2684</v>
      </c>
    </row>
    <row r="1337" spans="1:4" x14ac:dyDescent="0.3">
      <c r="A1337" t="s">
        <v>2681</v>
      </c>
      <c r="B1337" t="s">
        <v>2682</v>
      </c>
      <c r="C1337" t="s">
        <v>2687</v>
      </c>
      <c r="D1337" t="s">
        <v>2688</v>
      </c>
    </row>
    <row r="1338" spans="1:4" x14ac:dyDescent="0.3">
      <c r="A1338" t="s">
        <v>2681</v>
      </c>
      <c r="B1338" t="s">
        <v>2682</v>
      </c>
      <c r="C1338" t="s">
        <v>2693</v>
      </c>
      <c r="D1338" t="s">
        <v>2511</v>
      </c>
    </row>
    <row r="1339" spans="1:4" x14ac:dyDescent="0.3">
      <c r="A1339" t="s">
        <v>2681</v>
      </c>
      <c r="B1339" t="s">
        <v>2682</v>
      </c>
      <c r="C1339" t="s">
        <v>2685</v>
      </c>
      <c r="D1339" t="s">
        <v>2686</v>
      </c>
    </row>
    <row r="1340" spans="1:4" x14ac:dyDescent="0.3">
      <c r="A1340" t="s">
        <v>2681</v>
      </c>
      <c r="B1340" t="s">
        <v>2682</v>
      </c>
      <c r="C1340" t="s">
        <v>2689</v>
      </c>
      <c r="D1340" t="s">
        <v>2690</v>
      </c>
    </row>
    <row r="1341" spans="1:4" x14ac:dyDescent="0.3">
      <c r="A1341" t="s">
        <v>2695</v>
      </c>
      <c r="B1341" t="s">
        <v>2696</v>
      </c>
      <c r="C1341" t="s">
        <v>2717</v>
      </c>
      <c r="D1341" t="s">
        <v>2718</v>
      </c>
    </row>
    <row r="1342" spans="1:4" x14ac:dyDescent="0.3">
      <c r="A1342" t="s">
        <v>2695</v>
      </c>
      <c r="B1342" t="s">
        <v>2696</v>
      </c>
      <c r="C1342" t="s">
        <v>2709</v>
      </c>
      <c r="D1342" t="s">
        <v>2710</v>
      </c>
    </row>
    <row r="1343" spans="1:4" x14ac:dyDescent="0.3">
      <c r="A1343" t="s">
        <v>2695</v>
      </c>
      <c r="B1343" t="s">
        <v>2696</v>
      </c>
      <c r="C1343" t="s">
        <v>2741</v>
      </c>
      <c r="D1343" t="s">
        <v>2742</v>
      </c>
    </row>
    <row r="1344" spans="1:4" x14ac:dyDescent="0.3">
      <c r="A1344" t="s">
        <v>2695</v>
      </c>
      <c r="B1344" t="s">
        <v>2696</v>
      </c>
      <c r="C1344" t="s">
        <v>2697</v>
      </c>
      <c r="D1344" t="s">
        <v>2698</v>
      </c>
    </row>
    <row r="1345" spans="1:4" x14ac:dyDescent="0.3">
      <c r="A1345" t="s">
        <v>2695</v>
      </c>
      <c r="B1345" t="s">
        <v>2696</v>
      </c>
      <c r="C1345" t="s">
        <v>2699</v>
      </c>
      <c r="D1345" t="s">
        <v>2700</v>
      </c>
    </row>
    <row r="1346" spans="1:4" x14ac:dyDescent="0.3">
      <c r="A1346" t="s">
        <v>2695</v>
      </c>
      <c r="B1346" t="s">
        <v>2696</v>
      </c>
      <c r="C1346" t="s">
        <v>2739</v>
      </c>
      <c r="D1346" t="s">
        <v>2740</v>
      </c>
    </row>
    <row r="1347" spans="1:4" x14ac:dyDescent="0.3">
      <c r="A1347" t="s">
        <v>2695</v>
      </c>
      <c r="B1347" t="s">
        <v>2696</v>
      </c>
      <c r="C1347" t="s">
        <v>2703</v>
      </c>
      <c r="D1347" t="s">
        <v>2704</v>
      </c>
    </row>
    <row r="1348" spans="1:4" x14ac:dyDescent="0.3">
      <c r="A1348" t="s">
        <v>2695</v>
      </c>
      <c r="B1348" t="s">
        <v>2696</v>
      </c>
      <c r="C1348" t="s">
        <v>4197</v>
      </c>
      <c r="D1348" t="s">
        <v>4198</v>
      </c>
    </row>
    <row r="1349" spans="1:4" x14ac:dyDescent="0.3">
      <c r="A1349" t="s">
        <v>2695</v>
      </c>
      <c r="B1349" t="s">
        <v>2696</v>
      </c>
      <c r="C1349" t="s">
        <v>2705</v>
      </c>
      <c r="D1349" t="s">
        <v>2706</v>
      </c>
    </row>
    <row r="1350" spans="1:4" x14ac:dyDescent="0.3">
      <c r="A1350" t="s">
        <v>2695</v>
      </c>
      <c r="B1350" t="s">
        <v>2696</v>
      </c>
      <c r="C1350" t="s">
        <v>2707</v>
      </c>
      <c r="D1350" t="s">
        <v>2708</v>
      </c>
    </row>
    <row r="1351" spans="1:4" x14ac:dyDescent="0.3">
      <c r="A1351" t="s">
        <v>2695</v>
      </c>
      <c r="B1351" t="s">
        <v>2696</v>
      </c>
      <c r="C1351" t="s">
        <v>2711</v>
      </c>
      <c r="D1351" t="s">
        <v>2712</v>
      </c>
    </row>
    <row r="1352" spans="1:4" x14ac:dyDescent="0.3">
      <c r="A1352" t="s">
        <v>2695</v>
      </c>
      <c r="B1352" t="s">
        <v>2696</v>
      </c>
      <c r="C1352" t="s">
        <v>2713</v>
      </c>
      <c r="D1352" t="s">
        <v>2714</v>
      </c>
    </row>
    <row r="1353" spans="1:4" x14ac:dyDescent="0.3">
      <c r="A1353" t="s">
        <v>2695</v>
      </c>
      <c r="B1353" t="s">
        <v>2696</v>
      </c>
      <c r="C1353" t="s">
        <v>2715</v>
      </c>
      <c r="D1353" t="s">
        <v>2716</v>
      </c>
    </row>
    <row r="1354" spans="1:4" x14ac:dyDescent="0.3">
      <c r="A1354" t="s">
        <v>2695</v>
      </c>
      <c r="B1354" t="s">
        <v>2696</v>
      </c>
      <c r="C1354" t="s">
        <v>2721</v>
      </c>
      <c r="D1354" t="s">
        <v>2722</v>
      </c>
    </row>
    <row r="1355" spans="1:4" x14ac:dyDescent="0.3">
      <c r="A1355" t="s">
        <v>2695</v>
      </c>
      <c r="B1355" t="s">
        <v>2696</v>
      </c>
      <c r="C1355" t="s">
        <v>2731</v>
      </c>
      <c r="D1355" t="s">
        <v>2732</v>
      </c>
    </row>
    <row r="1356" spans="1:4" x14ac:dyDescent="0.3">
      <c r="A1356" t="s">
        <v>2695</v>
      </c>
      <c r="B1356" t="s">
        <v>2696</v>
      </c>
      <c r="C1356" t="s">
        <v>2725</v>
      </c>
      <c r="D1356" t="s">
        <v>2726</v>
      </c>
    </row>
    <row r="1357" spans="1:4" x14ac:dyDescent="0.3">
      <c r="A1357" t="s">
        <v>2695</v>
      </c>
      <c r="B1357" t="s">
        <v>2696</v>
      </c>
      <c r="C1357" t="s">
        <v>2733</v>
      </c>
      <c r="D1357" t="s">
        <v>2734</v>
      </c>
    </row>
    <row r="1358" spans="1:4" x14ac:dyDescent="0.3">
      <c r="A1358" t="s">
        <v>2695</v>
      </c>
      <c r="B1358" t="s">
        <v>2696</v>
      </c>
      <c r="C1358" t="s">
        <v>2743</v>
      </c>
      <c r="D1358" t="s">
        <v>2744</v>
      </c>
    </row>
    <row r="1359" spans="1:4" x14ac:dyDescent="0.3">
      <c r="A1359" t="s">
        <v>2695</v>
      </c>
      <c r="B1359" t="s">
        <v>2696</v>
      </c>
      <c r="C1359" t="s">
        <v>2737</v>
      </c>
      <c r="D1359" t="s">
        <v>2738</v>
      </c>
    </row>
    <row r="1360" spans="1:4" x14ac:dyDescent="0.3">
      <c r="A1360" t="s">
        <v>2695</v>
      </c>
      <c r="B1360" t="s">
        <v>2696</v>
      </c>
      <c r="C1360" t="s">
        <v>2701</v>
      </c>
      <c r="D1360" t="s">
        <v>2702</v>
      </c>
    </row>
    <row r="1361" spans="1:4" x14ac:dyDescent="0.3">
      <c r="A1361" t="s">
        <v>2695</v>
      </c>
      <c r="B1361" t="s">
        <v>2696</v>
      </c>
      <c r="C1361" t="s">
        <v>2745</v>
      </c>
      <c r="D1361" t="s">
        <v>1904</v>
      </c>
    </row>
    <row r="1362" spans="1:4" x14ac:dyDescent="0.3">
      <c r="A1362" t="s">
        <v>2695</v>
      </c>
      <c r="B1362" t="s">
        <v>2696</v>
      </c>
      <c r="C1362" t="s">
        <v>2727</v>
      </c>
      <c r="D1362" t="s">
        <v>2728</v>
      </c>
    </row>
    <row r="1363" spans="1:4" x14ac:dyDescent="0.3">
      <c r="A1363" t="s">
        <v>2695</v>
      </c>
      <c r="B1363" t="s">
        <v>2696</v>
      </c>
      <c r="C1363" t="s">
        <v>2746</v>
      </c>
      <c r="D1363" t="s">
        <v>2747</v>
      </c>
    </row>
    <row r="1364" spans="1:4" x14ac:dyDescent="0.3">
      <c r="A1364" t="s">
        <v>2695</v>
      </c>
      <c r="B1364" t="s">
        <v>2696</v>
      </c>
      <c r="C1364" t="s">
        <v>2735</v>
      </c>
      <c r="D1364" t="s">
        <v>2736</v>
      </c>
    </row>
    <row r="1365" spans="1:4" x14ac:dyDescent="0.3">
      <c r="A1365" t="s">
        <v>2695</v>
      </c>
      <c r="B1365" t="s">
        <v>2696</v>
      </c>
      <c r="C1365" t="s">
        <v>2729</v>
      </c>
      <c r="D1365" t="s">
        <v>2730</v>
      </c>
    </row>
    <row r="1366" spans="1:4" x14ac:dyDescent="0.3">
      <c r="A1366" t="s">
        <v>2695</v>
      </c>
      <c r="B1366" t="s">
        <v>2696</v>
      </c>
      <c r="C1366" t="s">
        <v>2748</v>
      </c>
      <c r="D1366" t="s">
        <v>2749</v>
      </c>
    </row>
    <row r="1367" spans="1:4" x14ac:dyDescent="0.3">
      <c r="A1367" t="s">
        <v>2695</v>
      </c>
      <c r="B1367" t="s">
        <v>2696</v>
      </c>
      <c r="C1367" t="s">
        <v>2719</v>
      </c>
      <c r="D1367" t="s">
        <v>2720</v>
      </c>
    </row>
    <row r="1368" spans="1:4" x14ac:dyDescent="0.3">
      <c r="A1368" t="s">
        <v>2695</v>
      </c>
      <c r="B1368" t="s">
        <v>2696</v>
      </c>
      <c r="C1368" t="s">
        <v>2723</v>
      </c>
      <c r="D1368" t="s">
        <v>2724</v>
      </c>
    </row>
    <row r="1369" spans="1:4" x14ac:dyDescent="0.3">
      <c r="A1369" t="s">
        <v>2750</v>
      </c>
      <c r="B1369" t="s">
        <v>2751</v>
      </c>
      <c r="C1369" t="s">
        <v>2758</v>
      </c>
      <c r="D1369" t="s">
        <v>2759</v>
      </c>
    </row>
    <row r="1370" spans="1:4" x14ac:dyDescent="0.3">
      <c r="A1370" t="s">
        <v>2750</v>
      </c>
      <c r="B1370" t="s">
        <v>2751</v>
      </c>
      <c r="C1370" t="s">
        <v>2760</v>
      </c>
      <c r="D1370" t="s">
        <v>2761</v>
      </c>
    </row>
    <row r="1371" spans="1:4" x14ac:dyDescent="0.3">
      <c r="A1371" t="s">
        <v>2750</v>
      </c>
      <c r="B1371" t="s">
        <v>2751</v>
      </c>
      <c r="C1371" t="s">
        <v>2762</v>
      </c>
      <c r="D1371" t="s">
        <v>2763</v>
      </c>
    </row>
    <row r="1372" spans="1:4" x14ac:dyDescent="0.3">
      <c r="A1372" t="s">
        <v>2750</v>
      </c>
      <c r="B1372" t="s">
        <v>2751</v>
      </c>
      <c r="C1372" t="s">
        <v>2764</v>
      </c>
      <c r="D1372" t="s">
        <v>2765</v>
      </c>
    </row>
    <row r="1373" spans="1:4" x14ac:dyDescent="0.3">
      <c r="A1373" t="s">
        <v>2750</v>
      </c>
      <c r="B1373" t="s">
        <v>2751</v>
      </c>
      <c r="C1373" t="s">
        <v>2754</v>
      </c>
      <c r="D1373" t="s">
        <v>2755</v>
      </c>
    </row>
    <row r="1374" spans="1:4" x14ac:dyDescent="0.3">
      <c r="A1374" t="s">
        <v>2750</v>
      </c>
      <c r="B1374" t="s">
        <v>2751</v>
      </c>
      <c r="C1374" t="s">
        <v>2756</v>
      </c>
      <c r="D1374" t="s">
        <v>2757</v>
      </c>
    </row>
    <row r="1375" spans="1:4" x14ac:dyDescent="0.3">
      <c r="A1375" t="s">
        <v>2750</v>
      </c>
      <c r="B1375" t="s">
        <v>2751</v>
      </c>
      <c r="C1375" t="s">
        <v>2752</v>
      </c>
      <c r="D1375" t="s">
        <v>2753</v>
      </c>
    </row>
    <row r="1376" spans="1:4" x14ac:dyDescent="0.3">
      <c r="A1376" t="s">
        <v>2750</v>
      </c>
      <c r="B1376" t="s">
        <v>2751</v>
      </c>
      <c r="C1376" t="s">
        <v>4199</v>
      </c>
      <c r="D1376" t="s">
        <v>4200</v>
      </c>
    </row>
    <row r="1377" spans="1:4" x14ac:dyDescent="0.3">
      <c r="A1377" t="s">
        <v>2766</v>
      </c>
      <c r="B1377" t="s">
        <v>2767</v>
      </c>
      <c r="C1377" t="s">
        <v>2784</v>
      </c>
      <c r="D1377" t="s">
        <v>2785</v>
      </c>
    </row>
    <row r="1378" spans="1:4" x14ac:dyDescent="0.3">
      <c r="A1378" t="s">
        <v>2766</v>
      </c>
      <c r="B1378" t="s">
        <v>2767</v>
      </c>
      <c r="C1378" t="s">
        <v>2796</v>
      </c>
      <c r="D1378" t="s">
        <v>2797</v>
      </c>
    </row>
    <row r="1379" spans="1:4" x14ac:dyDescent="0.3">
      <c r="A1379" t="s">
        <v>2766</v>
      </c>
      <c r="B1379" t="s">
        <v>2767</v>
      </c>
      <c r="C1379" t="s">
        <v>2802</v>
      </c>
      <c r="D1379" t="s">
        <v>2803</v>
      </c>
    </row>
    <row r="1380" spans="1:4" x14ac:dyDescent="0.3">
      <c r="A1380" t="s">
        <v>2766</v>
      </c>
      <c r="B1380" t="s">
        <v>2767</v>
      </c>
      <c r="C1380" t="s">
        <v>2808</v>
      </c>
      <c r="D1380" t="s">
        <v>2809</v>
      </c>
    </row>
    <row r="1381" spans="1:4" x14ac:dyDescent="0.3">
      <c r="A1381" t="s">
        <v>2766</v>
      </c>
      <c r="B1381" t="s">
        <v>2767</v>
      </c>
      <c r="C1381" t="s">
        <v>2798</v>
      </c>
      <c r="D1381" t="s">
        <v>2799</v>
      </c>
    </row>
    <row r="1382" spans="1:4" x14ac:dyDescent="0.3">
      <c r="A1382" t="s">
        <v>2766</v>
      </c>
      <c r="B1382" t="s">
        <v>2767</v>
      </c>
      <c r="C1382" t="s">
        <v>2824</v>
      </c>
      <c r="D1382" t="s">
        <v>2825</v>
      </c>
    </row>
    <row r="1383" spans="1:4" x14ac:dyDescent="0.3">
      <c r="A1383" t="s">
        <v>2766</v>
      </c>
      <c r="B1383" t="s">
        <v>2767</v>
      </c>
      <c r="C1383" t="s">
        <v>2810</v>
      </c>
      <c r="D1383" t="s">
        <v>2811</v>
      </c>
    </row>
    <row r="1384" spans="1:4" x14ac:dyDescent="0.3">
      <c r="A1384" t="s">
        <v>2766</v>
      </c>
      <c r="B1384" t="s">
        <v>2767</v>
      </c>
      <c r="C1384" t="s">
        <v>2800</v>
      </c>
      <c r="D1384" t="s">
        <v>2801</v>
      </c>
    </row>
    <row r="1385" spans="1:4" x14ac:dyDescent="0.3">
      <c r="A1385" t="s">
        <v>2766</v>
      </c>
      <c r="B1385" t="s">
        <v>2767</v>
      </c>
      <c r="C1385" t="s">
        <v>2792</v>
      </c>
      <c r="D1385" t="s">
        <v>2793</v>
      </c>
    </row>
    <row r="1386" spans="1:4" x14ac:dyDescent="0.3">
      <c r="A1386" t="s">
        <v>2766</v>
      </c>
      <c r="B1386" t="s">
        <v>2767</v>
      </c>
      <c r="C1386" t="s">
        <v>2788</v>
      </c>
      <c r="D1386" t="s">
        <v>2789</v>
      </c>
    </row>
    <row r="1387" spans="1:4" x14ac:dyDescent="0.3">
      <c r="A1387" t="s">
        <v>2766</v>
      </c>
      <c r="B1387" t="s">
        <v>2767</v>
      </c>
      <c r="C1387" t="s">
        <v>2786</v>
      </c>
      <c r="D1387" t="s">
        <v>2787</v>
      </c>
    </row>
    <row r="1388" spans="1:4" x14ac:dyDescent="0.3">
      <c r="A1388" t="s">
        <v>2766</v>
      </c>
      <c r="B1388" t="s">
        <v>2767</v>
      </c>
      <c r="C1388" t="s">
        <v>2774</v>
      </c>
      <c r="D1388" t="s">
        <v>2775</v>
      </c>
    </row>
    <row r="1389" spans="1:4" x14ac:dyDescent="0.3">
      <c r="A1389" t="s">
        <v>2766</v>
      </c>
      <c r="B1389" t="s">
        <v>2767</v>
      </c>
      <c r="C1389" t="s">
        <v>2804</v>
      </c>
      <c r="D1389" t="s">
        <v>2805</v>
      </c>
    </row>
    <row r="1390" spans="1:4" x14ac:dyDescent="0.3">
      <c r="A1390" t="s">
        <v>2766</v>
      </c>
      <c r="B1390" t="s">
        <v>2767</v>
      </c>
      <c r="C1390" t="s">
        <v>2806</v>
      </c>
      <c r="D1390" t="s">
        <v>2807</v>
      </c>
    </row>
    <row r="1391" spans="1:4" x14ac:dyDescent="0.3">
      <c r="A1391" t="s">
        <v>2766</v>
      </c>
      <c r="B1391" t="s">
        <v>2767</v>
      </c>
      <c r="C1391" t="s">
        <v>2770</v>
      </c>
      <c r="D1391" t="s">
        <v>2771</v>
      </c>
    </row>
    <row r="1392" spans="1:4" x14ac:dyDescent="0.3">
      <c r="A1392" t="s">
        <v>2766</v>
      </c>
      <c r="B1392" t="s">
        <v>2767</v>
      </c>
      <c r="C1392" t="s">
        <v>2826</v>
      </c>
      <c r="D1392" t="s">
        <v>2827</v>
      </c>
    </row>
    <row r="1393" spans="1:4" x14ac:dyDescent="0.3">
      <c r="A1393" t="s">
        <v>2766</v>
      </c>
      <c r="B1393" t="s">
        <v>2767</v>
      </c>
      <c r="C1393" t="s">
        <v>2814</v>
      </c>
      <c r="D1393" t="s">
        <v>2815</v>
      </c>
    </row>
    <row r="1394" spans="1:4" x14ac:dyDescent="0.3">
      <c r="A1394" t="s">
        <v>2766</v>
      </c>
      <c r="B1394" t="s">
        <v>2767</v>
      </c>
      <c r="C1394" t="s">
        <v>2816</v>
      </c>
      <c r="D1394" t="s">
        <v>2817</v>
      </c>
    </row>
    <row r="1395" spans="1:4" x14ac:dyDescent="0.3">
      <c r="A1395" t="s">
        <v>2766</v>
      </c>
      <c r="B1395" t="s">
        <v>2767</v>
      </c>
      <c r="C1395" t="s">
        <v>2832</v>
      </c>
      <c r="D1395" t="s">
        <v>2833</v>
      </c>
    </row>
    <row r="1396" spans="1:4" x14ac:dyDescent="0.3">
      <c r="A1396" t="s">
        <v>2766</v>
      </c>
      <c r="B1396" t="s">
        <v>2767</v>
      </c>
      <c r="C1396" t="s">
        <v>2782</v>
      </c>
      <c r="D1396" t="s">
        <v>2783</v>
      </c>
    </row>
    <row r="1397" spans="1:4" x14ac:dyDescent="0.3">
      <c r="A1397" t="s">
        <v>2766</v>
      </c>
      <c r="B1397" t="s">
        <v>2767</v>
      </c>
      <c r="C1397" t="s">
        <v>2780</v>
      </c>
      <c r="D1397" t="s">
        <v>2781</v>
      </c>
    </row>
    <row r="1398" spans="1:4" x14ac:dyDescent="0.3">
      <c r="A1398" t="s">
        <v>2766</v>
      </c>
      <c r="B1398" t="s">
        <v>2767</v>
      </c>
      <c r="C1398" t="s">
        <v>2822</v>
      </c>
      <c r="D1398" t="s">
        <v>2823</v>
      </c>
    </row>
    <row r="1399" spans="1:4" x14ac:dyDescent="0.3">
      <c r="A1399" t="s">
        <v>2766</v>
      </c>
      <c r="B1399" t="s">
        <v>2767</v>
      </c>
      <c r="C1399" t="s">
        <v>2790</v>
      </c>
      <c r="D1399" t="s">
        <v>2791</v>
      </c>
    </row>
    <row r="1400" spans="1:4" x14ac:dyDescent="0.3">
      <c r="A1400" t="s">
        <v>2766</v>
      </c>
      <c r="B1400" t="s">
        <v>2767</v>
      </c>
      <c r="C1400" t="s">
        <v>2818</v>
      </c>
      <c r="D1400" t="s">
        <v>2819</v>
      </c>
    </row>
    <row r="1401" spans="1:4" x14ac:dyDescent="0.3">
      <c r="A1401" t="s">
        <v>2766</v>
      </c>
      <c r="B1401" t="s">
        <v>2767</v>
      </c>
      <c r="C1401" t="s">
        <v>2778</v>
      </c>
      <c r="D1401" t="s">
        <v>2779</v>
      </c>
    </row>
    <row r="1402" spans="1:4" x14ac:dyDescent="0.3">
      <c r="A1402" t="s">
        <v>2766</v>
      </c>
      <c r="B1402" t="s">
        <v>2767</v>
      </c>
      <c r="C1402" t="s">
        <v>2776</v>
      </c>
      <c r="D1402" t="s">
        <v>2777</v>
      </c>
    </row>
    <row r="1403" spans="1:4" x14ac:dyDescent="0.3">
      <c r="A1403" t="s">
        <v>2766</v>
      </c>
      <c r="B1403" t="s">
        <v>2767</v>
      </c>
      <c r="C1403" t="s">
        <v>2820</v>
      </c>
      <c r="D1403" t="s">
        <v>2821</v>
      </c>
    </row>
    <row r="1404" spans="1:4" x14ac:dyDescent="0.3">
      <c r="A1404" t="s">
        <v>2766</v>
      </c>
      <c r="B1404" t="s">
        <v>2767</v>
      </c>
      <c r="C1404" t="s">
        <v>2812</v>
      </c>
      <c r="D1404" t="s">
        <v>2813</v>
      </c>
    </row>
    <row r="1405" spans="1:4" x14ac:dyDescent="0.3">
      <c r="A1405" t="s">
        <v>2766</v>
      </c>
      <c r="B1405" t="s">
        <v>2767</v>
      </c>
      <c r="C1405" t="s">
        <v>2768</v>
      </c>
      <c r="D1405" t="s">
        <v>2769</v>
      </c>
    </row>
    <row r="1406" spans="1:4" x14ac:dyDescent="0.3">
      <c r="A1406" t="s">
        <v>2766</v>
      </c>
      <c r="B1406" t="s">
        <v>2767</v>
      </c>
      <c r="C1406" t="s">
        <v>2794</v>
      </c>
      <c r="D1406" t="s">
        <v>2795</v>
      </c>
    </row>
    <row r="1407" spans="1:4" x14ac:dyDescent="0.3">
      <c r="A1407" t="s">
        <v>2766</v>
      </c>
      <c r="B1407" t="s">
        <v>2767</v>
      </c>
      <c r="C1407" t="s">
        <v>2772</v>
      </c>
      <c r="D1407" t="s">
        <v>2773</v>
      </c>
    </row>
    <row r="1408" spans="1:4" x14ac:dyDescent="0.3">
      <c r="A1408" t="s">
        <v>2766</v>
      </c>
      <c r="B1408" t="s">
        <v>2767</v>
      </c>
      <c r="C1408" t="s">
        <v>2828</v>
      </c>
      <c r="D1408" t="s">
        <v>2829</v>
      </c>
    </row>
    <row r="1409" spans="1:4" x14ac:dyDescent="0.3">
      <c r="A1409" t="s">
        <v>2766</v>
      </c>
      <c r="B1409" t="s">
        <v>2767</v>
      </c>
      <c r="C1409" t="s">
        <v>2830</v>
      </c>
      <c r="D1409" t="s">
        <v>2831</v>
      </c>
    </row>
    <row r="1410" spans="1:4" x14ac:dyDescent="0.3">
      <c r="A1410" t="s">
        <v>2834</v>
      </c>
      <c r="B1410" t="s">
        <v>2835</v>
      </c>
      <c r="C1410" t="s">
        <v>2841</v>
      </c>
      <c r="D1410" t="s">
        <v>2842</v>
      </c>
    </row>
    <row r="1411" spans="1:4" x14ac:dyDescent="0.3">
      <c r="A1411" t="s">
        <v>2834</v>
      </c>
      <c r="B1411" t="s">
        <v>2835</v>
      </c>
      <c r="C1411" t="s">
        <v>2836</v>
      </c>
      <c r="D1411" t="s">
        <v>2837</v>
      </c>
    </row>
    <row r="1412" spans="1:4" x14ac:dyDescent="0.3">
      <c r="A1412" t="s">
        <v>2834</v>
      </c>
      <c r="B1412" t="s">
        <v>2835</v>
      </c>
      <c r="C1412" t="s">
        <v>2845</v>
      </c>
      <c r="D1412" t="s">
        <v>2846</v>
      </c>
    </row>
    <row r="1413" spans="1:4" x14ac:dyDescent="0.3">
      <c r="A1413" t="s">
        <v>2834</v>
      </c>
      <c r="B1413" t="s">
        <v>2835</v>
      </c>
      <c r="C1413" t="s">
        <v>4201</v>
      </c>
      <c r="D1413" t="s">
        <v>4202</v>
      </c>
    </row>
    <row r="1414" spans="1:4" x14ac:dyDescent="0.3">
      <c r="A1414" t="s">
        <v>2834</v>
      </c>
      <c r="B1414" t="s">
        <v>2835</v>
      </c>
      <c r="C1414" t="s">
        <v>2838</v>
      </c>
      <c r="D1414" t="s">
        <v>2839</v>
      </c>
    </row>
    <row r="1415" spans="1:4" x14ac:dyDescent="0.3">
      <c r="A1415" t="s">
        <v>2834</v>
      </c>
      <c r="B1415" t="s">
        <v>2835</v>
      </c>
      <c r="C1415" t="s">
        <v>2843</v>
      </c>
      <c r="D1415" t="s">
        <v>2844</v>
      </c>
    </row>
    <row r="1416" spans="1:4" x14ac:dyDescent="0.3">
      <c r="A1416" t="s">
        <v>2834</v>
      </c>
      <c r="B1416" t="s">
        <v>2835</v>
      </c>
      <c r="C1416" t="s">
        <v>2847</v>
      </c>
      <c r="D1416" t="s">
        <v>2848</v>
      </c>
    </row>
    <row r="1417" spans="1:4" x14ac:dyDescent="0.3">
      <c r="A1417" t="s">
        <v>2834</v>
      </c>
      <c r="B1417" t="s">
        <v>2835</v>
      </c>
      <c r="C1417" t="s">
        <v>2849</v>
      </c>
      <c r="D1417" t="s">
        <v>1191</v>
      </c>
    </row>
    <row r="1418" spans="1:4" x14ac:dyDescent="0.3">
      <c r="A1418" t="s">
        <v>2834</v>
      </c>
      <c r="B1418" t="s">
        <v>2835</v>
      </c>
      <c r="C1418" t="s">
        <v>2850</v>
      </c>
      <c r="D1418" t="s">
        <v>2592</v>
      </c>
    </row>
    <row r="1419" spans="1:4" x14ac:dyDescent="0.3">
      <c r="A1419" t="s">
        <v>2834</v>
      </c>
      <c r="B1419" t="s">
        <v>2835</v>
      </c>
      <c r="C1419" t="s">
        <v>2851</v>
      </c>
      <c r="D1419" t="s">
        <v>2852</v>
      </c>
    </row>
    <row r="1420" spans="1:4" x14ac:dyDescent="0.3">
      <c r="A1420" t="s">
        <v>2834</v>
      </c>
      <c r="B1420" t="s">
        <v>2835</v>
      </c>
      <c r="C1420" t="s">
        <v>2840</v>
      </c>
      <c r="D1420" t="s">
        <v>2310</v>
      </c>
    </row>
    <row r="1421" spans="1:4" x14ac:dyDescent="0.3">
      <c r="A1421" t="s">
        <v>2853</v>
      </c>
      <c r="B1421" t="s">
        <v>2854</v>
      </c>
      <c r="C1421" t="s">
        <v>2894</v>
      </c>
      <c r="D1421" t="s">
        <v>2895</v>
      </c>
    </row>
    <row r="1422" spans="1:4" x14ac:dyDescent="0.3">
      <c r="A1422" t="s">
        <v>2853</v>
      </c>
      <c r="B1422" t="s">
        <v>2854</v>
      </c>
      <c r="C1422" t="s">
        <v>2882</v>
      </c>
      <c r="D1422" t="s">
        <v>2205</v>
      </c>
    </row>
    <row r="1423" spans="1:4" x14ac:dyDescent="0.3">
      <c r="A1423" t="s">
        <v>2853</v>
      </c>
      <c r="B1423" t="s">
        <v>2854</v>
      </c>
      <c r="C1423" t="s">
        <v>2878</v>
      </c>
      <c r="D1423" t="s">
        <v>2879</v>
      </c>
    </row>
    <row r="1424" spans="1:4" x14ac:dyDescent="0.3">
      <c r="A1424" t="s">
        <v>2853</v>
      </c>
      <c r="B1424" t="s">
        <v>2854</v>
      </c>
      <c r="C1424" t="s">
        <v>2866</v>
      </c>
      <c r="D1424" t="s">
        <v>2867</v>
      </c>
    </row>
    <row r="1425" spans="1:4" x14ac:dyDescent="0.3">
      <c r="A1425" t="s">
        <v>2853</v>
      </c>
      <c r="B1425" t="s">
        <v>2854</v>
      </c>
      <c r="C1425" t="s">
        <v>2857</v>
      </c>
      <c r="D1425" t="s">
        <v>2858</v>
      </c>
    </row>
    <row r="1426" spans="1:4" x14ac:dyDescent="0.3">
      <c r="A1426" t="s">
        <v>2853</v>
      </c>
      <c r="B1426" t="s">
        <v>2854</v>
      </c>
      <c r="C1426" t="s">
        <v>2864</v>
      </c>
      <c r="D1426" t="s">
        <v>2865</v>
      </c>
    </row>
    <row r="1427" spans="1:4" x14ac:dyDescent="0.3">
      <c r="A1427" t="s">
        <v>2853</v>
      </c>
      <c r="B1427" t="s">
        <v>2854</v>
      </c>
      <c r="C1427" t="s">
        <v>2859</v>
      </c>
      <c r="D1427" t="s">
        <v>2860</v>
      </c>
    </row>
    <row r="1428" spans="1:4" x14ac:dyDescent="0.3">
      <c r="A1428" t="s">
        <v>2853</v>
      </c>
      <c r="B1428" t="s">
        <v>2854</v>
      </c>
      <c r="C1428" t="s">
        <v>2889</v>
      </c>
      <c r="D1428" t="s">
        <v>2890</v>
      </c>
    </row>
    <row r="1429" spans="1:4" x14ac:dyDescent="0.3">
      <c r="A1429" t="s">
        <v>2853</v>
      </c>
      <c r="B1429" t="s">
        <v>2854</v>
      </c>
      <c r="C1429" t="s">
        <v>2855</v>
      </c>
      <c r="D1429" t="s">
        <v>2856</v>
      </c>
    </row>
    <row r="1430" spans="1:4" x14ac:dyDescent="0.3">
      <c r="A1430" t="s">
        <v>2853</v>
      </c>
      <c r="B1430" t="s">
        <v>2854</v>
      </c>
      <c r="C1430" t="s">
        <v>2861</v>
      </c>
      <c r="D1430" t="s">
        <v>664</v>
      </c>
    </row>
    <row r="1431" spans="1:4" x14ac:dyDescent="0.3">
      <c r="A1431" t="s">
        <v>2853</v>
      </c>
      <c r="B1431" t="s">
        <v>2854</v>
      </c>
      <c r="C1431" t="s">
        <v>2862</v>
      </c>
      <c r="D1431" t="s">
        <v>672</v>
      </c>
    </row>
    <row r="1432" spans="1:4" x14ac:dyDescent="0.3">
      <c r="A1432" t="s">
        <v>2853</v>
      </c>
      <c r="B1432" t="s">
        <v>2854</v>
      </c>
      <c r="C1432" t="s">
        <v>2863</v>
      </c>
      <c r="D1432" t="s">
        <v>1549</v>
      </c>
    </row>
    <row r="1433" spans="1:4" x14ac:dyDescent="0.3">
      <c r="A1433" t="s">
        <v>2853</v>
      </c>
      <c r="B1433" t="s">
        <v>2854</v>
      </c>
      <c r="C1433" t="s">
        <v>2885</v>
      </c>
      <c r="D1433" t="s">
        <v>2886</v>
      </c>
    </row>
    <row r="1434" spans="1:4" x14ac:dyDescent="0.3">
      <c r="A1434" t="s">
        <v>2853</v>
      </c>
      <c r="B1434" t="s">
        <v>2854</v>
      </c>
      <c r="C1434" t="s">
        <v>2868</v>
      </c>
      <c r="D1434" t="s">
        <v>2869</v>
      </c>
    </row>
    <row r="1435" spans="1:4" x14ac:dyDescent="0.3">
      <c r="A1435" t="s">
        <v>2853</v>
      </c>
      <c r="B1435" t="s">
        <v>2854</v>
      </c>
      <c r="C1435" t="s">
        <v>2872</v>
      </c>
      <c r="D1435" t="s">
        <v>2873</v>
      </c>
    </row>
    <row r="1436" spans="1:4" x14ac:dyDescent="0.3">
      <c r="A1436" t="s">
        <v>2853</v>
      </c>
      <c r="B1436" t="s">
        <v>2854</v>
      </c>
      <c r="C1436" t="s">
        <v>2876</v>
      </c>
      <c r="D1436" t="s">
        <v>2877</v>
      </c>
    </row>
    <row r="1437" spans="1:4" x14ac:dyDescent="0.3">
      <c r="A1437" t="s">
        <v>2853</v>
      </c>
      <c r="B1437" t="s">
        <v>2854</v>
      </c>
      <c r="C1437" t="s">
        <v>2883</v>
      </c>
      <c r="D1437" t="s">
        <v>2884</v>
      </c>
    </row>
    <row r="1438" spans="1:4" x14ac:dyDescent="0.3">
      <c r="A1438" t="s">
        <v>2853</v>
      </c>
      <c r="B1438" t="s">
        <v>2854</v>
      </c>
      <c r="C1438" t="s">
        <v>2870</v>
      </c>
      <c r="D1438" t="s">
        <v>2871</v>
      </c>
    </row>
    <row r="1439" spans="1:4" x14ac:dyDescent="0.3">
      <c r="A1439" t="s">
        <v>2853</v>
      </c>
      <c r="B1439" t="s">
        <v>2854</v>
      </c>
      <c r="C1439" t="s">
        <v>2891</v>
      </c>
      <c r="D1439" t="s">
        <v>1003</v>
      </c>
    </row>
    <row r="1440" spans="1:4" x14ac:dyDescent="0.3">
      <c r="A1440" t="s">
        <v>2853</v>
      </c>
      <c r="B1440" t="s">
        <v>2854</v>
      </c>
      <c r="C1440" t="s">
        <v>2892</v>
      </c>
      <c r="D1440" t="s">
        <v>2893</v>
      </c>
    </row>
    <row r="1441" spans="1:4" x14ac:dyDescent="0.3">
      <c r="A1441" t="s">
        <v>2853</v>
      </c>
      <c r="B1441" t="s">
        <v>2854</v>
      </c>
      <c r="C1441" t="s">
        <v>2887</v>
      </c>
      <c r="D1441" t="s">
        <v>2888</v>
      </c>
    </row>
    <row r="1442" spans="1:4" x14ac:dyDescent="0.3">
      <c r="A1442" t="s">
        <v>2853</v>
      </c>
      <c r="B1442" t="s">
        <v>2854</v>
      </c>
      <c r="C1442" t="s">
        <v>2880</v>
      </c>
      <c r="D1442" t="s">
        <v>2881</v>
      </c>
    </row>
    <row r="1443" spans="1:4" x14ac:dyDescent="0.3">
      <c r="A1443" t="s">
        <v>2853</v>
      </c>
      <c r="B1443" t="s">
        <v>2854</v>
      </c>
      <c r="C1443" t="s">
        <v>2874</v>
      </c>
      <c r="D1443" t="s">
        <v>2875</v>
      </c>
    </row>
    <row r="1444" spans="1:4" x14ac:dyDescent="0.3">
      <c r="A1444" t="s">
        <v>1612</v>
      </c>
      <c r="B1444" t="s">
        <v>2896</v>
      </c>
      <c r="C1444" t="s">
        <v>2907</v>
      </c>
      <c r="D1444" t="s">
        <v>2908</v>
      </c>
    </row>
    <row r="1445" spans="1:4" x14ac:dyDescent="0.3">
      <c r="A1445" t="s">
        <v>1612</v>
      </c>
      <c r="B1445" t="s">
        <v>2896</v>
      </c>
      <c r="C1445" t="s">
        <v>2901</v>
      </c>
      <c r="D1445" t="s">
        <v>2902</v>
      </c>
    </row>
    <row r="1446" spans="1:4" x14ac:dyDescent="0.3">
      <c r="A1446" t="s">
        <v>1612</v>
      </c>
      <c r="B1446" t="s">
        <v>2896</v>
      </c>
      <c r="C1446" t="s">
        <v>2915</v>
      </c>
      <c r="D1446" t="s">
        <v>2916</v>
      </c>
    </row>
    <row r="1447" spans="1:4" x14ac:dyDescent="0.3">
      <c r="A1447" t="s">
        <v>1612</v>
      </c>
      <c r="B1447" t="s">
        <v>2896</v>
      </c>
      <c r="C1447" t="s">
        <v>2913</v>
      </c>
      <c r="D1447" t="s">
        <v>2914</v>
      </c>
    </row>
    <row r="1448" spans="1:4" x14ac:dyDescent="0.3">
      <c r="A1448" t="s">
        <v>1612</v>
      </c>
      <c r="B1448" t="s">
        <v>2896</v>
      </c>
      <c r="C1448" t="s">
        <v>2927</v>
      </c>
      <c r="D1448" t="s">
        <v>2928</v>
      </c>
    </row>
    <row r="1449" spans="1:4" x14ac:dyDescent="0.3">
      <c r="A1449" t="s">
        <v>1612</v>
      </c>
      <c r="B1449" t="s">
        <v>2896</v>
      </c>
      <c r="C1449" t="s">
        <v>2941</v>
      </c>
      <c r="D1449" t="s">
        <v>2942</v>
      </c>
    </row>
    <row r="1450" spans="1:4" x14ac:dyDescent="0.3">
      <c r="A1450" t="s">
        <v>1612</v>
      </c>
      <c r="B1450" t="s">
        <v>2896</v>
      </c>
      <c r="C1450" t="s">
        <v>2939</v>
      </c>
      <c r="D1450" t="s">
        <v>2940</v>
      </c>
    </row>
    <row r="1451" spans="1:4" x14ac:dyDescent="0.3">
      <c r="A1451" t="s">
        <v>1612</v>
      </c>
      <c r="B1451" t="s">
        <v>2896</v>
      </c>
      <c r="C1451" t="s">
        <v>2903</v>
      </c>
      <c r="D1451" t="s">
        <v>2904</v>
      </c>
    </row>
    <row r="1452" spans="1:4" x14ac:dyDescent="0.3">
      <c r="A1452" t="s">
        <v>1612</v>
      </c>
      <c r="B1452" t="s">
        <v>2896</v>
      </c>
      <c r="C1452" t="s">
        <v>2905</v>
      </c>
      <c r="D1452" t="s">
        <v>2906</v>
      </c>
    </row>
    <row r="1453" spans="1:4" x14ac:dyDescent="0.3">
      <c r="A1453" t="s">
        <v>1612</v>
      </c>
      <c r="B1453" t="s">
        <v>2896</v>
      </c>
      <c r="C1453" t="s">
        <v>2909</v>
      </c>
      <c r="D1453" t="s">
        <v>2910</v>
      </c>
    </row>
    <row r="1454" spans="1:4" x14ac:dyDescent="0.3">
      <c r="A1454" t="s">
        <v>1612</v>
      </c>
      <c r="B1454" t="s">
        <v>2896</v>
      </c>
      <c r="C1454" t="s">
        <v>2919</v>
      </c>
      <c r="D1454" t="s">
        <v>2920</v>
      </c>
    </row>
    <row r="1455" spans="1:4" x14ac:dyDescent="0.3">
      <c r="A1455" t="s">
        <v>1612</v>
      </c>
      <c r="B1455" t="s">
        <v>2896</v>
      </c>
      <c r="C1455" t="s">
        <v>2897</v>
      </c>
      <c r="D1455" t="s">
        <v>2898</v>
      </c>
    </row>
    <row r="1456" spans="1:4" x14ac:dyDescent="0.3">
      <c r="A1456" t="s">
        <v>1612</v>
      </c>
      <c r="B1456" t="s">
        <v>2896</v>
      </c>
      <c r="C1456" t="s">
        <v>2921</v>
      </c>
      <c r="D1456" t="s">
        <v>2922</v>
      </c>
    </row>
    <row r="1457" spans="1:4" x14ac:dyDescent="0.3">
      <c r="A1457" t="s">
        <v>1612</v>
      </c>
      <c r="B1457" t="s">
        <v>2896</v>
      </c>
      <c r="C1457" t="s">
        <v>2925</v>
      </c>
      <c r="D1457" t="s">
        <v>2926</v>
      </c>
    </row>
    <row r="1458" spans="1:4" x14ac:dyDescent="0.3">
      <c r="A1458" t="s">
        <v>1612</v>
      </c>
      <c r="B1458" t="s">
        <v>2896</v>
      </c>
      <c r="C1458" t="s">
        <v>2933</v>
      </c>
      <c r="D1458" t="s">
        <v>2934</v>
      </c>
    </row>
    <row r="1459" spans="1:4" x14ac:dyDescent="0.3">
      <c r="A1459" t="s">
        <v>1612</v>
      </c>
      <c r="B1459" t="s">
        <v>2896</v>
      </c>
      <c r="C1459" t="s">
        <v>2937</v>
      </c>
      <c r="D1459" t="s">
        <v>2938</v>
      </c>
    </row>
    <row r="1460" spans="1:4" x14ac:dyDescent="0.3">
      <c r="A1460" t="s">
        <v>1612</v>
      </c>
      <c r="B1460" t="s">
        <v>2896</v>
      </c>
      <c r="C1460" t="s">
        <v>2917</v>
      </c>
      <c r="D1460" t="s">
        <v>2918</v>
      </c>
    </row>
    <row r="1461" spans="1:4" x14ac:dyDescent="0.3">
      <c r="A1461" t="s">
        <v>1612</v>
      </c>
      <c r="B1461" t="s">
        <v>2896</v>
      </c>
      <c r="C1461" t="s">
        <v>2943</v>
      </c>
      <c r="D1461" t="s">
        <v>2944</v>
      </c>
    </row>
    <row r="1462" spans="1:4" x14ac:dyDescent="0.3">
      <c r="A1462" t="s">
        <v>1612</v>
      </c>
      <c r="B1462" t="s">
        <v>2896</v>
      </c>
      <c r="C1462" t="s">
        <v>2923</v>
      </c>
      <c r="D1462" t="s">
        <v>2924</v>
      </c>
    </row>
    <row r="1463" spans="1:4" x14ac:dyDescent="0.3">
      <c r="A1463" t="s">
        <v>1612</v>
      </c>
      <c r="B1463" t="s">
        <v>2896</v>
      </c>
      <c r="C1463" t="s">
        <v>2929</v>
      </c>
      <c r="D1463" t="s">
        <v>2930</v>
      </c>
    </row>
    <row r="1464" spans="1:4" x14ac:dyDescent="0.3">
      <c r="A1464" t="s">
        <v>1612</v>
      </c>
      <c r="B1464" t="s">
        <v>2896</v>
      </c>
      <c r="C1464" t="s">
        <v>2899</v>
      </c>
      <c r="D1464" t="s">
        <v>2900</v>
      </c>
    </row>
    <row r="1465" spans="1:4" x14ac:dyDescent="0.3">
      <c r="A1465" t="s">
        <v>1612</v>
      </c>
      <c r="B1465" t="s">
        <v>2896</v>
      </c>
      <c r="C1465" t="s">
        <v>2911</v>
      </c>
      <c r="D1465" t="s">
        <v>2912</v>
      </c>
    </row>
    <row r="1466" spans="1:4" x14ac:dyDescent="0.3">
      <c r="A1466" t="s">
        <v>1612</v>
      </c>
      <c r="B1466" t="s">
        <v>2896</v>
      </c>
      <c r="C1466" t="s">
        <v>2931</v>
      </c>
      <c r="D1466" t="s">
        <v>2932</v>
      </c>
    </row>
    <row r="1467" spans="1:4" x14ac:dyDescent="0.3">
      <c r="A1467" t="s">
        <v>1612</v>
      </c>
      <c r="B1467" t="s">
        <v>2896</v>
      </c>
      <c r="C1467" t="s">
        <v>2935</v>
      </c>
      <c r="D1467" t="s">
        <v>2936</v>
      </c>
    </row>
    <row r="1468" spans="1:4" x14ac:dyDescent="0.3">
      <c r="A1468" t="s">
        <v>2945</v>
      </c>
      <c r="B1468" t="s">
        <v>2946</v>
      </c>
      <c r="C1468" t="s">
        <v>2967</v>
      </c>
      <c r="D1468" t="s">
        <v>2968</v>
      </c>
    </row>
    <row r="1469" spans="1:4" x14ac:dyDescent="0.3">
      <c r="A1469" t="s">
        <v>2945</v>
      </c>
      <c r="B1469" t="s">
        <v>2946</v>
      </c>
      <c r="C1469" t="s">
        <v>2983</v>
      </c>
      <c r="D1469" t="s">
        <v>2984</v>
      </c>
    </row>
    <row r="1470" spans="1:4" x14ac:dyDescent="0.3">
      <c r="A1470" t="s">
        <v>2945</v>
      </c>
      <c r="B1470" t="s">
        <v>2946</v>
      </c>
      <c r="C1470" t="s">
        <v>2949</v>
      </c>
      <c r="D1470" t="s">
        <v>2950</v>
      </c>
    </row>
    <row r="1471" spans="1:4" x14ac:dyDescent="0.3">
      <c r="A1471" t="s">
        <v>2945</v>
      </c>
      <c r="B1471" t="s">
        <v>2946</v>
      </c>
      <c r="C1471" t="s">
        <v>2973</v>
      </c>
      <c r="D1471" t="s">
        <v>2974</v>
      </c>
    </row>
    <row r="1472" spans="1:4" x14ac:dyDescent="0.3">
      <c r="A1472" t="s">
        <v>2945</v>
      </c>
      <c r="B1472" t="s">
        <v>2946</v>
      </c>
      <c r="C1472" t="s">
        <v>2995</v>
      </c>
      <c r="D1472" t="s">
        <v>2996</v>
      </c>
    </row>
    <row r="1473" spans="1:4" x14ac:dyDescent="0.3">
      <c r="A1473" t="s">
        <v>2945</v>
      </c>
      <c r="B1473" t="s">
        <v>2946</v>
      </c>
      <c r="C1473" t="s">
        <v>2951</v>
      </c>
      <c r="D1473" t="s">
        <v>2952</v>
      </c>
    </row>
    <row r="1474" spans="1:4" x14ac:dyDescent="0.3">
      <c r="A1474" t="s">
        <v>2945</v>
      </c>
      <c r="B1474" t="s">
        <v>2946</v>
      </c>
      <c r="C1474" t="s">
        <v>2989</v>
      </c>
      <c r="D1474" t="s">
        <v>2990</v>
      </c>
    </row>
    <row r="1475" spans="1:4" x14ac:dyDescent="0.3">
      <c r="A1475" t="s">
        <v>2945</v>
      </c>
      <c r="B1475" t="s">
        <v>2946</v>
      </c>
      <c r="C1475" t="s">
        <v>2957</v>
      </c>
      <c r="D1475" t="s">
        <v>2958</v>
      </c>
    </row>
    <row r="1476" spans="1:4" x14ac:dyDescent="0.3">
      <c r="A1476" t="s">
        <v>2945</v>
      </c>
      <c r="B1476" t="s">
        <v>2946</v>
      </c>
      <c r="C1476" t="s">
        <v>2981</v>
      </c>
      <c r="D1476" t="s">
        <v>2982</v>
      </c>
    </row>
    <row r="1477" spans="1:4" x14ac:dyDescent="0.3">
      <c r="A1477" t="s">
        <v>2945</v>
      </c>
      <c r="B1477" t="s">
        <v>2946</v>
      </c>
      <c r="C1477" t="s">
        <v>2997</v>
      </c>
      <c r="D1477" t="s">
        <v>2998</v>
      </c>
    </row>
    <row r="1478" spans="1:4" x14ac:dyDescent="0.3">
      <c r="A1478" t="s">
        <v>2945</v>
      </c>
      <c r="B1478" t="s">
        <v>2946</v>
      </c>
      <c r="C1478" t="s">
        <v>2971</v>
      </c>
      <c r="D1478" t="s">
        <v>2972</v>
      </c>
    </row>
    <row r="1479" spans="1:4" x14ac:dyDescent="0.3">
      <c r="A1479" t="s">
        <v>2945</v>
      </c>
      <c r="B1479" t="s">
        <v>2946</v>
      </c>
      <c r="C1479" t="s">
        <v>2999</v>
      </c>
      <c r="D1479" t="s">
        <v>3000</v>
      </c>
    </row>
    <row r="1480" spans="1:4" x14ac:dyDescent="0.3">
      <c r="A1480" t="s">
        <v>2945</v>
      </c>
      <c r="B1480" t="s">
        <v>2946</v>
      </c>
      <c r="C1480" t="s">
        <v>3001</v>
      </c>
      <c r="D1480" t="s">
        <v>3002</v>
      </c>
    </row>
    <row r="1481" spans="1:4" x14ac:dyDescent="0.3">
      <c r="A1481" t="s">
        <v>2945</v>
      </c>
      <c r="B1481" t="s">
        <v>2946</v>
      </c>
      <c r="C1481" t="s">
        <v>2985</v>
      </c>
      <c r="D1481" t="s">
        <v>2986</v>
      </c>
    </row>
    <row r="1482" spans="1:4" x14ac:dyDescent="0.3">
      <c r="A1482" t="s">
        <v>2945</v>
      </c>
      <c r="B1482" t="s">
        <v>2946</v>
      </c>
      <c r="C1482" t="s">
        <v>2987</v>
      </c>
      <c r="D1482" t="s">
        <v>2988</v>
      </c>
    </row>
    <row r="1483" spans="1:4" x14ac:dyDescent="0.3">
      <c r="A1483" t="s">
        <v>2945</v>
      </c>
      <c r="B1483" t="s">
        <v>2946</v>
      </c>
      <c r="C1483" t="s">
        <v>2955</v>
      </c>
      <c r="D1483" t="s">
        <v>2956</v>
      </c>
    </row>
    <row r="1484" spans="1:4" x14ac:dyDescent="0.3">
      <c r="A1484" t="s">
        <v>2945</v>
      </c>
      <c r="B1484" t="s">
        <v>2946</v>
      </c>
      <c r="C1484" t="s">
        <v>2965</v>
      </c>
      <c r="D1484" t="s">
        <v>2966</v>
      </c>
    </row>
    <row r="1485" spans="1:4" x14ac:dyDescent="0.3">
      <c r="A1485" t="s">
        <v>2945</v>
      </c>
      <c r="B1485" t="s">
        <v>2946</v>
      </c>
      <c r="C1485" t="s">
        <v>2947</v>
      </c>
      <c r="D1485" t="s">
        <v>2948</v>
      </c>
    </row>
    <row r="1486" spans="1:4" x14ac:dyDescent="0.3">
      <c r="A1486" t="s">
        <v>2945</v>
      </c>
      <c r="B1486" t="s">
        <v>2946</v>
      </c>
      <c r="C1486" t="s">
        <v>2959</v>
      </c>
      <c r="D1486" t="s">
        <v>2960</v>
      </c>
    </row>
    <row r="1487" spans="1:4" x14ac:dyDescent="0.3">
      <c r="A1487" t="s">
        <v>2945</v>
      </c>
      <c r="B1487" t="s">
        <v>2946</v>
      </c>
      <c r="C1487" t="s">
        <v>2969</v>
      </c>
      <c r="D1487" t="s">
        <v>2970</v>
      </c>
    </row>
    <row r="1488" spans="1:4" x14ac:dyDescent="0.3">
      <c r="A1488" t="s">
        <v>2945</v>
      </c>
      <c r="B1488" t="s">
        <v>2946</v>
      </c>
      <c r="C1488" t="s">
        <v>2975</v>
      </c>
      <c r="D1488" t="s">
        <v>2976</v>
      </c>
    </row>
    <row r="1489" spans="1:4" x14ac:dyDescent="0.3">
      <c r="A1489" t="s">
        <v>2945</v>
      </c>
      <c r="B1489" t="s">
        <v>2946</v>
      </c>
      <c r="C1489" t="s">
        <v>2961</v>
      </c>
      <c r="D1489" t="s">
        <v>2962</v>
      </c>
    </row>
    <row r="1490" spans="1:4" x14ac:dyDescent="0.3">
      <c r="A1490" t="s">
        <v>2945</v>
      </c>
      <c r="B1490" t="s">
        <v>2946</v>
      </c>
      <c r="C1490" t="s">
        <v>2993</v>
      </c>
      <c r="D1490" t="s">
        <v>2994</v>
      </c>
    </row>
    <row r="1491" spans="1:4" x14ac:dyDescent="0.3">
      <c r="A1491" t="s">
        <v>2945</v>
      </c>
      <c r="B1491" t="s">
        <v>2946</v>
      </c>
      <c r="C1491" t="s">
        <v>2979</v>
      </c>
      <c r="D1491" t="s">
        <v>2980</v>
      </c>
    </row>
    <row r="1492" spans="1:4" x14ac:dyDescent="0.3">
      <c r="A1492" t="s">
        <v>2945</v>
      </c>
      <c r="B1492" t="s">
        <v>2946</v>
      </c>
      <c r="C1492" t="s">
        <v>2963</v>
      </c>
      <c r="D1492" t="s">
        <v>2964</v>
      </c>
    </row>
    <row r="1493" spans="1:4" x14ac:dyDescent="0.3">
      <c r="A1493" t="s">
        <v>2945</v>
      </c>
      <c r="B1493" t="s">
        <v>2946</v>
      </c>
      <c r="C1493" t="s">
        <v>2977</v>
      </c>
      <c r="D1493" t="s">
        <v>2978</v>
      </c>
    </row>
    <row r="1494" spans="1:4" x14ac:dyDescent="0.3">
      <c r="A1494" t="s">
        <v>2945</v>
      </c>
      <c r="B1494" t="s">
        <v>2946</v>
      </c>
      <c r="C1494" t="s">
        <v>2991</v>
      </c>
      <c r="D1494" t="s">
        <v>2992</v>
      </c>
    </row>
    <row r="1495" spans="1:4" x14ac:dyDescent="0.3">
      <c r="A1495" t="s">
        <v>2945</v>
      </c>
      <c r="B1495" t="s">
        <v>2946</v>
      </c>
      <c r="C1495" t="s">
        <v>2953</v>
      </c>
      <c r="D1495" t="s">
        <v>2954</v>
      </c>
    </row>
    <row r="1496" spans="1:4" x14ac:dyDescent="0.3">
      <c r="A1496" t="s">
        <v>3003</v>
      </c>
      <c r="B1496" t="s">
        <v>3004</v>
      </c>
      <c r="C1496" t="s">
        <v>3029</v>
      </c>
      <c r="D1496" t="s">
        <v>1645</v>
      </c>
    </row>
    <row r="1497" spans="1:4" x14ac:dyDescent="0.3">
      <c r="A1497" t="s">
        <v>3003</v>
      </c>
      <c r="B1497" t="s">
        <v>3004</v>
      </c>
      <c r="C1497" t="s">
        <v>3032</v>
      </c>
      <c r="D1497" t="s">
        <v>3033</v>
      </c>
    </row>
    <row r="1498" spans="1:4" x14ac:dyDescent="0.3">
      <c r="A1498" t="s">
        <v>3003</v>
      </c>
      <c r="B1498" t="s">
        <v>3004</v>
      </c>
      <c r="C1498" t="s">
        <v>3007</v>
      </c>
      <c r="D1498" t="s">
        <v>3008</v>
      </c>
    </row>
    <row r="1499" spans="1:4" x14ac:dyDescent="0.3">
      <c r="A1499" t="s">
        <v>3003</v>
      </c>
      <c r="B1499" t="s">
        <v>3004</v>
      </c>
      <c r="C1499" t="s">
        <v>3005</v>
      </c>
      <c r="D1499" t="s">
        <v>3006</v>
      </c>
    </row>
    <row r="1500" spans="1:4" x14ac:dyDescent="0.3">
      <c r="A1500" t="s">
        <v>3003</v>
      </c>
      <c r="B1500" t="s">
        <v>3004</v>
      </c>
      <c r="C1500" t="s">
        <v>3011</v>
      </c>
      <c r="D1500" t="s">
        <v>3012</v>
      </c>
    </row>
    <row r="1501" spans="1:4" x14ac:dyDescent="0.3">
      <c r="A1501" t="s">
        <v>3003</v>
      </c>
      <c r="B1501" t="s">
        <v>3004</v>
      </c>
      <c r="C1501" t="s">
        <v>3013</v>
      </c>
      <c r="D1501" t="s">
        <v>3014</v>
      </c>
    </row>
    <row r="1502" spans="1:4" x14ac:dyDescent="0.3">
      <c r="A1502" t="s">
        <v>3003</v>
      </c>
      <c r="B1502" t="s">
        <v>3004</v>
      </c>
      <c r="C1502" t="s">
        <v>3015</v>
      </c>
      <c r="D1502" t="s">
        <v>3016</v>
      </c>
    </row>
    <row r="1503" spans="1:4" x14ac:dyDescent="0.3">
      <c r="A1503" t="s">
        <v>3003</v>
      </c>
      <c r="B1503" t="s">
        <v>3004</v>
      </c>
      <c r="C1503" t="s">
        <v>3034</v>
      </c>
      <c r="D1503" t="s">
        <v>3035</v>
      </c>
    </row>
    <row r="1504" spans="1:4" x14ac:dyDescent="0.3">
      <c r="A1504" t="s">
        <v>3003</v>
      </c>
      <c r="B1504" t="s">
        <v>3004</v>
      </c>
      <c r="C1504" t="s">
        <v>3019</v>
      </c>
      <c r="D1504" t="s">
        <v>3020</v>
      </c>
    </row>
    <row r="1505" spans="1:4" x14ac:dyDescent="0.3">
      <c r="A1505" t="s">
        <v>3003</v>
      </c>
      <c r="B1505" t="s">
        <v>3004</v>
      </c>
      <c r="C1505" t="s">
        <v>3030</v>
      </c>
      <c r="D1505" t="s">
        <v>3031</v>
      </c>
    </row>
    <row r="1506" spans="1:4" x14ac:dyDescent="0.3">
      <c r="A1506" t="s">
        <v>3003</v>
      </c>
      <c r="B1506" t="s">
        <v>3004</v>
      </c>
      <c r="C1506" t="s">
        <v>3023</v>
      </c>
      <c r="D1506" t="s">
        <v>3024</v>
      </c>
    </row>
    <row r="1507" spans="1:4" x14ac:dyDescent="0.3">
      <c r="A1507" t="s">
        <v>3003</v>
      </c>
      <c r="B1507" t="s">
        <v>3004</v>
      </c>
      <c r="C1507" t="s">
        <v>3025</v>
      </c>
      <c r="D1507" t="s">
        <v>3026</v>
      </c>
    </row>
    <row r="1508" spans="1:4" x14ac:dyDescent="0.3">
      <c r="A1508" t="s">
        <v>3003</v>
      </c>
      <c r="B1508" t="s">
        <v>3004</v>
      </c>
      <c r="C1508" t="s">
        <v>3027</v>
      </c>
      <c r="D1508" t="s">
        <v>3028</v>
      </c>
    </row>
    <row r="1509" spans="1:4" x14ac:dyDescent="0.3">
      <c r="A1509" t="s">
        <v>3003</v>
      </c>
      <c r="B1509" t="s">
        <v>3004</v>
      </c>
      <c r="C1509" t="s">
        <v>3021</v>
      </c>
      <c r="D1509" t="s">
        <v>3022</v>
      </c>
    </row>
    <row r="1510" spans="1:4" x14ac:dyDescent="0.3">
      <c r="A1510" t="s">
        <v>3003</v>
      </c>
      <c r="B1510" t="s">
        <v>3004</v>
      </c>
      <c r="C1510" t="s">
        <v>3017</v>
      </c>
      <c r="D1510" t="s">
        <v>3018</v>
      </c>
    </row>
    <row r="1511" spans="1:4" x14ac:dyDescent="0.3">
      <c r="A1511" t="s">
        <v>3003</v>
      </c>
      <c r="B1511" t="s">
        <v>3004</v>
      </c>
      <c r="C1511" t="s">
        <v>3038</v>
      </c>
      <c r="D1511" t="s">
        <v>3039</v>
      </c>
    </row>
    <row r="1512" spans="1:4" x14ac:dyDescent="0.3">
      <c r="A1512" t="s">
        <v>3003</v>
      </c>
      <c r="B1512" t="s">
        <v>3004</v>
      </c>
      <c r="C1512" t="s">
        <v>3042</v>
      </c>
      <c r="D1512" t="s">
        <v>3043</v>
      </c>
    </row>
    <row r="1513" spans="1:4" x14ac:dyDescent="0.3">
      <c r="A1513" t="s">
        <v>3003</v>
      </c>
      <c r="B1513" t="s">
        <v>3004</v>
      </c>
      <c r="C1513" t="s">
        <v>3009</v>
      </c>
      <c r="D1513" t="s">
        <v>3010</v>
      </c>
    </row>
    <row r="1514" spans="1:4" x14ac:dyDescent="0.3">
      <c r="A1514" t="s">
        <v>3003</v>
      </c>
      <c r="B1514" t="s">
        <v>3004</v>
      </c>
      <c r="C1514" t="s">
        <v>3040</v>
      </c>
      <c r="D1514" t="s">
        <v>3041</v>
      </c>
    </row>
    <row r="1515" spans="1:4" x14ac:dyDescent="0.3">
      <c r="A1515" t="s">
        <v>3003</v>
      </c>
      <c r="B1515" t="s">
        <v>3004</v>
      </c>
      <c r="C1515" t="s">
        <v>3036</v>
      </c>
      <c r="D1515" t="s">
        <v>3037</v>
      </c>
    </row>
    <row r="1516" spans="1:4" x14ac:dyDescent="0.3">
      <c r="A1516" t="s">
        <v>1432</v>
      </c>
      <c r="B1516" t="s">
        <v>3044</v>
      </c>
      <c r="C1516" t="s">
        <v>3048</v>
      </c>
      <c r="D1516" t="s">
        <v>4203</v>
      </c>
    </row>
    <row r="1517" spans="1:4" x14ac:dyDescent="0.3">
      <c r="A1517" t="s">
        <v>1432</v>
      </c>
      <c r="B1517" t="s">
        <v>3044</v>
      </c>
      <c r="C1517" t="s">
        <v>3045</v>
      </c>
      <c r="D1517" t="s">
        <v>4204</v>
      </c>
    </row>
    <row r="1518" spans="1:4" x14ac:dyDescent="0.3">
      <c r="A1518" t="s">
        <v>1432</v>
      </c>
      <c r="B1518" t="s">
        <v>3044</v>
      </c>
      <c r="C1518" t="s">
        <v>3046</v>
      </c>
      <c r="D1518" t="s">
        <v>3047</v>
      </c>
    </row>
    <row r="1519" spans="1:4" x14ac:dyDescent="0.3">
      <c r="A1519" t="s">
        <v>3049</v>
      </c>
      <c r="B1519" t="s">
        <v>3050</v>
      </c>
      <c r="C1519" t="s">
        <v>3105</v>
      </c>
      <c r="D1519" t="s">
        <v>3106</v>
      </c>
    </row>
    <row r="1520" spans="1:4" x14ac:dyDescent="0.3">
      <c r="A1520" t="s">
        <v>3049</v>
      </c>
      <c r="B1520" t="s">
        <v>3050</v>
      </c>
      <c r="C1520" t="s">
        <v>3125</v>
      </c>
      <c r="D1520" t="s">
        <v>3126</v>
      </c>
    </row>
    <row r="1521" spans="1:4" x14ac:dyDescent="0.3">
      <c r="A1521" t="s">
        <v>3049</v>
      </c>
      <c r="B1521" t="s">
        <v>3050</v>
      </c>
      <c r="C1521" t="s">
        <v>3129</v>
      </c>
      <c r="D1521" t="s">
        <v>3130</v>
      </c>
    </row>
    <row r="1522" spans="1:4" x14ac:dyDescent="0.3">
      <c r="A1522" t="s">
        <v>3049</v>
      </c>
      <c r="B1522" t="s">
        <v>3050</v>
      </c>
      <c r="C1522" t="s">
        <v>3055</v>
      </c>
      <c r="D1522" t="s">
        <v>3056</v>
      </c>
    </row>
    <row r="1523" spans="1:4" x14ac:dyDescent="0.3">
      <c r="A1523" t="s">
        <v>3049</v>
      </c>
      <c r="B1523" t="s">
        <v>3050</v>
      </c>
      <c r="C1523" t="s">
        <v>3059</v>
      </c>
      <c r="D1523" t="s">
        <v>3060</v>
      </c>
    </row>
    <row r="1524" spans="1:4" x14ac:dyDescent="0.3">
      <c r="A1524" t="s">
        <v>3049</v>
      </c>
      <c r="B1524" t="s">
        <v>3050</v>
      </c>
      <c r="C1524" t="s">
        <v>3127</v>
      </c>
      <c r="D1524" t="s">
        <v>3128</v>
      </c>
    </row>
    <row r="1525" spans="1:4" x14ac:dyDescent="0.3">
      <c r="A1525" t="s">
        <v>3049</v>
      </c>
      <c r="B1525" t="s">
        <v>3050</v>
      </c>
      <c r="C1525" t="s">
        <v>3051</v>
      </c>
      <c r="D1525" t="s">
        <v>3052</v>
      </c>
    </row>
    <row r="1526" spans="1:4" x14ac:dyDescent="0.3">
      <c r="A1526" t="s">
        <v>3049</v>
      </c>
      <c r="B1526" t="s">
        <v>3050</v>
      </c>
      <c r="C1526" t="s">
        <v>3073</v>
      </c>
      <c r="D1526" t="s">
        <v>3074</v>
      </c>
    </row>
    <row r="1527" spans="1:4" x14ac:dyDescent="0.3">
      <c r="A1527" t="s">
        <v>3049</v>
      </c>
      <c r="B1527" t="s">
        <v>3050</v>
      </c>
      <c r="C1527" t="s">
        <v>3141</v>
      </c>
      <c r="D1527" t="s">
        <v>3142</v>
      </c>
    </row>
    <row r="1528" spans="1:4" x14ac:dyDescent="0.3">
      <c r="A1528" t="s">
        <v>3049</v>
      </c>
      <c r="B1528" t="s">
        <v>3050</v>
      </c>
      <c r="C1528" t="s">
        <v>3107</v>
      </c>
      <c r="D1528" t="s">
        <v>3108</v>
      </c>
    </row>
    <row r="1529" spans="1:4" x14ac:dyDescent="0.3">
      <c r="A1529" t="s">
        <v>3049</v>
      </c>
      <c r="B1529" t="s">
        <v>3050</v>
      </c>
      <c r="C1529" t="s">
        <v>3143</v>
      </c>
      <c r="D1529" t="s">
        <v>3144</v>
      </c>
    </row>
    <row r="1530" spans="1:4" x14ac:dyDescent="0.3">
      <c r="A1530" t="s">
        <v>3049</v>
      </c>
      <c r="B1530" t="s">
        <v>3050</v>
      </c>
      <c r="C1530" t="s">
        <v>3071</v>
      </c>
      <c r="D1530" t="s">
        <v>3072</v>
      </c>
    </row>
    <row r="1531" spans="1:4" x14ac:dyDescent="0.3">
      <c r="A1531" t="s">
        <v>3049</v>
      </c>
      <c r="B1531" t="s">
        <v>3050</v>
      </c>
      <c r="C1531" t="s">
        <v>3121</v>
      </c>
      <c r="D1531" t="s">
        <v>3122</v>
      </c>
    </row>
    <row r="1532" spans="1:4" x14ac:dyDescent="0.3">
      <c r="A1532" t="s">
        <v>3049</v>
      </c>
      <c r="B1532" t="s">
        <v>3050</v>
      </c>
      <c r="C1532" t="s">
        <v>3123</v>
      </c>
      <c r="D1532" t="s">
        <v>3124</v>
      </c>
    </row>
    <row r="1533" spans="1:4" x14ac:dyDescent="0.3">
      <c r="A1533" t="s">
        <v>3049</v>
      </c>
      <c r="B1533" t="s">
        <v>3050</v>
      </c>
      <c r="C1533" t="s">
        <v>3093</v>
      </c>
      <c r="D1533" t="s">
        <v>3094</v>
      </c>
    </row>
    <row r="1534" spans="1:4" x14ac:dyDescent="0.3">
      <c r="A1534" t="s">
        <v>3049</v>
      </c>
      <c r="B1534" t="s">
        <v>3050</v>
      </c>
      <c r="C1534" t="s">
        <v>3115</v>
      </c>
      <c r="D1534" t="s">
        <v>3116</v>
      </c>
    </row>
    <row r="1535" spans="1:4" x14ac:dyDescent="0.3">
      <c r="A1535" t="s">
        <v>3049</v>
      </c>
      <c r="B1535" t="s">
        <v>3050</v>
      </c>
      <c r="C1535" t="s">
        <v>4205</v>
      </c>
      <c r="D1535" t="s">
        <v>4206</v>
      </c>
    </row>
    <row r="1536" spans="1:4" x14ac:dyDescent="0.3">
      <c r="A1536" t="s">
        <v>3049</v>
      </c>
      <c r="B1536" t="s">
        <v>3050</v>
      </c>
      <c r="C1536" t="s">
        <v>4207</v>
      </c>
      <c r="D1536" t="s">
        <v>4208</v>
      </c>
    </row>
    <row r="1537" spans="1:4" x14ac:dyDescent="0.3">
      <c r="A1537" t="s">
        <v>3049</v>
      </c>
      <c r="B1537" t="s">
        <v>3050</v>
      </c>
      <c r="C1537" t="s">
        <v>4209</v>
      </c>
      <c r="D1537" t="s">
        <v>4210</v>
      </c>
    </row>
    <row r="1538" spans="1:4" x14ac:dyDescent="0.3">
      <c r="A1538" t="s">
        <v>3049</v>
      </c>
      <c r="B1538" t="s">
        <v>3050</v>
      </c>
      <c r="C1538" t="s">
        <v>3057</v>
      </c>
      <c r="D1538" t="s">
        <v>3058</v>
      </c>
    </row>
    <row r="1539" spans="1:4" x14ac:dyDescent="0.3">
      <c r="A1539" t="s">
        <v>3049</v>
      </c>
      <c r="B1539" t="s">
        <v>3050</v>
      </c>
      <c r="C1539" t="s">
        <v>3075</v>
      </c>
      <c r="D1539" t="s">
        <v>3076</v>
      </c>
    </row>
    <row r="1540" spans="1:4" x14ac:dyDescent="0.3">
      <c r="A1540" t="s">
        <v>3049</v>
      </c>
      <c r="B1540" t="s">
        <v>3050</v>
      </c>
      <c r="C1540" t="s">
        <v>3113</v>
      </c>
      <c r="D1540" t="s">
        <v>3114</v>
      </c>
    </row>
    <row r="1541" spans="1:4" x14ac:dyDescent="0.3">
      <c r="A1541" t="s">
        <v>3049</v>
      </c>
      <c r="B1541" t="s">
        <v>3050</v>
      </c>
      <c r="C1541" t="s">
        <v>3083</v>
      </c>
      <c r="D1541" t="s">
        <v>3084</v>
      </c>
    </row>
    <row r="1542" spans="1:4" x14ac:dyDescent="0.3">
      <c r="A1542" t="s">
        <v>3049</v>
      </c>
      <c r="B1542" t="s">
        <v>3050</v>
      </c>
      <c r="C1542" t="s">
        <v>3150</v>
      </c>
      <c r="D1542" t="s">
        <v>3151</v>
      </c>
    </row>
    <row r="1543" spans="1:4" x14ac:dyDescent="0.3">
      <c r="A1543" t="s">
        <v>3049</v>
      </c>
      <c r="B1543" t="s">
        <v>3050</v>
      </c>
      <c r="C1543" t="s">
        <v>3117</v>
      </c>
      <c r="D1543" t="s">
        <v>3118</v>
      </c>
    </row>
    <row r="1544" spans="1:4" x14ac:dyDescent="0.3">
      <c r="A1544" t="s">
        <v>3049</v>
      </c>
      <c r="B1544" t="s">
        <v>3050</v>
      </c>
      <c r="C1544" t="s">
        <v>3137</v>
      </c>
      <c r="D1544" t="s">
        <v>3138</v>
      </c>
    </row>
    <row r="1545" spans="1:4" x14ac:dyDescent="0.3">
      <c r="A1545" t="s">
        <v>3049</v>
      </c>
      <c r="B1545" t="s">
        <v>3050</v>
      </c>
      <c r="C1545" t="s">
        <v>3111</v>
      </c>
      <c r="D1545" t="s">
        <v>3112</v>
      </c>
    </row>
    <row r="1546" spans="1:4" x14ac:dyDescent="0.3">
      <c r="A1546" t="s">
        <v>3049</v>
      </c>
      <c r="B1546" t="s">
        <v>3050</v>
      </c>
      <c r="C1546" t="s">
        <v>3154</v>
      </c>
      <c r="D1546" t="s">
        <v>3155</v>
      </c>
    </row>
    <row r="1547" spans="1:4" x14ac:dyDescent="0.3">
      <c r="A1547" t="s">
        <v>3049</v>
      </c>
      <c r="B1547" t="s">
        <v>3050</v>
      </c>
      <c r="C1547" t="s">
        <v>3103</v>
      </c>
      <c r="D1547" t="s">
        <v>3104</v>
      </c>
    </row>
    <row r="1548" spans="1:4" x14ac:dyDescent="0.3">
      <c r="A1548" t="s">
        <v>3049</v>
      </c>
      <c r="B1548" t="s">
        <v>3050</v>
      </c>
      <c r="C1548" t="s">
        <v>3145</v>
      </c>
      <c r="D1548" t="s">
        <v>3146</v>
      </c>
    </row>
    <row r="1549" spans="1:4" x14ac:dyDescent="0.3">
      <c r="A1549" t="s">
        <v>3049</v>
      </c>
      <c r="B1549" t="s">
        <v>3050</v>
      </c>
      <c r="C1549" t="s">
        <v>3061</v>
      </c>
      <c r="D1549" t="s">
        <v>3062</v>
      </c>
    </row>
    <row r="1550" spans="1:4" x14ac:dyDescent="0.3">
      <c r="A1550" t="s">
        <v>3049</v>
      </c>
      <c r="B1550" t="s">
        <v>3050</v>
      </c>
      <c r="C1550" t="s">
        <v>3063</v>
      </c>
      <c r="D1550" t="s">
        <v>3064</v>
      </c>
    </row>
    <row r="1551" spans="1:4" x14ac:dyDescent="0.3">
      <c r="A1551" t="s">
        <v>3049</v>
      </c>
      <c r="B1551" t="s">
        <v>3050</v>
      </c>
      <c r="C1551" t="s">
        <v>3101</v>
      </c>
      <c r="D1551" t="s">
        <v>3102</v>
      </c>
    </row>
    <row r="1552" spans="1:4" x14ac:dyDescent="0.3">
      <c r="A1552" t="s">
        <v>3049</v>
      </c>
      <c r="B1552" t="s">
        <v>3050</v>
      </c>
      <c r="C1552" t="s">
        <v>3135</v>
      </c>
      <c r="D1552" t="s">
        <v>3136</v>
      </c>
    </row>
    <row r="1553" spans="1:4" x14ac:dyDescent="0.3">
      <c r="A1553" t="s">
        <v>3049</v>
      </c>
      <c r="B1553" t="s">
        <v>3050</v>
      </c>
      <c r="C1553" t="s">
        <v>3099</v>
      </c>
      <c r="D1553" t="s">
        <v>3100</v>
      </c>
    </row>
    <row r="1554" spans="1:4" x14ac:dyDescent="0.3">
      <c r="A1554" t="s">
        <v>3049</v>
      </c>
      <c r="B1554" t="s">
        <v>3050</v>
      </c>
      <c r="C1554" t="s">
        <v>3097</v>
      </c>
      <c r="D1554" t="s">
        <v>3098</v>
      </c>
    </row>
    <row r="1555" spans="1:4" x14ac:dyDescent="0.3">
      <c r="A1555" t="s">
        <v>3049</v>
      </c>
      <c r="B1555" t="s">
        <v>3050</v>
      </c>
      <c r="C1555" t="s">
        <v>3081</v>
      </c>
      <c r="D1555" t="s">
        <v>3082</v>
      </c>
    </row>
    <row r="1556" spans="1:4" x14ac:dyDescent="0.3">
      <c r="A1556" t="s">
        <v>3049</v>
      </c>
      <c r="B1556" t="s">
        <v>3050</v>
      </c>
      <c r="C1556" t="s">
        <v>3079</v>
      </c>
      <c r="D1556" t="s">
        <v>3080</v>
      </c>
    </row>
    <row r="1557" spans="1:4" x14ac:dyDescent="0.3">
      <c r="A1557" t="s">
        <v>3049</v>
      </c>
      <c r="B1557" t="s">
        <v>3050</v>
      </c>
      <c r="C1557" t="s">
        <v>3147</v>
      </c>
      <c r="D1557" t="s">
        <v>973</v>
      </c>
    </row>
    <row r="1558" spans="1:4" x14ac:dyDescent="0.3">
      <c r="A1558" t="s">
        <v>3049</v>
      </c>
      <c r="B1558" t="s">
        <v>3050</v>
      </c>
      <c r="C1558" t="s">
        <v>3095</v>
      </c>
      <c r="D1558" t="s">
        <v>3096</v>
      </c>
    </row>
    <row r="1559" spans="1:4" x14ac:dyDescent="0.3">
      <c r="A1559" t="s">
        <v>3049</v>
      </c>
      <c r="B1559" t="s">
        <v>3050</v>
      </c>
      <c r="C1559" t="s">
        <v>3119</v>
      </c>
      <c r="D1559" t="s">
        <v>3120</v>
      </c>
    </row>
    <row r="1560" spans="1:4" x14ac:dyDescent="0.3">
      <c r="A1560" t="s">
        <v>3049</v>
      </c>
      <c r="B1560" t="s">
        <v>3050</v>
      </c>
      <c r="C1560" t="s">
        <v>3133</v>
      </c>
      <c r="D1560" t="s">
        <v>3134</v>
      </c>
    </row>
    <row r="1561" spans="1:4" x14ac:dyDescent="0.3">
      <c r="A1561" t="s">
        <v>3049</v>
      </c>
      <c r="B1561" t="s">
        <v>3050</v>
      </c>
      <c r="C1561" t="s">
        <v>3085</v>
      </c>
      <c r="D1561" t="s">
        <v>3086</v>
      </c>
    </row>
    <row r="1562" spans="1:4" x14ac:dyDescent="0.3">
      <c r="A1562" t="s">
        <v>3049</v>
      </c>
      <c r="B1562" t="s">
        <v>3050</v>
      </c>
      <c r="C1562" t="s">
        <v>3077</v>
      </c>
      <c r="D1562" t="s">
        <v>3078</v>
      </c>
    </row>
    <row r="1563" spans="1:4" x14ac:dyDescent="0.3">
      <c r="A1563" t="s">
        <v>3049</v>
      </c>
      <c r="B1563" t="s">
        <v>3050</v>
      </c>
      <c r="C1563" t="s">
        <v>3091</v>
      </c>
      <c r="D1563" t="s">
        <v>3092</v>
      </c>
    </row>
    <row r="1564" spans="1:4" x14ac:dyDescent="0.3">
      <c r="A1564" t="s">
        <v>3049</v>
      </c>
      <c r="B1564" t="s">
        <v>3050</v>
      </c>
      <c r="C1564" t="s">
        <v>3139</v>
      </c>
      <c r="D1564" t="s">
        <v>3140</v>
      </c>
    </row>
    <row r="1565" spans="1:4" x14ac:dyDescent="0.3">
      <c r="A1565" t="s">
        <v>3049</v>
      </c>
      <c r="B1565" t="s">
        <v>3050</v>
      </c>
      <c r="C1565" t="s">
        <v>3053</v>
      </c>
      <c r="D1565" t="s">
        <v>3054</v>
      </c>
    </row>
    <row r="1566" spans="1:4" x14ac:dyDescent="0.3">
      <c r="A1566" t="s">
        <v>3049</v>
      </c>
      <c r="B1566" t="s">
        <v>3050</v>
      </c>
      <c r="C1566" t="s">
        <v>3087</v>
      </c>
      <c r="D1566" t="s">
        <v>3088</v>
      </c>
    </row>
    <row r="1567" spans="1:4" x14ac:dyDescent="0.3">
      <c r="A1567" t="s">
        <v>3049</v>
      </c>
      <c r="B1567" t="s">
        <v>3050</v>
      </c>
      <c r="C1567" t="s">
        <v>3152</v>
      </c>
      <c r="D1567" t="s">
        <v>3153</v>
      </c>
    </row>
    <row r="1568" spans="1:4" x14ac:dyDescent="0.3">
      <c r="A1568" t="s">
        <v>3049</v>
      </c>
      <c r="B1568" t="s">
        <v>3050</v>
      </c>
      <c r="C1568" t="s">
        <v>3131</v>
      </c>
      <c r="D1568" t="s">
        <v>3132</v>
      </c>
    </row>
    <row r="1569" spans="1:4" x14ac:dyDescent="0.3">
      <c r="A1569" t="s">
        <v>3049</v>
      </c>
      <c r="B1569" t="s">
        <v>3050</v>
      </c>
      <c r="C1569" t="s">
        <v>3067</v>
      </c>
      <c r="D1569" t="s">
        <v>3068</v>
      </c>
    </row>
    <row r="1570" spans="1:4" x14ac:dyDescent="0.3">
      <c r="A1570" t="s">
        <v>3049</v>
      </c>
      <c r="B1570" t="s">
        <v>3050</v>
      </c>
      <c r="C1570" t="s">
        <v>3089</v>
      </c>
      <c r="D1570" t="s">
        <v>3090</v>
      </c>
    </row>
    <row r="1571" spans="1:4" x14ac:dyDescent="0.3">
      <c r="A1571" t="s">
        <v>3049</v>
      </c>
      <c r="B1571" t="s">
        <v>3050</v>
      </c>
      <c r="C1571" t="s">
        <v>3109</v>
      </c>
      <c r="D1571" t="s">
        <v>3110</v>
      </c>
    </row>
    <row r="1572" spans="1:4" x14ac:dyDescent="0.3">
      <c r="A1572" t="s">
        <v>3049</v>
      </c>
      <c r="B1572" t="s">
        <v>3050</v>
      </c>
      <c r="C1572" t="s">
        <v>3069</v>
      </c>
      <c r="D1572" t="s">
        <v>3070</v>
      </c>
    </row>
    <row r="1573" spans="1:4" x14ac:dyDescent="0.3">
      <c r="A1573" t="s">
        <v>3049</v>
      </c>
      <c r="B1573" t="s">
        <v>3050</v>
      </c>
      <c r="C1573" t="s">
        <v>3148</v>
      </c>
      <c r="D1573" t="s">
        <v>3149</v>
      </c>
    </row>
    <row r="1574" spans="1:4" x14ac:dyDescent="0.3">
      <c r="A1574" t="s">
        <v>3049</v>
      </c>
      <c r="B1574" t="s">
        <v>3050</v>
      </c>
      <c r="C1574" t="s">
        <v>3065</v>
      </c>
      <c r="D1574" t="s">
        <v>3066</v>
      </c>
    </row>
    <row r="1575" spans="1:4" x14ac:dyDescent="0.3">
      <c r="A1575" t="s">
        <v>3156</v>
      </c>
      <c r="B1575" t="s">
        <v>3157</v>
      </c>
      <c r="C1575" t="s">
        <v>3180</v>
      </c>
      <c r="D1575" t="s">
        <v>3181</v>
      </c>
    </row>
    <row r="1576" spans="1:4" x14ac:dyDescent="0.3">
      <c r="A1576" t="s">
        <v>3156</v>
      </c>
      <c r="B1576" t="s">
        <v>3157</v>
      </c>
      <c r="C1576" t="s">
        <v>3158</v>
      </c>
      <c r="D1576" t="s">
        <v>3159</v>
      </c>
    </row>
    <row r="1577" spans="1:4" x14ac:dyDescent="0.3">
      <c r="A1577" t="s">
        <v>3156</v>
      </c>
      <c r="B1577" t="s">
        <v>3157</v>
      </c>
      <c r="C1577" t="s">
        <v>3194</v>
      </c>
      <c r="D1577" t="s">
        <v>3195</v>
      </c>
    </row>
    <row r="1578" spans="1:4" x14ac:dyDescent="0.3">
      <c r="A1578" t="s">
        <v>3156</v>
      </c>
      <c r="B1578" t="s">
        <v>3157</v>
      </c>
      <c r="C1578" t="s">
        <v>3166</v>
      </c>
      <c r="D1578" t="s">
        <v>3167</v>
      </c>
    </row>
    <row r="1579" spans="1:4" x14ac:dyDescent="0.3">
      <c r="A1579" t="s">
        <v>3156</v>
      </c>
      <c r="B1579" t="s">
        <v>3157</v>
      </c>
      <c r="C1579" t="s">
        <v>3168</v>
      </c>
      <c r="D1579" t="s">
        <v>3169</v>
      </c>
    </row>
    <row r="1580" spans="1:4" x14ac:dyDescent="0.3">
      <c r="A1580" t="s">
        <v>3156</v>
      </c>
      <c r="B1580" t="s">
        <v>3157</v>
      </c>
      <c r="C1580" t="s">
        <v>3174</v>
      </c>
      <c r="D1580" t="s">
        <v>3175</v>
      </c>
    </row>
    <row r="1581" spans="1:4" x14ac:dyDescent="0.3">
      <c r="A1581" t="s">
        <v>3156</v>
      </c>
      <c r="B1581" t="s">
        <v>3157</v>
      </c>
      <c r="C1581" t="s">
        <v>3196</v>
      </c>
      <c r="D1581" t="s">
        <v>3197</v>
      </c>
    </row>
    <row r="1582" spans="1:4" x14ac:dyDescent="0.3">
      <c r="A1582" t="s">
        <v>3156</v>
      </c>
      <c r="B1582" t="s">
        <v>3157</v>
      </c>
      <c r="C1582" t="s">
        <v>3184</v>
      </c>
      <c r="D1582" t="s">
        <v>3185</v>
      </c>
    </row>
    <row r="1583" spans="1:4" x14ac:dyDescent="0.3">
      <c r="A1583" t="s">
        <v>3156</v>
      </c>
      <c r="B1583" t="s">
        <v>3157</v>
      </c>
      <c r="C1583" t="s">
        <v>3200</v>
      </c>
      <c r="D1583" t="s">
        <v>2183</v>
      </c>
    </row>
    <row r="1584" spans="1:4" x14ac:dyDescent="0.3">
      <c r="A1584" t="s">
        <v>3156</v>
      </c>
      <c r="B1584" t="s">
        <v>3157</v>
      </c>
      <c r="C1584" t="s">
        <v>3182</v>
      </c>
      <c r="D1584" t="s">
        <v>3183</v>
      </c>
    </row>
    <row r="1585" spans="1:4" x14ac:dyDescent="0.3">
      <c r="A1585" t="s">
        <v>3156</v>
      </c>
      <c r="B1585" t="s">
        <v>3157</v>
      </c>
      <c r="C1585" t="s">
        <v>3203</v>
      </c>
      <c r="D1585" t="s">
        <v>3204</v>
      </c>
    </row>
    <row r="1586" spans="1:4" x14ac:dyDescent="0.3">
      <c r="A1586" t="s">
        <v>3156</v>
      </c>
      <c r="B1586" t="s">
        <v>3157</v>
      </c>
      <c r="C1586" t="s">
        <v>3201</v>
      </c>
      <c r="D1586" t="s">
        <v>3202</v>
      </c>
    </row>
    <row r="1587" spans="1:4" x14ac:dyDescent="0.3">
      <c r="A1587" t="s">
        <v>3156</v>
      </c>
      <c r="B1587" t="s">
        <v>3157</v>
      </c>
      <c r="C1587" t="s">
        <v>3192</v>
      </c>
      <c r="D1587" t="s">
        <v>3193</v>
      </c>
    </row>
    <row r="1588" spans="1:4" x14ac:dyDescent="0.3">
      <c r="A1588" t="s">
        <v>3156</v>
      </c>
      <c r="B1588" t="s">
        <v>3157</v>
      </c>
      <c r="C1588" t="s">
        <v>3162</v>
      </c>
      <c r="D1588" t="s">
        <v>3163</v>
      </c>
    </row>
    <row r="1589" spans="1:4" x14ac:dyDescent="0.3">
      <c r="A1589" t="s">
        <v>3156</v>
      </c>
      <c r="B1589" t="s">
        <v>3157</v>
      </c>
      <c r="C1589" t="s">
        <v>3172</v>
      </c>
      <c r="D1589" t="s">
        <v>3173</v>
      </c>
    </row>
    <row r="1590" spans="1:4" x14ac:dyDescent="0.3">
      <c r="A1590" t="s">
        <v>3156</v>
      </c>
      <c r="B1590" t="s">
        <v>3157</v>
      </c>
      <c r="C1590" t="s">
        <v>3205</v>
      </c>
      <c r="D1590" t="s">
        <v>3206</v>
      </c>
    </row>
    <row r="1591" spans="1:4" x14ac:dyDescent="0.3">
      <c r="A1591" t="s">
        <v>3156</v>
      </c>
      <c r="B1591" t="s">
        <v>3157</v>
      </c>
      <c r="C1591" t="s">
        <v>3188</v>
      </c>
      <c r="D1591" t="s">
        <v>3189</v>
      </c>
    </row>
    <row r="1592" spans="1:4" x14ac:dyDescent="0.3">
      <c r="A1592" t="s">
        <v>3156</v>
      </c>
      <c r="B1592" t="s">
        <v>3157</v>
      </c>
      <c r="C1592" t="s">
        <v>3176</v>
      </c>
      <c r="D1592" t="s">
        <v>3177</v>
      </c>
    </row>
    <row r="1593" spans="1:4" x14ac:dyDescent="0.3">
      <c r="A1593" t="s">
        <v>3156</v>
      </c>
      <c r="B1593" t="s">
        <v>3157</v>
      </c>
      <c r="C1593" t="s">
        <v>3190</v>
      </c>
      <c r="D1593" t="s">
        <v>3191</v>
      </c>
    </row>
    <row r="1594" spans="1:4" x14ac:dyDescent="0.3">
      <c r="A1594" t="s">
        <v>3156</v>
      </c>
      <c r="B1594" t="s">
        <v>3157</v>
      </c>
      <c r="C1594" t="s">
        <v>3160</v>
      </c>
      <c r="D1594" t="s">
        <v>3161</v>
      </c>
    </row>
    <row r="1595" spans="1:4" x14ac:dyDescent="0.3">
      <c r="A1595" t="s">
        <v>3156</v>
      </c>
      <c r="B1595" t="s">
        <v>3157</v>
      </c>
      <c r="C1595" t="s">
        <v>3170</v>
      </c>
      <c r="D1595" t="s">
        <v>3171</v>
      </c>
    </row>
    <row r="1596" spans="1:4" x14ac:dyDescent="0.3">
      <c r="A1596" t="s">
        <v>3156</v>
      </c>
      <c r="B1596" t="s">
        <v>3157</v>
      </c>
      <c r="C1596" t="s">
        <v>3178</v>
      </c>
      <c r="D1596" t="s">
        <v>3179</v>
      </c>
    </row>
    <row r="1597" spans="1:4" x14ac:dyDescent="0.3">
      <c r="A1597" t="s">
        <v>3156</v>
      </c>
      <c r="B1597" t="s">
        <v>3157</v>
      </c>
      <c r="C1597" t="s">
        <v>3198</v>
      </c>
      <c r="D1597" t="s">
        <v>3199</v>
      </c>
    </row>
    <row r="1598" spans="1:4" x14ac:dyDescent="0.3">
      <c r="A1598" t="s">
        <v>3156</v>
      </c>
      <c r="B1598" t="s">
        <v>3157</v>
      </c>
      <c r="C1598" t="s">
        <v>3186</v>
      </c>
      <c r="D1598" t="s">
        <v>3187</v>
      </c>
    </row>
    <row r="1599" spans="1:4" x14ac:dyDescent="0.3">
      <c r="A1599" t="s">
        <v>3156</v>
      </c>
      <c r="B1599" t="s">
        <v>3157</v>
      </c>
      <c r="C1599" t="s">
        <v>3164</v>
      </c>
      <c r="D1599" t="s">
        <v>3165</v>
      </c>
    </row>
    <row r="1600" spans="1:4" x14ac:dyDescent="0.3">
      <c r="A1600" t="s">
        <v>3207</v>
      </c>
      <c r="B1600" t="s">
        <v>3208</v>
      </c>
      <c r="C1600" t="s">
        <v>3242</v>
      </c>
      <c r="D1600" t="s">
        <v>3243</v>
      </c>
    </row>
    <row r="1601" spans="1:4" x14ac:dyDescent="0.3">
      <c r="A1601" t="s">
        <v>3207</v>
      </c>
      <c r="B1601" t="s">
        <v>3208</v>
      </c>
      <c r="C1601" t="s">
        <v>2602</v>
      </c>
      <c r="D1601" t="s">
        <v>3213</v>
      </c>
    </row>
    <row r="1602" spans="1:4" x14ac:dyDescent="0.3">
      <c r="A1602" t="s">
        <v>3207</v>
      </c>
      <c r="B1602" t="s">
        <v>3208</v>
      </c>
      <c r="C1602" t="s">
        <v>3211</v>
      </c>
      <c r="D1602" t="s">
        <v>3212</v>
      </c>
    </row>
    <row r="1603" spans="1:4" x14ac:dyDescent="0.3">
      <c r="A1603" t="s">
        <v>3207</v>
      </c>
      <c r="B1603" t="s">
        <v>3208</v>
      </c>
      <c r="C1603" t="s">
        <v>3238</v>
      </c>
      <c r="D1603" t="s">
        <v>3239</v>
      </c>
    </row>
    <row r="1604" spans="1:4" x14ac:dyDescent="0.3">
      <c r="A1604" t="s">
        <v>3207</v>
      </c>
      <c r="B1604" t="s">
        <v>3208</v>
      </c>
      <c r="C1604" t="s">
        <v>3220</v>
      </c>
      <c r="D1604" t="s">
        <v>3221</v>
      </c>
    </row>
    <row r="1605" spans="1:4" x14ac:dyDescent="0.3">
      <c r="A1605" t="s">
        <v>3207</v>
      </c>
      <c r="B1605" t="s">
        <v>3208</v>
      </c>
      <c r="C1605" t="s">
        <v>3216</v>
      </c>
      <c r="D1605" t="s">
        <v>3217</v>
      </c>
    </row>
    <row r="1606" spans="1:4" x14ac:dyDescent="0.3">
      <c r="A1606" t="s">
        <v>3207</v>
      </c>
      <c r="B1606" t="s">
        <v>3208</v>
      </c>
      <c r="C1606" t="s">
        <v>3224</v>
      </c>
      <c r="D1606" t="s">
        <v>3225</v>
      </c>
    </row>
    <row r="1607" spans="1:4" x14ac:dyDescent="0.3">
      <c r="A1607" t="s">
        <v>3207</v>
      </c>
      <c r="B1607" t="s">
        <v>3208</v>
      </c>
      <c r="C1607" t="s">
        <v>3248</v>
      </c>
      <c r="D1607" t="s">
        <v>3249</v>
      </c>
    </row>
    <row r="1608" spans="1:4" x14ac:dyDescent="0.3">
      <c r="A1608" t="s">
        <v>3207</v>
      </c>
      <c r="B1608" t="s">
        <v>3208</v>
      </c>
      <c r="C1608" t="s">
        <v>3226</v>
      </c>
      <c r="D1608" t="s">
        <v>3227</v>
      </c>
    </row>
    <row r="1609" spans="1:4" x14ac:dyDescent="0.3">
      <c r="A1609" t="s">
        <v>3207</v>
      </c>
      <c r="B1609" t="s">
        <v>3208</v>
      </c>
      <c r="C1609" t="s">
        <v>3214</v>
      </c>
      <c r="D1609" t="s">
        <v>3215</v>
      </c>
    </row>
    <row r="1610" spans="1:4" x14ac:dyDescent="0.3">
      <c r="A1610" t="s">
        <v>3207</v>
      </c>
      <c r="B1610" t="s">
        <v>3208</v>
      </c>
      <c r="C1610" t="s">
        <v>3222</v>
      </c>
      <c r="D1610" t="s">
        <v>3223</v>
      </c>
    </row>
    <row r="1611" spans="1:4" x14ac:dyDescent="0.3">
      <c r="A1611" t="s">
        <v>3207</v>
      </c>
      <c r="B1611" t="s">
        <v>3208</v>
      </c>
      <c r="C1611" t="s">
        <v>3234</v>
      </c>
      <c r="D1611" t="s">
        <v>3235</v>
      </c>
    </row>
    <row r="1612" spans="1:4" x14ac:dyDescent="0.3">
      <c r="A1612" t="s">
        <v>3207</v>
      </c>
      <c r="B1612" t="s">
        <v>3208</v>
      </c>
      <c r="C1612" t="s">
        <v>3228</v>
      </c>
      <c r="D1612" t="s">
        <v>3229</v>
      </c>
    </row>
    <row r="1613" spans="1:4" x14ac:dyDescent="0.3">
      <c r="A1613" t="s">
        <v>3207</v>
      </c>
      <c r="B1613" t="s">
        <v>3208</v>
      </c>
      <c r="C1613" t="s">
        <v>3232</v>
      </c>
      <c r="D1613" t="s">
        <v>3233</v>
      </c>
    </row>
    <row r="1614" spans="1:4" x14ac:dyDescent="0.3">
      <c r="A1614" t="s">
        <v>3207</v>
      </c>
      <c r="B1614" t="s">
        <v>3208</v>
      </c>
      <c r="C1614" t="s">
        <v>3240</v>
      </c>
      <c r="D1614" t="s">
        <v>3241</v>
      </c>
    </row>
    <row r="1615" spans="1:4" x14ac:dyDescent="0.3">
      <c r="A1615" t="s">
        <v>3207</v>
      </c>
      <c r="B1615" t="s">
        <v>3208</v>
      </c>
      <c r="C1615" t="s">
        <v>3246</v>
      </c>
      <c r="D1615" t="s">
        <v>3247</v>
      </c>
    </row>
    <row r="1616" spans="1:4" x14ac:dyDescent="0.3">
      <c r="A1616" t="s">
        <v>3207</v>
      </c>
      <c r="B1616" t="s">
        <v>3208</v>
      </c>
      <c r="C1616" t="s">
        <v>3244</v>
      </c>
      <c r="D1616" t="s">
        <v>3245</v>
      </c>
    </row>
    <row r="1617" spans="1:4" x14ac:dyDescent="0.3">
      <c r="A1617" t="s">
        <v>3207</v>
      </c>
      <c r="B1617" t="s">
        <v>3208</v>
      </c>
      <c r="C1617" t="s">
        <v>3218</v>
      </c>
      <c r="D1617" t="s">
        <v>3219</v>
      </c>
    </row>
    <row r="1618" spans="1:4" x14ac:dyDescent="0.3">
      <c r="A1618" t="s">
        <v>3207</v>
      </c>
      <c r="B1618" t="s">
        <v>3208</v>
      </c>
      <c r="C1618" t="s">
        <v>3230</v>
      </c>
      <c r="D1618" t="s">
        <v>3231</v>
      </c>
    </row>
    <row r="1619" spans="1:4" x14ac:dyDescent="0.3">
      <c r="A1619" t="s">
        <v>3207</v>
      </c>
      <c r="B1619" t="s">
        <v>3208</v>
      </c>
      <c r="C1619" t="s">
        <v>3209</v>
      </c>
      <c r="D1619" t="s">
        <v>3210</v>
      </c>
    </row>
    <row r="1620" spans="1:4" x14ac:dyDescent="0.3">
      <c r="A1620" t="s">
        <v>3207</v>
      </c>
      <c r="B1620" t="s">
        <v>3208</v>
      </c>
      <c r="C1620" t="s">
        <v>3236</v>
      </c>
      <c r="D1620" t="s">
        <v>3237</v>
      </c>
    </row>
    <row r="1621" spans="1:4" x14ac:dyDescent="0.3">
      <c r="A1621" t="s">
        <v>3250</v>
      </c>
      <c r="B1621" t="s">
        <v>3251</v>
      </c>
      <c r="C1621" t="s">
        <v>3290</v>
      </c>
      <c r="D1621" t="s">
        <v>3291</v>
      </c>
    </row>
    <row r="1622" spans="1:4" x14ac:dyDescent="0.3">
      <c r="A1622" t="s">
        <v>3250</v>
      </c>
      <c r="B1622" t="s">
        <v>3251</v>
      </c>
      <c r="C1622" t="s">
        <v>3292</v>
      </c>
      <c r="D1622" t="s">
        <v>3293</v>
      </c>
    </row>
    <row r="1623" spans="1:4" x14ac:dyDescent="0.3">
      <c r="A1623" t="s">
        <v>3250</v>
      </c>
      <c r="B1623" t="s">
        <v>3251</v>
      </c>
      <c r="C1623" t="s">
        <v>3268</v>
      </c>
      <c r="D1623" t="s">
        <v>3269</v>
      </c>
    </row>
    <row r="1624" spans="1:4" x14ac:dyDescent="0.3">
      <c r="A1624" t="s">
        <v>3250</v>
      </c>
      <c r="B1624" t="s">
        <v>3251</v>
      </c>
      <c r="C1624" t="s">
        <v>3284</v>
      </c>
      <c r="D1624" t="s">
        <v>3285</v>
      </c>
    </row>
    <row r="1625" spans="1:4" x14ac:dyDescent="0.3">
      <c r="A1625" t="s">
        <v>3250</v>
      </c>
      <c r="B1625" t="s">
        <v>3251</v>
      </c>
      <c r="C1625" t="s">
        <v>3256</v>
      </c>
      <c r="D1625" t="s">
        <v>3257</v>
      </c>
    </row>
    <row r="1626" spans="1:4" x14ac:dyDescent="0.3">
      <c r="A1626" t="s">
        <v>3250</v>
      </c>
      <c r="B1626" t="s">
        <v>3251</v>
      </c>
      <c r="C1626" t="s">
        <v>3254</v>
      </c>
      <c r="D1626" t="s">
        <v>3255</v>
      </c>
    </row>
    <row r="1627" spans="1:4" x14ac:dyDescent="0.3">
      <c r="A1627" t="s">
        <v>3250</v>
      </c>
      <c r="B1627" t="s">
        <v>3251</v>
      </c>
      <c r="C1627" t="s">
        <v>3258</v>
      </c>
      <c r="D1627" t="s">
        <v>3259</v>
      </c>
    </row>
    <row r="1628" spans="1:4" x14ac:dyDescent="0.3">
      <c r="A1628" t="s">
        <v>3250</v>
      </c>
      <c r="B1628" t="s">
        <v>3251</v>
      </c>
      <c r="C1628" t="s">
        <v>3276</v>
      </c>
      <c r="D1628" t="s">
        <v>3277</v>
      </c>
    </row>
    <row r="1629" spans="1:4" x14ac:dyDescent="0.3">
      <c r="A1629" t="s">
        <v>3250</v>
      </c>
      <c r="B1629" t="s">
        <v>3251</v>
      </c>
      <c r="C1629" t="s">
        <v>3280</v>
      </c>
      <c r="D1629" t="s">
        <v>3281</v>
      </c>
    </row>
    <row r="1630" spans="1:4" x14ac:dyDescent="0.3">
      <c r="A1630" t="s">
        <v>3250</v>
      </c>
      <c r="B1630" t="s">
        <v>3251</v>
      </c>
      <c r="C1630" t="s">
        <v>3288</v>
      </c>
      <c r="D1630" t="s">
        <v>3289</v>
      </c>
    </row>
    <row r="1631" spans="1:4" x14ac:dyDescent="0.3">
      <c r="A1631" t="s">
        <v>3250</v>
      </c>
      <c r="B1631" t="s">
        <v>3251</v>
      </c>
      <c r="C1631" t="s">
        <v>3307</v>
      </c>
      <c r="D1631" t="s">
        <v>3308</v>
      </c>
    </row>
    <row r="1632" spans="1:4" x14ac:dyDescent="0.3">
      <c r="A1632" t="s">
        <v>3250</v>
      </c>
      <c r="B1632" t="s">
        <v>3251</v>
      </c>
      <c r="C1632" t="s">
        <v>3314</v>
      </c>
      <c r="D1632" t="s">
        <v>3315</v>
      </c>
    </row>
    <row r="1633" spans="1:4" x14ac:dyDescent="0.3">
      <c r="A1633" t="s">
        <v>3250</v>
      </c>
      <c r="B1633" t="s">
        <v>3251</v>
      </c>
      <c r="C1633" t="s">
        <v>3282</v>
      </c>
      <c r="D1633" t="s">
        <v>3283</v>
      </c>
    </row>
    <row r="1634" spans="1:4" x14ac:dyDescent="0.3">
      <c r="A1634" t="s">
        <v>3250</v>
      </c>
      <c r="B1634" t="s">
        <v>3251</v>
      </c>
      <c r="C1634" t="s">
        <v>3301</v>
      </c>
      <c r="D1634" t="s">
        <v>3302</v>
      </c>
    </row>
    <row r="1635" spans="1:4" x14ac:dyDescent="0.3">
      <c r="A1635" t="s">
        <v>3250</v>
      </c>
      <c r="B1635" t="s">
        <v>3251</v>
      </c>
      <c r="C1635" t="s">
        <v>3316</v>
      </c>
      <c r="D1635" t="s">
        <v>3317</v>
      </c>
    </row>
    <row r="1636" spans="1:4" x14ac:dyDescent="0.3">
      <c r="A1636" t="s">
        <v>3250</v>
      </c>
      <c r="B1636" t="s">
        <v>3251</v>
      </c>
      <c r="C1636" t="s">
        <v>3286</v>
      </c>
      <c r="D1636" t="s">
        <v>3287</v>
      </c>
    </row>
    <row r="1637" spans="1:4" x14ac:dyDescent="0.3">
      <c r="A1637" t="s">
        <v>3250</v>
      </c>
      <c r="B1637" t="s">
        <v>3251</v>
      </c>
      <c r="C1637" t="s">
        <v>3278</v>
      </c>
      <c r="D1637" t="s">
        <v>3279</v>
      </c>
    </row>
    <row r="1638" spans="1:4" x14ac:dyDescent="0.3">
      <c r="A1638" t="s">
        <v>3250</v>
      </c>
      <c r="B1638" t="s">
        <v>3251</v>
      </c>
      <c r="C1638" t="s">
        <v>2766</v>
      </c>
      <c r="D1638" t="s">
        <v>3298</v>
      </c>
    </row>
    <row r="1639" spans="1:4" x14ac:dyDescent="0.3">
      <c r="A1639" t="s">
        <v>3250</v>
      </c>
      <c r="B1639" t="s">
        <v>3251</v>
      </c>
      <c r="C1639" t="s">
        <v>3296</v>
      </c>
      <c r="D1639" t="s">
        <v>3297</v>
      </c>
    </row>
    <row r="1640" spans="1:4" x14ac:dyDescent="0.3">
      <c r="A1640" t="s">
        <v>3250</v>
      </c>
      <c r="B1640" t="s">
        <v>3251</v>
      </c>
      <c r="C1640" t="s">
        <v>3299</v>
      </c>
      <c r="D1640" t="s">
        <v>3300</v>
      </c>
    </row>
    <row r="1641" spans="1:4" x14ac:dyDescent="0.3">
      <c r="A1641" t="s">
        <v>3250</v>
      </c>
      <c r="B1641" t="s">
        <v>3251</v>
      </c>
      <c r="C1641" t="s">
        <v>3270</v>
      </c>
      <c r="D1641" t="s">
        <v>3271</v>
      </c>
    </row>
    <row r="1642" spans="1:4" x14ac:dyDescent="0.3">
      <c r="A1642" t="s">
        <v>3250</v>
      </c>
      <c r="B1642" t="s">
        <v>3251</v>
      </c>
      <c r="C1642" t="s">
        <v>2945</v>
      </c>
      <c r="D1642" t="s">
        <v>3309</v>
      </c>
    </row>
    <row r="1643" spans="1:4" x14ac:dyDescent="0.3">
      <c r="A1643" t="s">
        <v>3250</v>
      </c>
      <c r="B1643" t="s">
        <v>3251</v>
      </c>
      <c r="C1643" t="s">
        <v>3264</v>
      </c>
      <c r="D1643" t="s">
        <v>3265</v>
      </c>
    </row>
    <row r="1644" spans="1:4" x14ac:dyDescent="0.3">
      <c r="A1644" t="s">
        <v>3250</v>
      </c>
      <c r="B1644" t="s">
        <v>3251</v>
      </c>
      <c r="C1644" t="s">
        <v>3274</v>
      </c>
      <c r="D1644" t="s">
        <v>3275</v>
      </c>
    </row>
    <row r="1645" spans="1:4" x14ac:dyDescent="0.3">
      <c r="A1645" t="s">
        <v>3250</v>
      </c>
      <c r="B1645" t="s">
        <v>3251</v>
      </c>
      <c r="C1645" t="s">
        <v>3303</v>
      </c>
      <c r="D1645" t="s">
        <v>3304</v>
      </c>
    </row>
    <row r="1646" spans="1:4" x14ac:dyDescent="0.3">
      <c r="A1646" t="s">
        <v>3250</v>
      </c>
      <c r="B1646" t="s">
        <v>3251</v>
      </c>
      <c r="C1646" t="s">
        <v>3305</v>
      </c>
      <c r="D1646" t="s">
        <v>3306</v>
      </c>
    </row>
    <row r="1647" spans="1:4" x14ac:dyDescent="0.3">
      <c r="A1647" t="s">
        <v>3250</v>
      </c>
      <c r="B1647" t="s">
        <v>3251</v>
      </c>
      <c r="C1647" t="s">
        <v>3312</v>
      </c>
      <c r="D1647" t="s">
        <v>3313</v>
      </c>
    </row>
    <row r="1648" spans="1:4" x14ac:dyDescent="0.3">
      <c r="A1648" t="s">
        <v>3250</v>
      </c>
      <c r="B1648" t="s">
        <v>3251</v>
      </c>
      <c r="C1648" t="s">
        <v>3260</v>
      </c>
      <c r="D1648" t="s">
        <v>3261</v>
      </c>
    </row>
    <row r="1649" spans="1:4" x14ac:dyDescent="0.3">
      <c r="A1649" t="s">
        <v>3250</v>
      </c>
      <c r="B1649" t="s">
        <v>3251</v>
      </c>
      <c r="C1649" t="s">
        <v>3266</v>
      </c>
      <c r="D1649" t="s">
        <v>3267</v>
      </c>
    </row>
    <row r="1650" spans="1:4" x14ac:dyDescent="0.3">
      <c r="A1650" t="s">
        <v>3250</v>
      </c>
      <c r="B1650" t="s">
        <v>3251</v>
      </c>
      <c r="C1650" t="s">
        <v>3262</v>
      </c>
      <c r="D1650" t="s">
        <v>3263</v>
      </c>
    </row>
    <row r="1651" spans="1:4" x14ac:dyDescent="0.3">
      <c r="A1651" t="s">
        <v>3250</v>
      </c>
      <c r="B1651" t="s">
        <v>3251</v>
      </c>
      <c r="C1651" t="s">
        <v>3272</v>
      </c>
      <c r="D1651" t="s">
        <v>3273</v>
      </c>
    </row>
    <row r="1652" spans="1:4" x14ac:dyDescent="0.3">
      <c r="A1652" t="s">
        <v>3250</v>
      </c>
      <c r="B1652" t="s">
        <v>3251</v>
      </c>
      <c r="C1652" t="s">
        <v>3318</v>
      </c>
      <c r="D1652" t="s">
        <v>3319</v>
      </c>
    </row>
    <row r="1653" spans="1:4" x14ac:dyDescent="0.3">
      <c r="A1653" t="s">
        <v>3250</v>
      </c>
      <c r="B1653" t="s">
        <v>3251</v>
      </c>
      <c r="C1653" t="s">
        <v>3310</v>
      </c>
      <c r="D1653" t="s">
        <v>3311</v>
      </c>
    </row>
    <row r="1654" spans="1:4" x14ac:dyDescent="0.3">
      <c r="A1654" t="s">
        <v>3250</v>
      </c>
      <c r="B1654" t="s">
        <v>3251</v>
      </c>
      <c r="C1654" t="s">
        <v>3294</v>
      </c>
      <c r="D1654" t="s">
        <v>3295</v>
      </c>
    </row>
    <row r="1655" spans="1:4" x14ac:dyDescent="0.3">
      <c r="A1655" t="s">
        <v>3250</v>
      </c>
      <c r="B1655" t="s">
        <v>3251</v>
      </c>
      <c r="C1655" t="s">
        <v>3252</v>
      </c>
      <c r="D1655" t="s">
        <v>3253</v>
      </c>
    </row>
    <row r="1656" spans="1:4" x14ac:dyDescent="0.3">
      <c r="A1656" t="s">
        <v>3320</v>
      </c>
      <c r="B1656" t="s">
        <v>3321</v>
      </c>
      <c r="C1656" t="s">
        <v>3357</v>
      </c>
      <c r="D1656" t="s">
        <v>3358</v>
      </c>
    </row>
    <row r="1657" spans="1:4" x14ac:dyDescent="0.3">
      <c r="A1657" t="s">
        <v>3320</v>
      </c>
      <c r="B1657" t="s">
        <v>3321</v>
      </c>
      <c r="C1657" t="s">
        <v>3322</v>
      </c>
      <c r="D1657" t="s">
        <v>3323</v>
      </c>
    </row>
    <row r="1658" spans="1:4" x14ac:dyDescent="0.3">
      <c r="A1658" t="s">
        <v>3320</v>
      </c>
      <c r="B1658" t="s">
        <v>3321</v>
      </c>
      <c r="C1658" t="s">
        <v>3353</v>
      </c>
      <c r="D1658" t="s">
        <v>3354</v>
      </c>
    </row>
    <row r="1659" spans="1:4" x14ac:dyDescent="0.3">
      <c r="A1659" t="s">
        <v>3320</v>
      </c>
      <c r="B1659" t="s">
        <v>3321</v>
      </c>
      <c r="C1659" t="s">
        <v>3351</v>
      </c>
      <c r="D1659" t="s">
        <v>3352</v>
      </c>
    </row>
    <row r="1660" spans="1:4" x14ac:dyDescent="0.3">
      <c r="A1660" t="s">
        <v>3320</v>
      </c>
      <c r="B1660" t="s">
        <v>3321</v>
      </c>
      <c r="C1660" t="s">
        <v>3324</v>
      </c>
      <c r="D1660" t="s">
        <v>3325</v>
      </c>
    </row>
    <row r="1661" spans="1:4" x14ac:dyDescent="0.3">
      <c r="A1661" t="s">
        <v>3320</v>
      </c>
      <c r="B1661" t="s">
        <v>3321</v>
      </c>
      <c r="C1661" t="s">
        <v>3326</v>
      </c>
      <c r="D1661" t="s">
        <v>3327</v>
      </c>
    </row>
    <row r="1662" spans="1:4" x14ac:dyDescent="0.3">
      <c r="A1662" t="s">
        <v>3320</v>
      </c>
      <c r="B1662" t="s">
        <v>3321</v>
      </c>
      <c r="C1662" t="s">
        <v>3156</v>
      </c>
      <c r="D1662" t="s">
        <v>3332</v>
      </c>
    </row>
    <row r="1663" spans="1:4" x14ac:dyDescent="0.3">
      <c r="A1663" t="s">
        <v>3320</v>
      </c>
      <c r="B1663" t="s">
        <v>3321</v>
      </c>
      <c r="C1663" t="s">
        <v>3335</v>
      </c>
      <c r="D1663" t="s">
        <v>3336</v>
      </c>
    </row>
    <row r="1664" spans="1:4" x14ac:dyDescent="0.3">
      <c r="A1664" t="s">
        <v>3320</v>
      </c>
      <c r="B1664" t="s">
        <v>3321</v>
      </c>
      <c r="C1664" t="s">
        <v>3337</v>
      </c>
      <c r="D1664" t="s">
        <v>3338</v>
      </c>
    </row>
    <row r="1665" spans="1:4" x14ac:dyDescent="0.3">
      <c r="A1665" t="s">
        <v>3320</v>
      </c>
      <c r="B1665" t="s">
        <v>3321</v>
      </c>
      <c r="C1665" t="s">
        <v>3328</v>
      </c>
      <c r="D1665" t="s">
        <v>3329</v>
      </c>
    </row>
    <row r="1666" spans="1:4" x14ac:dyDescent="0.3">
      <c r="A1666" t="s">
        <v>3320</v>
      </c>
      <c r="B1666" t="s">
        <v>3321</v>
      </c>
      <c r="C1666" t="s">
        <v>3349</v>
      </c>
      <c r="D1666" t="s">
        <v>3350</v>
      </c>
    </row>
    <row r="1667" spans="1:4" x14ac:dyDescent="0.3">
      <c r="A1667" t="s">
        <v>3320</v>
      </c>
      <c r="B1667" t="s">
        <v>3321</v>
      </c>
      <c r="C1667" t="s">
        <v>3347</v>
      </c>
      <c r="D1667" t="s">
        <v>3348</v>
      </c>
    </row>
    <row r="1668" spans="1:4" x14ac:dyDescent="0.3">
      <c r="A1668" t="s">
        <v>3320</v>
      </c>
      <c r="B1668" t="s">
        <v>3321</v>
      </c>
      <c r="C1668" t="s">
        <v>3330</v>
      </c>
      <c r="D1668" t="s">
        <v>3331</v>
      </c>
    </row>
    <row r="1669" spans="1:4" x14ac:dyDescent="0.3">
      <c r="A1669" t="s">
        <v>3320</v>
      </c>
      <c r="B1669" t="s">
        <v>3321</v>
      </c>
      <c r="C1669" t="s">
        <v>3333</v>
      </c>
      <c r="D1669" t="s">
        <v>3334</v>
      </c>
    </row>
    <row r="1670" spans="1:4" x14ac:dyDescent="0.3">
      <c r="A1670" t="s">
        <v>3320</v>
      </c>
      <c r="B1670" t="s">
        <v>3321</v>
      </c>
      <c r="C1670" t="s">
        <v>3339</v>
      </c>
      <c r="D1670" t="s">
        <v>3340</v>
      </c>
    </row>
    <row r="1671" spans="1:4" x14ac:dyDescent="0.3">
      <c r="A1671" t="s">
        <v>3320</v>
      </c>
      <c r="B1671" t="s">
        <v>3321</v>
      </c>
      <c r="C1671" t="s">
        <v>3343</v>
      </c>
      <c r="D1671" t="s">
        <v>3344</v>
      </c>
    </row>
    <row r="1672" spans="1:4" x14ac:dyDescent="0.3">
      <c r="A1672" t="s">
        <v>3320</v>
      </c>
      <c r="B1672" t="s">
        <v>3321</v>
      </c>
      <c r="C1672" t="s">
        <v>3355</v>
      </c>
      <c r="D1672" t="s">
        <v>3356</v>
      </c>
    </row>
    <row r="1673" spans="1:4" x14ac:dyDescent="0.3">
      <c r="A1673" t="s">
        <v>3320</v>
      </c>
      <c r="B1673" t="s">
        <v>3321</v>
      </c>
      <c r="C1673" t="s">
        <v>3341</v>
      </c>
      <c r="D1673" t="s">
        <v>3342</v>
      </c>
    </row>
    <row r="1674" spans="1:4" x14ac:dyDescent="0.3">
      <c r="A1674" t="s">
        <v>3320</v>
      </c>
      <c r="B1674" t="s">
        <v>3321</v>
      </c>
      <c r="C1674" t="s">
        <v>3345</v>
      </c>
      <c r="D1674" t="s">
        <v>3346</v>
      </c>
    </row>
    <row r="1675" spans="1:4" x14ac:dyDescent="0.3">
      <c r="A1675" t="s">
        <v>3286</v>
      </c>
      <c r="B1675" t="s">
        <v>3359</v>
      </c>
      <c r="C1675" t="s">
        <v>3390</v>
      </c>
      <c r="D1675" t="s">
        <v>3391</v>
      </c>
    </row>
    <row r="1676" spans="1:4" x14ac:dyDescent="0.3">
      <c r="A1676" t="s">
        <v>3286</v>
      </c>
      <c r="B1676" t="s">
        <v>3359</v>
      </c>
      <c r="C1676" t="s">
        <v>3386</v>
      </c>
      <c r="D1676" t="s">
        <v>3387</v>
      </c>
    </row>
    <row r="1677" spans="1:4" x14ac:dyDescent="0.3">
      <c r="A1677" t="s">
        <v>3286</v>
      </c>
      <c r="B1677" t="s">
        <v>3359</v>
      </c>
      <c r="C1677" t="s">
        <v>3370</v>
      </c>
      <c r="D1677" t="s">
        <v>3371</v>
      </c>
    </row>
    <row r="1678" spans="1:4" x14ac:dyDescent="0.3">
      <c r="A1678" t="s">
        <v>3286</v>
      </c>
      <c r="B1678" t="s">
        <v>3359</v>
      </c>
      <c r="C1678" t="s">
        <v>3388</v>
      </c>
      <c r="D1678" t="s">
        <v>3389</v>
      </c>
    </row>
    <row r="1679" spans="1:4" x14ac:dyDescent="0.3">
      <c r="A1679" t="s">
        <v>3286</v>
      </c>
      <c r="B1679" t="s">
        <v>3359</v>
      </c>
      <c r="C1679" t="s">
        <v>3360</v>
      </c>
      <c r="D1679" t="s">
        <v>3361</v>
      </c>
    </row>
    <row r="1680" spans="1:4" x14ac:dyDescent="0.3">
      <c r="A1680" t="s">
        <v>3286</v>
      </c>
      <c r="B1680" t="s">
        <v>3359</v>
      </c>
      <c r="C1680" t="s">
        <v>4211</v>
      </c>
      <c r="D1680" t="s">
        <v>4212</v>
      </c>
    </row>
    <row r="1681" spans="1:4" x14ac:dyDescent="0.3">
      <c r="A1681" t="s">
        <v>3286</v>
      </c>
      <c r="B1681" t="s">
        <v>3359</v>
      </c>
      <c r="C1681" t="s">
        <v>4213</v>
      </c>
      <c r="D1681" t="s">
        <v>4214</v>
      </c>
    </row>
    <row r="1682" spans="1:4" x14ac:dyDescent="0.3">
      <c r="A1682" t="s">
        <v>3286</v>
      </c>
      <c r="B1682" t="s">
        <v>3359</v>
      </c>
      <c r="C1682" t="s">
        <v>4215</v>
      </c>
      <c r="D1682" t="s">
        <v>4216</v>
      </c>
    </row>
    <row r="1683" spans="1:4" x14ac:dyDescent="0.3">
      <c r="A1683" t="s">
        <v>3286</v>
      </c>
      <c r="B1683" t="s">
        <v>3359</v>
      </c>
      <c r="C1683" t="s">
        <v>4217</v>
      </c>
      <c r="D1683" t="s">
        <v>4218</v>
      </c>
    </row>
    <row r="1684" spans="1:4" x14ac:dyDescent="0.3">
      <c r="A1684" t="s">
        <v>3286</v>
      </c>
      <c r="B1684" t="s">
        <v>3359</v>
      </c>
      <c r="C1684" t="s">
        <v>3362</v>
      </c>
      <c r="D1684" t="s">
        <v>3363</v>
      </c>
    </row>
    <row r="1685" spans="1:4" x14ac:dyDescent="0.3">
      <c r="A1685" t="s">
        <v>3286</v>
      </c>
      <c r="B1685" t="s">
        <v>3359</v>
      </c>
      <c r="C1685" t="s">
        <v>3372</v>
      </c>
      <c r="D1685" t="s">
        <v>3373</v>
      </c>
    </row>
    <row r="1686" spans="1:4" x14ac:dyDescent="0.3">
      <c r="A1686" t="s">
        <v>3286</v>
      </c>
      <c r="B1686" t="s">
        <v>3359</v>
      </c>
      <c r="C1686" t="s">
        <v>3398</v>
      </c>
      <c r="D1686" t="s">
        <v>3399</v>
      </c>
    </row>
    <row r="1687" spans="1:4" x14ac:dyDescent="0.3">
      <c r="A1687" t="s">
        <v>3286</v>
      </c>
      <c r="B1687" t="s">
        <v>3359</v>
      </c>
      <c r="C1687" t="s">
        <v>3396</v>
      </c>
      <c r="D1687" t="s">
        <v>3397</v>
      </c>
    </row>
    <row r="1688" spans="1:4" x14ac:dyDescent="0.3">
      <c r="A1688" t="s">
        <v>3286</v>
      </c>
      <c r="B1688" t="s">
        <v>3359</v>
      </c>
      <c r="C1688" t="s">
        <v>3380</v>
      </c>
      <c r="D1688" t="s">
        <v>3381</v>
      </c>
    </row>
    <row r="1689" spans="1:4" x14ac:dyDescent="0.3">
      <c r="A1689" t="s">
        <v>3286</v>
      </c>
      <c r="B1689" t="s">
        <v>3359</v>
      </c>
      <c r="C1689" t="s">
        <v>3376</v>
      </c>
      <c r="D1689" t="s">
        <v>3377</v>
      </c>
    </row>
    <row r="1690" spans="1:4" x14ac:dyDescent="0.3">
      <c r="A1690" t="s">
        <v>3286</v>
      </c>
      <c r="B1690" t="s">
        <v>3359</v>
      </c>
      <c r="C1690" t="s">
        <v>3384</v>
      </c>
      <c r="D1690" t="s">
        <v>3385</v>
      </c>
    </row>
    <row r="1691" spans="1:4" x14ac:dyDescent="0.3">
      <c r="A1691" t="s">
        <v>3286</v>
      </c>
      <c r="B1691" t="s">
        <v>3359</v>
      </c>
      <c r="C1691" t="s">
        <v>3392</v>
      </c>
      <c r="D1691" t="s">
        <v>3393</v>
      </c>
    </row>
    <row r="1692" spans="1:4" x14ac:dyDescent="0.3">
      <c r="A1692" t="s">
        <v>3286</v>
      </c>
      <c r="B1692" t="s">
        <v>3359</v>
      </c>
      <c r="C1692" t="s">
        <v>3394</v>
      </c>
      <c r="D1692" t="s">
        <v>3395</v>
      </c>
    </row>
    <row r="1693" spans="1:4" x14ac:dyDescent="0.3">
      <c r="A1693" t="s">
        <v>3286</v>
      </c>
      <c r="B1693" t="s">
        <v>3359</v>
      </c>
      <c r="C1693" t="s">
        <v>3374</v>
      </c>
      <c r="D1693" t="s">
        <v>3375</v>
      </c>
    </row>
    <row r="1694" spans="1:4" x14ac:dyDescent="0.3">
      <c r="A1694" t="s">
        <v>3286</v>
      </c>
      <c r="B1694" t="s">
        <v>3359</v>
      </c>
      <c r="C1694" t="s">
        <v>3368</v>
      </c>
      <c r="D1694" t="s">
        <v>3369</v>
      </c>
    </row>
    <row r="1695" spans="1:4" x14ac:dyDescent="0.3">
      <c r="A1695" t="s">
        <v>3286</v>
      </c>
      <c r="B1695" t="s">
        <v>3359</v>
      </c>
      <c r="C1695" t="s">
        <v>3366</v>
      </c>
      <c r="D1695" t="s">
        <v>3367</v>
      </c>
    </row>
    <row r="1696" spans="1:4" x14ac:dyDescent="0.3">
      <c r="A1696" t="s">
        <v>3286</v>
      </c>
      <c r="B1696" t="s">
        <v>3359</v>
      </c>
      <c r="C1696" t="s">
        <v>3400</v>
      </c>
      <c r="D1696" t="s">
        <v>1914</v>
      </c>
    </row>
    <row r="1697" spans="1:4" x14ac:dyDescent="0.3">
      <c r="A1697" t="s">
        <v>3286</v>
      </c>
      <c r="B1697" t="s">
        <v>3359</v>
      </c>
      <c r="C1697" t="s">
        <v>3378</v>
      </c>
      <c r="D1697" t="s">
        <v>3379</v>
      </c>
    </row>
    <row r="1698" spans="1:4" x14ac:dyDescent="0.3">
      <c r="A1698" t="s">
        <v>3286</v>
      </c>
      <c r="B1698" t="s">
        <v>3359</v>
      </c>
      <c r="C1698" t="s">
        <v>3364</v>
      </c>
      <c r="D1698" t="s">
        <v>3365</v>
      </c>
    </row>
    <row r="1699" spans="1:4" x14ac:dyDescent="0.3">
      <c r="A1699" t="s">
        <v>3286</v>
      </c>
      <c r="B1699" t="s">
        <v>3359</v>
      </c>
      <c r="C1699" t="s">
        <v>3382</v>
      </c>
      <c r="D1699" t="s">
        <v>3383</v>
      </c>
    </row>
    <row r="1700" spans="1:4" x14ac:dyDescent="0.3">
      <c r="A1700" t="s">
        <v>3401</v>
      </c>
      <c r="B1700" t="s">
        <v>3402</v>
      </c>
      <c r="C1700" t="s">
        <v>3469</v>
      </c>
      <c r="D1700" t="s">
        <v>3470</v>
      </c>
    </row>
    <row r="1701" spans="1:4" x14ac:dyDescent="0.3">
      <c r="A1701" t="s">
        <v>3401</v>
      </c>
      <c r="B1701" t="s">
        <v>3402</v>
      </c>
      <c r="C1701" t="s">
        <v>3407</v>
      </c>
      <c r="D1701" t="s">
        <v>4219</v>
      </c>
    </row>
    <row r="1702" spans="1:4" x14ac:dyDescent="0.3">
      <c r="A1702" t="s">
        <v>3401</v>
      </c>
      <c r="B1702" t="s">
        <v>3402</v>
      </c>
      <c r="C1702" t="s">
        <v>3454</v>
      </c>
      <c r="D1702" t="s">
        <v>3455</v>
      </c>
    </row>
    <row r="1703" spans="1:4" x14ac:dyDescent="0.3">
      <c r="A1703" t="s">
        <v>3401</v>
      </c>
      <c r="B1703" t="s">
        <v>3402</v>
      </c>
      <c r="C1703" t="s">
        <v>3418</v>
      </c>
      <c r="D1703" t="s">
        <v>3419</v>
      </c>
    </row>
    <row r="1704" spans="1:4" x14ac:dyDescent="0.3">
      <c r="A1704" t="s">
        <v>3401</v>
      </c>
      <c r="B1704" t="s">
        <v>3402</v>
      </c>
      <c r="C1704" t="s">
        <v>3434</v>
      </c>
      <c r="D1704" t="s">
        <v>3435</v>
      </c>
    </row>
    <row r="1705" spans="1:4" x14ac:dyDescent="0.3">
      <c r="A1705" t="s">
        <v>3401</v>
      </c>
      <c r="B1705" t="s">
        <v>3402</v>
      </c>
      <c r="C1705" t="s">
        <v>3460</v>
      </c>
      <c r="D1705" t="s">
        <v>4220</v>
      </c>
    </row>
    <row r="1706" spans="1:4" x14ac:dyDescent="0.3">
      <c r="A1706" t="s">
        <v>3401</v>
      </c>
      <c r="B1706" t="s">
        <v>3402</v>
      </c>
      <c r="C1706" t="s">
        <v>3446</v>
      </c>
      <c r="D1706" t="s">
        <v>3447</v>
      </c>
    </row>
    <row r="1707" spans="1:4" x14ac:dyDescent="0.3">
      <c r="A1707" t="s">
        <v>3401</v>
      </c>
      <c r="B1707" t="s">
        <v>3402</v>
      </c>
      <c r="C1707" t="s">
        <v>3405</v>
      </c>
      <c r="D1707" t="s">
        <v>3406</v>
      </c>
    </row>
    <row r="1708" spans="1:4" x14ac:dyDescent="0.3">
      <c r="A1708" t="s">
        <v>3401</v>
      </c>
      <c r="B1708" t="s">
        <v>3402</v>
      </c>
      <c r="C1708" t="s">
        <v>4221</v>
      </c>
      <c r="D1708" t="s">
        <v>4222</v>
      </c>
    </row>
    <row r="1709" spans="1:4" x14ac:dyDescent="0.3">
      <c r="A1709" t="s">
        <v>3401</v>
      </c>
      <c r="B1709" t="s">
        <v>3402</v>
      </c>
      <c r="C1709" t="s">
        <v>3477</v>
      </c>
      <c r="D1709" t="s">
        <v>3478</v>
      </c>
    </row>
    <row r="1710" spans="1:4" x14ac:dyDescent="0.3">
      <c r="A1710" t="s">
        <v>3401</v>
      </c>
      <c r="B1710" t="s">
        <v>3402</v>
      </c>
      <c r="C1710" t="s">
        <v>3467</v>
      </c>
      <c r="D1710" t="s">
        <v>3468</v>
      </c>
    </row>
    <row r="1711" spans="1:4" x14ac:dyDescent="0.3">
      <c r="A1711" t="s">
        <v>3401</v>
      </c>
      <c r="B1711" t="s">
        <v>3402</v>
      </c>
      <c r="C1711" t="s">
        <v>3412</v>
      </c>
      <c r="D1711" t="s">
        <v>3413</v>
      </c>
    </row>
    <row r="1712" spans="1:4" x14ac:dyDescent="0.3">
      <c r="A1712" t="s">
        <v>3401</v>
      </c>
      <c r="B1712" t="s">
        <v>3402</v>
      </c>
      <c r="C1712" t="s">
        <v>3436</v>
      </c>
      <c r="D1712" t="s">
        <v>3437</v>
      </c>
    </row>
    <row r="1713" spans="1:4" x14ac:dyDescent="0.3">
      <c r="A1713" t="s">
        <v>3401</v>
      </c>
      <c r="B1713" t="s">
        <v>3402</v>
      </c>
      <c r="C1713" t="s">
        <v>3471</v>
      </c>
      <c r="D1713" t="s">
        <v>3472</v>
      </c>
    </row>
    <row r="1714" spans="1:4" x14ac:dyDescent="0.3">
      <c r="A1714" t="s">
        <v>3401</v>
      </c>
      <c r="B1714" t="s">
        <v>3402</v>
      </c>
      <c r="C1714" t="s">
        <v>3438</v>
      </c>
      <c r="D1714" t="s">
        <v>3439</v>
      </c>
    </row>
    <row r="1715" spans="1:4" x14ac:dyDescent="0.3">
      <c r="A1715" t="s">
        <v>3401</v>
      </c>
      <c r="B1715" t="s">
        <v>3402</v>
      </c>
      <c r="C1715" t="s">
        <v>3403</v>
      </c>
      <c r="D1715" t="s">
        <v>3404</v>
      </c>
    </row>
    <row r="1716" spans="1:4" x14ac:dyDescent="0.3">
      <c r="A1716" t="s">
        <v>3401</v>
      </c>
      <c r="B1716" t="s">
        <v>3402</v>
      </c>
      <c r="C1716" t="s">
        <v>3450</v>
      </c>
      <c r="D1716" t="s">
        <v>3451</v>
      </c>
    </row>
    <row r="1717" spans="1:4" x14ac:dyDescent="0.3">
      <c r="A1717" t="s">
        <v>3401</v>
      </c>
      <c r="B1717" t="s">
        <v>3402</v>
      </c>
      <c r="C1717" t="s">
        <v>3420</v>
      </c>
      <c r="D1717" t="s">
        <v>3421</v>
      </c>
    </row>
    <row r="1718" spans="1:4" x14ac:dyDescent="0.3">
      <c r="A1718" t="s">
        <v>3401</v>
      </c>
      <c r="B1718" t="s">
        <v>3402</v>
      </c>
      <c r="C1718" t="s">
        <v>3426</v>
      </c>
      <c r="D1718" t="s">
        <v>3427</v>
      </c>
    </row>
    <row r="1719" spans="1:4" x14ac:dyDescent="0.3">
      <c r="A1719" t="s">
        <v>3401</v>
      </c>
      <c r="B1719" t="s">
        <v>3402</v>
      </c>
      <c r="C1719" t="s">
        <v>3461</v>
      </c>
      <c r="D1719" t="s">
        <v>3462</v>
      </c>
    </row>
    <row r="1720" spans="1:4" x14ac:dyDescent="0.3">
      <c r="A1720" t="s">
        <v>3401</v>
      </c>
      <c r="B1720" t="s">
        <v>3402</v>
      </c>
      <c r="C1720" t="s">
        <v>3465</v>
      </c>
      <c r="D1720" t="s">
        <v>3466</v>
      </c>
    </row>
    <row r="1721" spans="1:4" x14ac:dyDescent="0.3">
      <c r="A1721" t="s">
        <v>3401</v>
      </c>
      <c r="B1721" t="s">
        <v>3402</v>
      </c>
      <c r="C1721" t="s">
        <v>3416</v>
      </c>
      <c r="D1721" t="s">
        <v>3417</v>
      </c>
    </row>
    <row r="1722" spans="1:4" x14ac:dyDescent="0.3">
      <c r="A1722" t="s">
        <v>3401</v>
      </c>
      <c r="B1722" t="s">
        <v>3402</v>
      </c>
      <c r="C1722" t="s">
        <v>3424</v>
      </c>
      <c r="D1722" t="s">
        <v>3425</v>
      </c>
    </row>
    <row r="1723" spans="1:4" x14ac:dyDescent="0.3">
      <c r="A1723" t="s">
        <v>3401</v>
      </c>
      <c r="B1723" t="s">
        <v>3402</v>
      </c>
      <c r="C1723" t="s">
        <v>3458</v>
      </c>
      <c r="D1723" t="s">
        <v>3459</v>
      </c>
    </row>
    <row r="1724" spans="1:4" x14ac:dyDescent="0.3">
      <c r="A1724" t="s">
        <v>3401</v>
      </c>
      <c r="B1724" t="s">
        <v>3402</v>
      </c>
      <c r="C1724" t="s">
        <v>3440</v>
      </c>
      <c r="D1724" t="s">
        <v>3441</v>
      </c>
    </row>
    <row r="1725" spans="1:4" x14ac:dyDescent="0.3">
      <c r="A1725" t="s">
        <v>3401</v>
      </c>
      <c r="B1725" t="s">
        <v>3402</v>
      </c>
      <c r="C1725" t="s">
        <v>3422</v>
      </c>
      <c r="D1725" t="s">
        <v>3423</v>
      </c>
    </row>
    <row r="1726" spans="1:4" x14ac:dyDescent="0.3">
      <c r="A1726" t="s">
        <v>3401</v>
      </c>
      <c r="B1726" t="s">
        <v>3402</v>
      </c>
      <c r="C1726" t="s">
        <v>3430</v>
      </c>
      <c r="D1726" t="s">
        <v>3431</v>
      </c>
    </row>
    <row r="1727" spans="1:4" x14ac:dyDescent="0.3">
      <c r="A1727" t="s">
        <v>3401</v>
      </c>
      <c r="B1727" t="s">
        <v>3402</v>
      </c>
      <c r="C1727" t="s">
        <v>3452</v>
      </c>
      <c r="D1727" t="s">
        <v>3453</v>
      </c>
    </row>
    <row r="1728" spans="1:4" x14ac:dyDescent="0.3">
      <c r="A1728" t="s">
        <v>3401</v>
      </c>
      <c r="B1728" t="s">
        <v>3402</v>
      </c>
      <c r="C1728" t="s">
        <v>3463</v>
      </c>
      <c r="D1728" t="s">
        <v>3464</v>
      </c>
    </row>
    <row r="1729" spans="1:4" x14ac:dyDescent="0.3">
      <c r="A1729" t="s">
        <v>3401</v>
      </c>
      <c r="B1729" t="s">
        <v>3402</v>
      </c>
      <c r="C1729" t="s">
        <v>3408</v>
      </c>
      <c r="D1729" t="s">
        <v>3409</v>
      </c>
    </row>
    <row r="1730" spans="1:4" x14ac:dyDescent="0.3">
      <c r="A1730" t="s">
        <v>3401</v>
      </c>
      <c r="B1730" t="s">
        <v>3402</v>
      </c>
      <c r="C1730" t="s">
        <v>3410</v>
      </c>
      <c r="D1730" t="s">
        <v>3411</v>
      </c>
    </row>
    <row r="1731" spans="1:4" x14ac:dyDescent="0.3">
      <c r="A1731" t="s">
        <v>3401</v>
      </c>
      <c r="B1731" t="s">
        <v>3402</v>
      </c>
      <c r="C1731" t="s">
        <v>3414</v>
      </c>
      <c r="D1731" t="s">
        <v>3415</v>
      </c>
    </row>
    <row r="1732" spans="1:4" x14ac:dyDescent="0.3">
      <c r="A1732" t="s">
        <v>3401</v>
      </c>
      <c r="B1732" t="s">
        <v>3402</v>
      </c>
      <c r="C1732" t="s">
        <v>3456</v>
      </c>
      <c r="D1732" t="s">
        <v>3457</v>
      </c>
    </row>
    <row r="1733" spans="1:4" x14ac:dyDescent="0.3">
      <c r="A1733" t="s">
        <v>3401</v>
      </c>
      <c r="B1733" t="s">
        <v>3402</v>
      </c>
      <c r="C1733" t="s">
        <v>3479</v>
      </c>
      <c r="D1733" t="s">
        <v>3480</v>
      </c>
    </row>
    <row r="1734" spans="1:4" x14ac:dyDescent="0.3">
      <c r="A1734" t="s">
        <v>3401</v>
      </c>
      <c r="B1734" t="s">
        <v>3402</v>
      </c>
      <c r="C1734" t="s">
        <v>3444</v>
      </c>
      <c r="D1734" t="s">
        <v>3445</v>
      </c>
    </row>
    <row r="1735" spans="1:4" x14ac:dyDescent="0.3">
      <c r="A1735" t="s">
        <v>3401</v>
      </c>
      <c r="B1735" t="s">
        <v>3402</v>
      </c>
      <c r="C1735" t="s">
        <v>3442</v>
      </c>
      <c r="D1735" t="s">
        <v>3443</v>
      </c>
    </row>
    <row r="1736" spans="1:4" x14ac:dyDescent="0.3">
      <c r="A1736" t="s">
        <v>3401</v>
      </c>
      <c r="B1736" t="s">
        <v>3402</v>
      </c>
      <c r="C1736" t="s">
        <v>3428</v>
      </c>
      <c r="D1736" t="s">
        <v>3429</v>
      </c>
    </row>
    <row r="1737" spans="1:4" x14ac:dyDescent="0.3">
      <c r="A1737" t="s">
        <v>3401</v>
      </c>
      <c r="B1737" t="s">
        <v>3402</v>
      </c>
      <c r="C1737" t="s">
        <v>3475</v>
      </c>
      <c r="D1737" t="s">
        <v>3476</v>
      </c>
    </row>
    <row r="1738" spans="1:4" x14ac:dyDescent="0.3">
      <c r="A1738" t="s">
        <v>3401</v>
      </c>
      <c r="B1738" t="s">
        <v>3402</v>
      </c>
      <c r="C1738" t="s">
        <v>3432</v>
      </c>
      <c r="D1738" t="s">
        <v>3433</v>
      </c>
    </row>
    <row r="1739" spans="1:4" x14ac:dyDescent="0.3">
      <c r="A1739" t="s">
        <v>3401</v>
      </c>
      <c r="B1739" t="s">
        <v>3402</v>
      </c>
      <c r="C1739" t="s">
        <v>3473</v>
      </c>
      <c r="D1739" t="s">
        <v>3474</v>
      </c>
    </row>
    <row r="1740" spans="1:4" x14ac:dyDescent="0.3">
      <c r="A1740" t="s">
        <v>3401</v>
      </c>
      <c r="B1740" t="s">
        <v>3402</v>
      </c>
      <c r="C1740" t="s">
        <v>3448</v>
      </c>
      <c r="D1740" t="s">
        <v>3449</v>
      </c>
    </row>
    <row r="1741" spans="1:4" x14ac:dyDescent="0.3">
      <c r="A1741" t="s">
        <v>3357</v>
      </c>
      <c r="B1741" t="s">
        <v>3481</v>
      </c>
      <c r="C1741" t="s">
        <v>3493</v>
      </c>
      <c r="D1741" t="s">
        <v>3494</v>
      </c>
    </row>
    <row r="1742" spans="1:4" x14ac:dyDescent="0.3">
      <c r="A1742" t="s">
        <v>3357</v>
      </c>
      <c r="B1742" t="s">
        <v>3481</v>
      </c>
      <c r="C1742" t="s">
        <v>3502</v>
      </c>
      <c r="D1742" t="s">
        <v>1406</v>
      </c>
    </row>
    <row r="1743" spans="1:4" x14ac:dyDescent="0.3">
      <c r="A1743" t="s">
        <v>3357</v>
      </c>
      <c r="B1743" t="s">
        <v>3481</v>
      </c>
      <c r="C1743" t="s">
        <v>3511</v>
      </c>
      <c r="D1743" t="s">
        <v>3512</v>
      </c>
    </row>
    <row r="1744" spans="1:4" x14ac:dyDescent="0.3">
      <c r="A1744" t="s">
        <v>3357</v>
      </c>
      <c r="B1744" t="s">
        <v>3481</v>
      </c>
      <c r="C1744" t="s">
        <v>3505</v>
      </c>
      <c r="D1744" t="s">
        <v>3506</v>
      </c>
    </row>
    <row r="1745" spans="1:4" x14ac:dyDescent="0.3">
      <c r="A1745" t="s">
        <v>3357</v>
      </c>
      <c r="B1745" t="s">
        <v>3481</v>
      </c>
      <c r="C1745" t="s">
        <v>3498</v>
      </c>
      <c r="D1745" t="s">
        <v>3499</v>
      </c>
    </row>
    <row r="1746" spans="1:4" x14ac:dyDescent="0.3">
      <c r="A1746" t="s">
        <v>3357</v>
      </c>
      <c r="B1746" t="s">
        <v>3481</v>
      </c>
      <c r="C1746" t="s">
        <v>3495</v>
      </c>
      <c r="D1746" t="s">
        <v>380</v>
      </c>
    </row>
    <row r="1747" spans="1:4" x14ac:dyDescent="0.3">
      <c r="A1747" t="s">
        <v>3357</v>
      </c>
      <c r="B1747" t="s">
        <v>3481</v>
      </c>
      <c r="C1747" t="s">
        <v>3490</v>
      </c>
      <c r="D1747" t="s">
        <v>342</v>
      </c>
    </row>
    <row r="1748" spans="1:4" x14ac:dyDescent="0.3">
      <c r="A1748" t="s">
        <v>3357</v>
      </c>
      <c r="B1748" t="s">
        <v>3481</v>
      </c>
      <c r="C1748" t="s">
        <v>3488</v>
      </c>
      <c r="D1748" t="s">
        <v>3489</v>
      </c>
    </row>
    <row r="1749" spans="1:4" x14ac:dyDescent="0.3">
      <c r="A1749" t="s">
        <v>3357</v>
      </c>
      <c r="B1749" t="s">
        <v>3481</v>
      </c>
      <c r="C1749" t="s">
        <v>3496</v>
      </c>
      <c r="D1749" t="s">
        <v>3497</v>
      </c>
    </row>
    <row r="1750" spans="1:4" x14ac:dyDescent="0.3">
      <c r="A1750" t="s">
        <v>3357</v>
      </c>
      <c r="B1750" t="s">
        <v>3481</v>
      </c>
      <c r="C1750" t="s">
        <v>3486</v>
      </c>
      <c r="D1750" t="s">
        <v>3487</v>
      </c>
    </row>
    <row r="1751" spans="1:4" x14ac:dyDescent="0.3">
      <c r="A1751" t="s">
        <v>3357</v>
      </c>
      <c r="B1751" t="s">
        <v>3481</v>
      </c>
      <c r="C1751" t="s">
        <v>3507</v>
      </c>
      <c r="D1751" t="s">
        <v>3508</v>
      </c>
    </row>
    <row r="1752" spans="1:4" x14ac:dyDescent="0.3">
      <c r="A1752" t="s">
        <v>3357</v>
      </c>
      <c r="B1752" t="s">
        <v>3481</v>
      </c>
      <c r="C1752" t="s">
        <v>3503</v>
      </c>
      <c r="D1752" t="s">
        <v>3504</v>
      </c>
    </row>
    <row r="1753" spans="1:4" x14ac:dyDescent="0.3">
      <c r="A1753" t="s">
        <v>3357</v>
      </c>
      <c r="B1753" t="s">
        <v>3481</v>
      </c>
      <c r="C1753" t="s">
        <v>3509</v>
      </c>
      <c r="D1753" t="s">
        <v>3510</v>
      </c>
    </row>
    <row r="1754" spans="1:4" x14ac:dyDescent="0.3">
      <c r="A1754" t="s">
        <v>3357</v>
      </c>
      <c r="B1754" t="s">
        <v>3481</v>
      </c>
      <c r="C1754" t="s">
        <v>3515</v>
      </c>
      <c r="D1754" t="s">
        <v>3516</v>
      </c>
    </row>
    <row r="1755" spans="1:4" x14ac:dyDescent="0.3">
      <c r="A1755" t="s">
        <v>3357</v>
      </c>
      <c r="B1755" t="s">
        <v>3481</v>
      </c>
      <c r="C1755" t="s">
        <v>3484</v>
      </c>
      <c r="D1755" t="s">
        <v>3485</v>
      </c>
    </row>
    <row r="1756" spans="1:4" x14ac:dyDescent="0.3">
      <c r="A1756" t="s">
        <v>3357</v>
      </c>
      <c r="B1756" t="s">
        <v>3481</v>
      </c>
      <c r="C1756" t="s">
        <v>3491</v>
      </c>
      <c r="D1756" t="s">
        <v>3492</v>
      </c>
    </row>
    <row r="1757" spans="1:4" x14ac:dyDescent="0.3">
      <c r="A1757" t="s">
        <v>3357</v>
      </c>
      <c r="B1757" t="s">
        <v>3481</v>
      </c>
      <c r="C1757" t="s">
        <v>3482</v>
      </c>
      <c r="D1757" t="s">
        <v>3483</v>
      </c>
    </row>
    <row r="1758" spans="1:4" x14ac:dyDescent="0.3">
      <c r="A1758" t="s">
        <v>3357</v>
      </c>
      <c r="B1758" t="s">
        <v>3481</v>
      </c>
      <c r="C1758" t="s">
        <v>3513</v>
      </c>
      <c r="D1758" t="s">
        <v>3514</v>
      </c>
    </row>
    <row r="1759" spans="1:4" x14ac:dyDescent="0.3">
      <c r="A1759" t="s">
        <v>3357</v>
      </c>
      <c r="B1759" t="s">
        <v>3481</v>
      </c>
      <c r="C1759" t="s">
        <v>3521</v>
      </c>
      <c r="D1759" t="s">
        <v>515</v>
      </c>
    </row>
    <row r="1760" spans="1:4" x14ac:dyDescent="0.3">
      <c r="A1760" t="s">
        <v>3357</v>
      </c>
      <c r="B1760" t="s">
        <v>3481</v>
      </c>
      <c r="C1760" t="s">
        <v>3500</v>
      </c>
      <c r="D1760" t="s">
        <v>3501</v>
      </c>
    </row>
    <row r="1761" spans="1:4" x14ac:dyDescent="0.3">
      <c r="A1761" t="s">
        <v>3357</v>
      </c>
      <c r="B1761" t="s">
        <v>3481</v>
      </c>
      <c r="C1761" t="s">
        <v>3517</v>
      </c>
      <c r="D1761" t="s">
        <v>3518</v>
      </c>
    </row>
    <row r="1762" spans="1:4" x14ac:dyDescent="0.3">
      <c r="A1762" t="s">
        <v>3357</v>
      </c>
      <c r="B1762" t="s">
        <v>3481</v>
      </c>
      <c r="C1762" t="s">
        <v>3519</v>
      </c>
      <c r="D1762" t="s">
        <v>3520</v>
      </c>
    </row>
    <row r="1763" spans="1:4" x14ac:dyDescent="0.3">
      <c r="A1763" t="s">
        <v>3357</v>
      </c>
      <c r="B1763" t="s">
        <v>3481</v>
      </c>
      <c r="C1763" t="s">
        <v>2567</v>
      </c>
      <c r="D1763" t="s">
        <v>336</v>
      </c>
    </row>
    <row r="1764" spans="1:4" x14ac:dyDescent="0.3">
      <c r="A1764" t="s">
        <v>3522</v>
      </c>
      <c r="B1764" t="s">
        <v>3523</v>
      </c>
      <c r="C1764" t="s">
        <v>3569</v>
      </c>
      <c r="D1764" t="s">
        <v>3570</v>
      </c>
    </row>
    <row r="1765" spans="1:4" x14ac:dyDescent="0.3">
      <c r="A1765" t="s">
        <v>3522</v>
      </c>
      <c r="B1765" t="s">
        <v>3523</v>
      </c>
      <c r="C1765" t="s">
        <v>3575</v>
      </c>
      <c r="D1765" t="s">
        <v>3576</v>
      </c>
    </row>
    <row r="1766" spans="1:4" x14ac:dyDescent="0.3">
      <c r="A1766" t="s">
        <v>3522</v>
      </c>
      <c r="B1766" t="s">
        <v>3523</v>
      </c>
      <c r="C1766" t="s">
        <v>3555</v>
      </c>
      <c r="D1766" t="s">
        <v>3556</v>
      </c>
    </row>
    <row r="1767" spans="1:4" x14ac:dyDescent="0.3">
      <c r="A1767" t="s">
        <v>3522</v>
      </c>
      <c r="B1767" t="s">
        <v>3523</v>
      </c>
      <c r="C1767" t="s">
        <v>3536</v>
      </c>
      <c r="D1767" t="s">
        <v>3537</v>
      </c>
    </row>
    <row r="1768" spans="1:4" x14ac:dyDescent="0.3">
      <c r="A1768" t="s">
        <v>3522</v>
      </c>
      <c r="B1768" t="s">
        <v>3523</v>
      </c>
      <c r="C1768" t="s">
        <v>3579</v>
      </c>
      <c r="D1768" t="s">
        <v>3580</v>
      </c>
    </row>
    <row r="1769" spans="1:4" x14ac:dyDescent="0.3">
      <c r="A1769" t="s">
        <v>3522</v>
      </c>
      <c r="B1769" t="s">
        <v>3523</v>
      </c>
      <c r="C1769" t="s">
        <v>3538</v>
      </c>
      <c r="D1769" t="s">
        <v>3539</v>
      </c>
    </row>
    <row r="1770" spans="1:4" x14ac:dyDescent="0.3">
      <c r="A1770" t="s">
        <v>3522</v>
      </c>
      <c r="B1770" t="s">
        <v>3523</v>
      </c>
      <c r="C1770" t="s">
        <v>3532</v>
      </c>
      <c r="D1770" t="s">
        <v>3533</v>
      </c>
    </row>
    <row r="1771" spans="1:4" x14ac:dyDescent="0.3">
      <c r="A1771" t="s">
        <v>3522</v>
      </c>
      <c r="B1771" t="s">
        <v>3523</v>
      </c>
      <c r="C1771" t="s">
        <v>3577</v>
      </c>
      <c r="D1771" t="s">
        <v>3578</v>
      </c>
    </row>
    <row r="1772" spans="1:4" x14ac:dyDescent="0.3">
      <c r="A1772" t="s">
        <v>3522</v>
      </c>
      <c r="B1772" t="s">
        <v>3523</v>
      </c>
      <c r="C1772" t="s">
        <v>3549</v>
      </c>
      <c r="D1772" t="s">
        <v>3550</v>
      </c>
    </row>
    <row r="1773" spans="1:4" x14ac:dyDescent="0.3">
      <c r="A1773" t="s">
        <v>3522</v>
      </c>
      <c r="B1773" t="s">
        <v>3523</v>
      </c>
      <c r="C1773" t="s">
        <v>3567</v>
      </c>
      <c r="D1773" t="s">
        <v>3568</v>
      </c>
    </row>
    <row r="1774" spans="1:4" x14ac:dyDescent="0.3">
      <c r="A1774" t="s">
        <v>3522</v>
      </c>
      <c r="B1774" t="s">
        <v>3523</v>
      </c>
      <c r="C1774" t="s">
        <v>3524</v>
      </c>
      <c r="D1774" t="s">
        <v>3525</v>
      </c>
    </row>
    <row r="1775" spans="1:4" x14ac:dyDescent="0.3">
      <c r="A1775" t="s">
        <v>3522</v>
      </c>
      <c r="B1775" t="s">
        <v>3523</v>
      </c>
      <c r="C1775" t="s">
        <v>3530</v>
      </c>
      <c r="D1775" t="s">
        <v>3531</v>
      </c>
    </row>
    <row r="1776" spans="1:4" x14ac:dyDescent="0.3">
      <c r="A1776" t="s">
        <v>3522</v>
      </c>
      <c r="B1776" t="s">
        <v>3523</v>
      </c>
      <c r="C1776" t="s">
        <v>3534</v>
      </c>
      <c r="D1776" t="s">
        <v>3535</v>
      </c>
    </row>
    <row r="1777" spans="1:4" x14ac:dyDescent="0.3">
      <c r="A1777" t="s">
        <v>3522</v>
      </c>
      <c r="B1777" t="s">
        <v>3523</v>
      </c>
      <c r="C1777" t="s">
        <v>3540</v>
      </c>
      <c r="D1777" t="s">
        <v>738</v>
      </c>
    </row>
    <row r="1778" spans="1:4" x14ac:dyDescent="0.3">
      <c r="A1778" t="s">
        <v>3522</v>
      </c>
      <c r="B1778" t="s">
        <v>3523</v>
      </c>
      <c r="C1778" t="s">
        <v>3545</v>
      </c>
      <c r="D1778" t="s">
        <v>3546</v>
      </c>
    </row>
    <row r="1779" spans="1:4" x14ac:dyDescent="0.3">
      <c r="A1779" t="s">
        <v>3522</v>
      </c>
      <c r="B1779" t="s">
        <v>3523</v>
      </c>
      <c r="C1779" t="s">
        <v>3551</v>
      </c>
      <c r="D1779" t="s">
        <v>3552</v>
      </c>
    </row>
    <row r="1780" spans="1:4" x14ac:dyDescent="0.3">
      <c r="A1780" t="s">
        <v>3522</v>
      </c>
      <c r="B1780" t="s">
        <v>3523</v>
      </c>
      <c r="C1780" t="s">
        <v>3553</v>
      </c>
      <c r="D1780" t="s">
        <v>3554</v>
      </c>
    </row>
    <row r="1781" spans="1:4" x14ac:dyDescent="0.3">
      <c r="A1781" t="s">
        <v>3522</v>
      </c>
      <c r="B1781" t="s">
        <v>3523</v>
      </c>
      <c r="C1781" t="s">
        <v>3557</v>
      </c>
      <c r="D1781" t="s">
        <v>3558</v>
      </c>
    </row>
    <row r="1782" spans="1:4" x14ac:dyDescent="0.3">
      <c r="A1782" t="s">
        <v>3522</v>
      </c>
      <c r="B1782" t="s">
        <v>3523</v>
      </c>
      <c r="C1782" t="s">
        <v>3526</v>
      </c>
      <c r="D1782" t="s">
        <v>3527</v>
      </c>
    </row>
    <row r="1783" spans="1:4" x14ac:dyDescent="0.3">
      <c r="A1783" t="s">
        <v>3522</v>
      </c>
      <c r="B1783" t="s">
        <v>3523</v>
      </c>
      <c r="C1783" t="s">
        <v>3563</v>
      </c>
      <c r="D1783" t="s">
        <v>3564</v>
      </c>
    </row>
    <row r="1784" spans="1:4" x14ac:dyDescent="0.3">
      <c r="A1784" t="s">
        <v>3522</v>
      </c>
      <c r="B1784" t="s">
        <v>3523</v>
      </c>
      <c r="C1784" t="s">
        <v>3581</v>
      </c>
      <c r="D1784" t="s">
        <v>3582</v>
      </c>
    </row>
    <row r="1785" spans="1:4" x14ac:dyDescent="0.3">
      <c r="A1785" t="s">
        <v>3522</v>
      </c>
      <c r="B1785" t="s">
        <v>3523</v>
      </c>
      <c r="C1785" t="s">
        <v>3583</v>
      </c>
      <c r="D1785" t="s">
        <v>3584</v>
      </c>
    </row>
    <row r="1786" spans="1:4" x14ac:dyDescent="0.3">
      <c r="A1786" t="s">
        <v>3522</v>
      </c>
      <c r="B1786" t="s">
        <v>3523</v>
      </c>
      <c r="C1786" t="s">
        <v>3541</v>
      </c>
      <c r="D1786" t="s">
        <v>3542</v>
      </c>
    </row>
    <row r="1787" spans="1:4" x14ac:dyDescent="0.3">
      <c r="A1787" t="s">
        <v>3522</v>
      </c>
      <c r="B1787" t="s">
        <v>3523</v>
      </c>
      <c r="C1787" t="s">
        <v>3573</v>
      </c>
      <c r="D1787" t="s">
        <v>3574</v>
      </c>
    </row>
    <row r="1788" spans="1:4" x14ac:dyDescent="0.3">
      <c r="A1788" t="s">
        <v>3522</v>
      </c>
      <c r="B1788" t="s">
        <v>3523</v>
      </c>
      <c r="C1788" t="s">
        <v>3559</v>
      </c>
      <c r="D1788" t="s">
        <v>3560</v>
      </c>
    </row>
    <row r="1789" spans="1:4" x14ac:dyDescent="0.3">
      <c r="A1789" t="s">
        <v>3522</v>
      </c>
      <c r="B1789" t="s">
        <v>3523</v>
      </c>
      <c r="C1789" t="s">
        <v>3571</v>
      </c>
      <c r="D1789" t="s">
        <v>3572</v>
      </c>
    </row>
    <row r="1790" spans="1:4" x14ac:dyDescent="0.3">
      <c r="A1790" t="s">
        <v>3522</v>
      </c>
      <c r="B1790" t="s">
        <v>3523</v>
      </c>
      <c r="C1790" t="s">
        <v>3547</v>
      </c>
      <c r="D1790" t="s">
        <v>3548</v>
      </c>
    </row>
    <row r="1791" spans="1:4" x14ac:dyDescent="0.3">
      <c r="A1791" t="s">
        <v>3522</v>
      </c>
      <c r="B1791" t="s">
        <v>3523</v>
      </c>
      <c r="C1791" t="s">
        <v>3528</v>
      </c>
      <c r="D1791" t="s">
        <v>3529</v>
      </c>
    </row>
    <row r="1792" spans="1:4" x14ac:dyDescent="0.3">
      <c r="A1792" t="s">
        <v>3522</v>
      </c>
      <c r="B1792" t="s">
        <v>3523</v>
      </c>
      <c r="C1792" t="s">
        <v>3561</v>
      </c>
      <c r="D1792" t="s">
        <v>3562</v>
      </c>
    </row>
    <row r="1793" spans="1:4" x14ac:dyDescent="0.3">
      <c r="A1793" t="s">
        <v>3522</v>
      </c>
      <c r="B1793" t="s">
        <v>3523</v>
      </c>
      <c r="C1793" t="s">
        <v>3565</v>
      </c>
      <c r="D1793" t="s">
        <v>3566</v>
      </c>
    </row>
    <row r="1794" spans="1:4" x14ac:dyDescent="0.3">
      <c r="A1794" t="s">
        <v>3522</v>
      </c>
      <c r="B1794" t="s">
        <v>3523</v>
      </c>
      <c r="C1794" t="s">
        <v>3543</v>
      </c>
      <c r="D1794" t="s">
        <v>3544</v>
      </c>
    </row>
    <row r="1795" spans="1:4" x14ac:dyDescent="0.3">
      <c r="A1795" t="s">
        <v>3585</v>
      </c>
      <c r="B1795" t="s">
        <v>3586</v>
      </c>
      <c r="C1795" t="s">
        <v>3669</v>
      </c>
      <c r="D1795" t="s">
        <v>3670</v>
      </c>
    </row>
    <row r="1796" spans="1:4" x14ac:dyDescent="0.3">
      <c r="A1796" t="s">
        <v>3585</v>
      </c>
      <c r="B1796" t="s">
        <v>3586</v>
      </c>
      <c r="C1796" t="s">
        <v>3589</v>
      </c>
      <c r="D1796" t="s">
        <v>3590</v>
      </c>
    </row>
    <row r="1797" spans="1:4" x14ac:dyDescent="0.3">
      <c r="A1797" t="s">
        <v>3585</v>
      </c>
      <c r="B1797" t="s">
        <v>3586</v>
      </c>
      <c r="C1797" t="s">
        <v>3601</v>
      </c>
      <c r="D1797" t="s">
        <v>3602</v>
      </c>
    </row>
    <row r="1798" spans="1:4" x14ac:dyDescent="0.3">
      <c r="A1798" t="s">
        <v>3585</v>
      </c>
      <c r="B1798" t="s">
        <v>3586</v>
      </c>
      <c r="C1798" t="s">
        <v>3593</v>
      </c>
      <c r="D1798" t="s">
        <v>3594</v>
      </c>
    </row>
    <row r="1799" spans="1:4" x14ac:dyDescent="0.3">
      <c r="A1799" t="s">
        <v>3585</v>
      </c>
      <c r="B1799" t="s">
        <v>3586</v>
      </c>
      <c r="C1799" t="s">
        <v>3663</v>
      </c>
      <c r="D1799" t="s">
        <v>3664</v>
      </c>
    </row>
    <row r="1800" spans="1:4" x14ac:dyDescent="0.3">
      <c r="A1800" t="s">
        <v>3585</v>
      </c>
      <c r="B1800" t="s">
        <v>3586</v>
      </c>
      <c r="C1800" t="s">
        <v>3649</v>
      </c>
      <c r="D1800" t="s">
        <v>3650</v>
      </c>
    </row>
    <row r="1801" spans="1:4" x14ac:dyDescent="0.3">
      <c r="A1801" t="s">
        <v>3585</v>
      </c>
      <c r="B1801" t="s">
        <v>3586</v>
      </c>
      <c r="C1801" t="s">
        <v>3609</v>
      </c>
      <c r="D1801" t="s">
        <v>3610</v>
      </c>
    </row>
    <row r="1802" spans="1:4" x14ac:dyDescent="0.3">
      <c r="A1802" t="s">
        <v>3585</v>
      </c>
      <c r="B1802" t="s">
        <v>3586</v>
      </c>
      <c r="C1802" t="s">
        <v>3661</v>
      </c>
      <c r="D1802" t="s">
        <v>3662</v>
      </c>
    </row>
    <row r="1803" spans="1:4" x14ac:dyDescent="0.3">
      <c r="A1803" t="s">
        <v>3585</v>
      </c>
      <c r="B1803" t="s">
        <v>3586</v>
      </c>
      <c r="C1803" t="s">
        <v>3667</v>
      </c>
      <c r="D1803" t="s">
        <v>3668</v>
      </c>
    </row>
    <row r="1804" spans="1:4" x14ac:dyDescent="0.3">
      <c r="A1804" t="s">
        <v>3585</v>
      </c>
      <c r="B1804" t="s">
        <v>3586</v>
      </c>
      <c r="C1804" t="s">
        <v>3611</v>
      </c>
      <c r="D1804" t="s">
        <v>3612</v>
      </c>
    </row>
    <row r="1805" spans="1:4" x14ac:dyDescent="0.3">
      <c r="A1805" t="s">
        <v>3585</v>
      </c>
      <c r="B1805" t="s">
        <v>3586</v>
      </c>
      <c r="C1805" t="s">
        <v>3673</v>
      </c>
      <c r="D1805" t="s">
        <v>3674</v>
      </c>
    </row>
    <row r="1806" spans="1:4" x14ac:dyDescent="0.3">
      <c r="A1806" t="s">
        <v>3585</v>
      </c>
      <c r="B1806" t="s">
        <v>3586</v>
      </c>
      <c r="C1806" t="s">
        <v>3643</v>
      </c>
      <c r="D1806" t="s">
        <v>3644</v>
      </c>
    </row>
    <row r="1807" spans="1:4" x14ac:dyDescent="0.3">
      <c r="A1807" t="s">
        <v>3585</v>
      </c>
      <c r="B1807" t="s">
        <v>3586</v>
      </c>
      <c r="C1807" t="s">
        <v>3679</v>
      </c>
      <c r="D1807" t="s">
        <v>3680</v>
      </c>
    </row>
    <row r="1808" spans="1:4" x14ac:dyDescent="0.3">
      <c r="A1808" t="s">
        <v>3585</v>
      </c>
      <c r="B1808" t="s">
        <v>3586</v>
      </c>
      <c r="C1808" t="s">
        <v>3623</v>
      </c>
      <c r="D1808" t="s">
        <v>3624</v>
      </c>
    </row>
    <row r="1809" spans="1:4" x14ac:dyDescent="0.3">
      <c r="A1809" t="s">
        <v>3585</v>
      </c>
      <c r="B1809" t="s">
        <v>3586</v>
      </c>
      <c r="C1809" t="s">
        <v>3603</v>
      </c>
      <c r="D1809" t="s">
        <v>3604</v>
      </c>
    </row>
    <row r="1810" spans="1:4" x14ac:dyDescent="0.3">
      <c r="A1810" t="s">
        <v>3585</v>
      </c>
      <c r="B1810" t="s">
        <v>3586</v>
      </c>
      <c r="C1810" t="s">
        <v>3685</v>
      </c>
      <c r="D1810" t="s">
        <v>3686</v>
      </c>
    </row>
    <row r="1811" spans="1:4" x14ac:dyDescent="0.3">
      <c r="A1811" t="s">
        <v>3585</v>
      </c>
      <c r="B1811" t="s">
        <v>3586</v>
      </c>
      <c r="C1811" t="s">
        <v>3617</v>
      </c>
      <c r="D1811" t="s">
        <v>3618</v>
      </c>
    </row>
    <row r="1812" spans="1:4" x14ac:dyDescent="0.3">
      <c r="A1812" t="s">
        <v>3585</v>
      </c>
      <c r="B1812" t="s">
        <v>3586</v>
      </c>
      <c r="C1812" t="s">
        <v>3641</v>
      </c>
      <c r="D1812" t="s">
        <v>3642</v>
      </c>
    </row>
    <row r="1813" spans="1:4" x14ac:dyDescent="0.3">
      <c r="A1813" t="s">
        <v>3585</v>
      </c>
      <c r="B1813" t="s">
        <v>3586</v>
      </c>
      <c r="C1813" t="s">
        <v>3671</v>
      </c>
      <c r="D1813" t="s">
        <v>3672</v>
      </c>
    </row>
    <row r="1814" spans="1:4" x14ac:dyDescent="0.3">
      <c r="A1814" t="s">
        <v>3585</v>
      </c>
      <c r="B1814" t="s">
        <v>3586</v>
      </c>
      <c r="C1814" t="s">
        <v>3688</v>
      </c>
      <c r="D1814" t="s">
        <v>3689</v>
      </c>
    </row>
    <row r="1815" spans="1:4" x14ac:dyDescent="0.3">
      <c r="A1815" t="s">
        <v>3585</v>
      </c>
      <c r="B1815" t="s">
        <v>3586</v>
      </c>
      <c r="C1815" t="s">
        <v>3635</v>
      </c>
      <c r="D1815" t="s">
        <v>3636</v>
      </c>
    </row>
    <row r="1816" spans="1:4" x14ac:dyDescent="0.3">
      <c r="A1816" t="s">
        <v>3585</v>
      </c>
      <c r="B1816" t="s">
        <v>3586</v>
      </c>
      <c r="C1816" t="s">
        <v>3659</v>
      </c>
      <c r="D1816" t="s">
        <v>3660</v>
      </c>
    </row>
    <row r="1817" spans="1:4" x14ac:dyDescent="0.3">
      <c r="A1817" t="s">
        <v>3585</v>
      </c>
      <c r="B1817" t="s">
        <v>3586</v>
      </c>
      <c r="C1817" t="s">
        <v>3621</v>
      </c>
      <c r="D1817" t="s">
        <v>3622</v>
      </c>
    </row>
    <row r="1818" spans="1:4" x14ac:dyDescent="0.3">
      <c r="A1818" t="s">
        <v>3585</v>
      </c>
      <c r="B1818" t="s">
        <v>3586</v>
      </c>
      <c r="C1818" t="s">
        <v>4223</v>
      </c>
      <c r="D1818" t="s">
        <v>4224</v>
      </c>
    </row>
    <row r="1819" spans="1:4" x14ac:dyDescent="0.3">
      <c r="A1819" t="s">
        <v>3585</v>
      </c>
      <c r="B1819" t="s">
        <v>3586</v>
      </c>
      <c r="C1819" t="s">
        <v>3637</v>
      </c>
      <c r="D1819" t="s">
        <v>3638</v>
      </c>
    </row>
    <row r="1820" spans="1:4" x14ac:dyDescent="0.3">
      <c r="A1820" t="s">
        <v>3585</v>
      </c>
      <c r="B1820" t="s">
        <v>3586</v>
      </c>
      <c r="C1820" t="s">
        <v>3625</v>
      </c>
      <c r="D1820" t="s">
        <v>3626</v>
      </c>
    </row>
    <row r="1821" spans="1:4" x14ac:dyDescent="0.3">
      <c r="A1821" t="s">
        <v>3585</v>
      </c>
      <c r="B1821" t="s">
        <v>3586</v>
      </c>
      <c r="C1821" t="s">
        <v>3627</v>
      </c>
      <c r="D1821" t="s">
        <v>3628</v>
      </c>
    </row>
    <row r="1822" spans="1:4" x14ac:dyDescent="0.3">
      <c r="A1822" t="s">
        <v>3585</v>
      </c>
      <c r="B1822" t="s">
        <v>3586</v>
      </c>
      <c r="C1822" t="s">
        <v>3607</v>
      </c>
      <c r="D1822" t="s">
        <v>3608</v>
      </c>
    </row>
    <row r="1823" spans="1:4" x14ac:dyDescent="0.3">
      <c r="A1823" t="s">
        <v>3585</v>
      </c>
      <c r="B1823" t="s">
        <v>3586</v>
      </c>
      <c r="C1823" t="s">
        <v>3597</v>
      </c>
      <c r="D1823" t="s">
        <v>3598</v>
      </c>
    </row>
    <row r="1824" spans="1:4" x14ac:dyDescent="0.3">
      <c r="A1824" t="s">
        <v>3585</v>
      </c>
      <c r="B1824" t="s">
        <v>3586</v>
      </c>
      <c r="C1824" t="s">
        <v>3657</v>
      </c>
      <c r="D1824" t="s">
        <v>3658</v>
      </c>
    </row>
    <row r="1825" spans="1:4" x14ac:dyDescent="0.3">
      <c r="A1825" t="s">
        <v>3585</v>
      </c>
      <c r="B1825" t="s">
        <v>3586</v>
      </c>
      <c r="C1825" t="s">
        <v>3665</v>
      </c>
      <c r="D1825" t="s">
        <v>3666</v>
      </c>
    </row>
    <row r="1826" spans="1:4" x14ac:dyDescent="0.3">
      <c r="A1826" t="s">
        <v>3585</v>
      </c>
      <c r="B1826" t="s">
        <v>3586</v>
      </c>
      <c r="C1826" t="s">
        <v>3605</v>
      </c>
      <c r="D1826" t="s">
        <v>3606</v>
      </c>
    </row>
    <row r="1827" spans="1:4" x14ac:dyDescent="0.3">
      <c r="A1827" t="s">
        <v>3585</v>
      </c>
      <c r="B1827" t="s">
        <v>3586</v>
      </c>
      <c r="C1827" t="s">
        <v>3613</v>
      </c>
      <c r="D1827" t="s">
        <v>3614</v>
      </c>
    </row>
    <row r="1828" spans="1:4" x14ac:dyDescent="0.3">
      <c r="A1828" t="s">
        <v>3585</v>
      </c>
      <c r="B1828" t="s">
        <v>3586</v>
      </c>
      <c r="C1828" t="s">
        <v>3619</v>
      </c>
      <c r="D1828" t="s">
        <v>3620</v>
      </c>
    </row>
    <row r="1829" spans="1:4" x14ac:dyDescent="0.3">
      <c r="A1829" t="s">
        <v>3585</v>
      </c>
      <c r="B1829" t="s">
        <v>3586</v>
      </c>
      <c r="C1829" t="s">
        <v>3645</v>
      </c>
      <c r="D1829" t="s">
        <v>3646</v>
      </c>
    </row>
    <row r="1830" spans="1:4" x14ac:dyDescent="0.3">
      <c r="A1830" t="s">
        <v>3585</v>
      </c>
      <c r="B1830" t="s">
        <v>3586</v>
      </c>
      <c r="C1830" t="s">
        <v>3647</v>
      </c>
      <c r="D1830" t="s">
        <v>3648</v>
      </c>
    </row>
    <row r="1831" spans="1:4" x14ac:dyDescent="0.3">
      <c r="A1831" t="s">
        <v>3585</v>
      </c>
      <c r="B1831" t="s">
        <v>3586</v>
      </c>
      <c r="C1831" t="s">
        <v>3677</v>
      </c>
      <c r="D1831" t="s">
        <v>3678</v>
      </c>
    </row>
    <row r="1832" spans="1:4" x14ac:dyDescent="0.3">
      <c r="A1832" t="s">
        <v>3585</v>
      </c>
      <c r="B1832" t="s">
        <v>3586</v>
      </c>
      <c r="C1832" t="s">
        <v>3629</v>
      </c>
      <c r="D1832" t="s">
        <v>3630</v>
      </c>
    </row>
    <row r="1833" spans="1:4" x14ac:dyDescent="0.3">
      <c r="A1833" t="s">
        <v>3585</v>
      </c>
      <c r="B1833" t="s">
        <v>3586</v>
      </c>
      <c r="C1833" t="s">
        <v>3687</v>
      </c>
      <c r="D1833" t="s">
        <v>1901</v>
      </c>
    </row>
    <row r="1834" spans="1:4" x14ac:dyDescent="0.3">
      <c r="A1834" t="s">
        <v>3585</v>
      </c>
      <c r="B1834" t="s">
        <v>3586</v>
      </c>
      <c r="C1834" t="s">
        <v>3595</v>
      </c>
      <c r="D1834" t="s">
        <v>3596</v>
      </c>
    </row>
    <row r="1835" spans="1:4" x14ac:dyDescent="0.3">
      <c r="A1835" t="s">
        <v>3585</v>
      </c>
      <c r="B1835" t="s">
        <v>3586</v>
      </c>
      <c r="C1835" t="s">
        <v>3633</v>
      </c>
      <c r="D1835" t="s">
        <v>3634</v>
      </c>
    </row>
    <row r="1836" spans="1:4" x14ac:dyDescent="0.3">
      <c r="A1836" t="s">
        <v>3585</v>
      </c>
      <c r="B1836" t="s">
        <v>3586</v>
      </c>
      <c r="C1836" t="s">
        <v>3681</v>
      </c>
      <c r="D1836" t="s">
        <v>3682</v>
      </c>
    </row>
    <row r="1837" spans="1:4" x14ac:dyDescent="0.3">
      <c r="A1837" t="s">
        <v>3585</v>
      </c>
      <c r="B1837" t="s">
        <v>3586</v>
      </c>
      <c r="C1837" t="s">
        <v>3651</v>
      </c>
      <c r="D1837" t="s">
        <v>3652</v>
      </c>
    </row>
    <row r="1838" spans="1:4" x14ac:dyDescent="0.3">
      <c r="A1838" t="s">
        <v>3585</v>
      </c>
      <c r="B1838" t="s">
        <v>3586</v>
      </c>
      <c r="C1838" t="s">
        <v>3675</v>
      </c>
      <c r="D1838" t="s">
        <v>3676</v>
      </c>
    </row>
    <row r="1839" spans="1:4" x14ac:dyDescent="0.3">
      <c r="A1839" t="s">
        <v>3585</v>
      </c>
      <c r="B1839" t="s">
        <v>3586</v>
      </c>
      <c r="C1839" t="s">
        <v>3631</v>
      </c>
      <c r="D1839" t="s">
        <v>3632</v>
      </c>
    </row>
    <row r="1840" spans="1:4" x14ac:dyDescent="0.3">
      <c r="A1840" t="s">
        <v>3585</v>
      </c>
      <c r="B1840" t="s">
        <v>3586</v>
      </c>
      <c r="C1840" t="s">
        <v>3683</v>
      </c>
      <c r="D1840" t="s">
        <v>3684</v>
      </c>
    </row>
    <row r="1841" spans="1:4" x14ac:dyDescent="0.3">
      <c r="A1841" t="s">
        <v>3585</v>
      </c>
      <c r="B1841" t="s">
        <v>3586</v>
      </c>
      <c r="C1841" t="s">
        <v>3639</v>
      </c>
      <c r="D1841" t="s">
        <v>3640</v>
      </c>
    </row>
    <row r="1842" spans="1:4" x14ac:dyDescent="0.3">
      <c r="A1842" t="s">
        <v>3585</v>
      </c>
      <c r="B1842" t="s">
        <v>3586</v>
      </c>
      <c r="C1842" t="s">
        <v>3599</v>
      </c>
      <c r="D1842" t="s">
        <v>3600</v>
      </c>
    </row>
    <row r="1843" spans="1:4" x14ac:dyDescent="0.3">
      <c r="A1843" t="s">
        <v>3585</v>
      </c>
      <c r="B1843" t="s">
        <v>3586</v>
      </c>
      <c r="C1843" t="s">
        <v>3653</v>
      </c>
      <c r="D1843" t="s">
        <v>3654</v>
      </c>
    </row>
    <row r="1844" spans="1:4" x14ac:dyDescent="0.3">
      <c r="A1844" t="s">
        <v>3585</v>
      </c>
      <c r="B1844" t="s">
        <v>3586</v>
      </c>
      <c r="C1844" t="s">
        <v>3587</v>
      </c>
      <c r="D1844" t="s">
        <v>3588</v>
      </c>
    </row>
    <row r="1845" spans="1:4" x14ac:dyDescent="0.3">
      <c r="A1845" t="s">
        <v>3585</v>
      </c>
      <c r="B1845" t="s">
        <v>3586</v>
      </c>
      <c r="C1845" t="s">
        <v>3655</v>
      </c>
      <c r="D1845" t="s">
        <v>3656</v>
      </c>
    </row>
    <row r="1846" spans="1:4" x14ac:dyDescent="0.3">
      <c r="A1846" t="s">
        <v>3585</v>
      </c>
      <c r="B1846" t="s">
        <v>3586</v>
      </c>
      <c r="C1846" t="s">
        <v>3591</v>
      </c>
      <c r="D1846" t="s">
        <v>3592</v>
      </c>
    </row>
    <row r="1847" spans="1:4" x14ac:dyDescent="0.3">
      <c r="A1847" t="s">
        <v>3585</v>
      </c>
      <c r="B1847" t="s">
        <v>3586</v>
      </c>
      <c r="C1847" t="s">
        <v>3615</v>
      </c>
      <c r="D1847" t="s">
        <v>3616</v>
      </c>
    </row>
    <row r="1848" spans="1:4" x14ac:dyDescent="0.3">
      <c r="A1848" t="s">
        <v>3690</v>
      </c>
      <c r="B1848" t="s">
        <v>3691</v>
      </c>
      <c r="C1848" t="s">
        <v>3704</v>
      </c>
      <c r="D1848" t="s">
        <v>4225</v>
      </c>
    </row>
    <row r="1849" spans="1:4" x14ac:dyDescent="0.3">
      <c r="A1849" t="s">
        <v>3690</v>
      </c>
      <c r="B1849" t="s">
        <v>3691</v>
      </c>
      <c r="C1849" t="s">
        <v>3695</v>
      </c>
      <c r="D1849" t="s">
        <v>4226</v>
      </c>
    </row>
    <row r="1850" spans="1:4" x14ac:dyDescent="0.3">
      <c r="A1850" t="s">
        <v>3690</v>
      </c>
      <c r="B1850" t="s">
        <v>3691</v>
      </c>
      <c r="C1850" t="s">
        <v>3705</v>
      </c>
      <c r="D1850" t="s">
        <v>4227</v>
      </c>
    </row>
    <row r="1851" spans="1:4" x14ac:dyDescent="0.3">
      <c r="A1851" t="s">
        <v>3690</v>
      </c>
      <c r="B1851" t="s">
        <v>3691</v>
      </c>
      <c r="C1851" t="s">
        <v>3706</v>
      </c>
      <c r="D1851" t="s">
        <v>4228</v>
      </c>
    </row>
    <row r="1852" spans="1:4" x14ac:dyDescent="0.3">
      <c r="A1852" t="s">
        <v>3690</v>
      </c>
      <c r="B1852" t="s">
        <v>3691</v>
      </c>
      <c r="C1852" t="s">
        <v>3703</v>
      </c>
      <c r="D1852" t="s">
        <v>4229</v>
      </c>
    </row>
    <row r="1853" spans="1:4" x14ac:dyDescent="0.3">
      <c r="A1853" t="s">
        <v>3690</v>
      </c>
      <c r="B1853" t="s">
        <v>3691</v>
      </c>
      <c r="C1853" t="s">
        <v>3692</v>
      </c>
      <c r="D1853" t="s">
        <v>4230</v>
      </c>
    </row>
    <row r="1854" spans="1:4" x14ac:dyDescent="0.3">
      <c r="A1854" t="s">
        <v>3690</v>
      </c>
      <c r="B1854" t="s">
        <v>3691</v>
      </c>
      <c r="C1854" t="s">
        <v>3693</v>
      </c>
      <c r="D1854" t="s">
        <v>4231</v>
      </c>
    </row>
    <row r="1855" spans="1:4" x14ac:dyDescent="0.3">
      <c r="A1855" t="s">
        <v>3690</v>
      </c>
      <c r="B1855" t="s">
        <v>3691</v>
      </c>
      <c r="C1855" t="s">
        <v>3707</v>
      </c>
      <c r="D1855" t="s">
        <v>4232</v>
      </c>
    </row>
    <row r="1856" spans="1:4" x14ac:dyDescent="0.3">
      <c r="A1856" t="s">
        <v>3690</v>
      </c>
      <c r="B1856" t="s">
        <v>3691</v>
      </c>
      <c r="C1856" t="s">
        <v>3700</v>
      </c>
      <c r="D1856" t="s">
        <v>3701</v>
      </c>
    </row>
    <row r="1857" spans="1:4" x14ac:dyDescent="0.3">
      <c r="A1857" t="s">
        <v>3690</v>
      </c>
      <c r="B1857" t="s">
        <v>3691</v>
      </c>
      <c r="C1857" t="s">
        <v>3708</v>
      </c>
      <c r="D1857" t="s">
        <v>4233</v>
      </c>
    </row>
    <row r="1858" spans="1:4" x14ac:dyDescent="0.3">
      <c r="A1858" t="s">
        <v>3690</v>
      </c>
      <c r="B1858" t="s">
        <v>3691</v>
      </c>
      <c r="C1858" t="s">
        <v>3698</v>
      </c>
      <c r="D1858" t="s">
        <v>3699</v>
      </c>
    </row>
    <row r="1859" spans="1:4" x14ac:dyDescent="0.3">
      <c r="A1859" t="s">
        <v>3690</v>
      </c>
      <c r="B1859" t="s">
        <v>3691</v>
      </c>
      <c r="C1859" t="s">
        <v>3696</v>
      </c>
      <c r="D1859" t="s">
        <v>3697</v>
      </c>
    </row>
    <row r="1860" spans="1:4" x14ac:dyDescent="0.3">
      <c r="A1860" t="s">
        <v>3690</v>
      </c>
      <c r="B1860" t="s">
        <v>3691</v>
      </c>
      <c r="C1860" t="s">
        <v>3702</v>
      </c>
      <c r="D1860" t="s">
        <v>4234</v>
      </c>
    </row>
    <row r="1861" spans="1:4" x14ac:dyDescent="0.3">
      <c r="A1861" t="s">
        <v>3690</v>
      </c>
      <c r="B1861" t="s">
        <v>3691</v>
      </c>
      <c r="C1861" t="s">
        <v>4235</v>
      </c>
      <c r="D1861" t="s">
        <v>4236</v>
      </c>
    </row>
    <row r="1862" spans="1:4" x14ac:dyDescent="0.3">
      <c r="A1862" t="s">
        <v>3690</v>
      </c>
      <c r="B1862" t="s">
        <v>3691</v>
      </c>
      <c r="C1862" t="s">
        <v>4260</v>
      </c>
      <c r="D1862" t="s">
        <v>4247</v>
      </c>
    </row>
    <row r="1863" spans="1:4" x14ac:dyDescent="0.3">
      <c r="A1863" t="s">
        <v>3690</v>
      </c>
      <c r="B1863" t="s">
        <v>3691</v>
      </c>
      <c r="C1863" t="s">
        <v>4261</v>
      </c>
      <c r="D1863" t="s">
        <v>4248</v>
      </c>
    </row>
    <row r="1864" spans="1:4" x14ac:dyDescent="0.3">
      <c r="A1864" t="s">
        <v>3690</v>
      </c>
      <c r="B1864" t="s">
        <v>3691</v>
      </c>
      <c r="C1864" t="s">
        <v>4264</v>
      </c>
      <c r="D1864" t="s">
        <v>4251</v>
      </c>
    </row>
    <row r="1865" spans="1:4" x14ac:dyDescent="0.3">
      <c r="A1865" t="s">
        <v>3690</v>
      </c>
      <c r="B1865" t="s">
        <v>3691</v>
      </c>
      <c r="C1865" t="s">
        <v>3709</v>
      </c>
      <c r="D1865" t="s">
        <v>4237</v>
      </c>
    </row>
    <row r="1866" spans="1:4" x14ac:dyDescent="0.3">
      <c r="A1866" t="s">
        <v>3690</v>
      </c>
      <c r="B1866" t="s">
        <v>3691</v>
      </c>
      <c r="C1866" t="s">
        <v>3694</v>
      </c>
      <c r="D1866" t="s">
        <v>4238</v>
      </c>
    </row>
    <row r="1867" spans="1:4" x14ac:dyDescent="0.3">
      <c r="A1867" t="s">
        <v>3710</v>
      </c>
      <c r="B1867" t="s">
        <v>3711</v>
      </c>
      <c r="C1867" t="s">
        <v>3726</v>
      </c>
      <c r="D1867" t="s">
        <v>3727</v>
      </c>
    </row>
    <row r="1868" spans="1:4" x14ac:dyDescent="0.3">
      <c r="A1868" t="s">
        <v>3710</v>
      </c>
      <c r="B1868" t="s">
        <v>3711</v>
      </c>
      <c r="C1868" t="s">
        <v>3744</v>
      </c>
      <c r="D1868" t="s">
        <v>3745</v>
      </c>
    </row>
    <row r="1869" spans="1:4" x14ac:dyDescent="0.3">
      <c r="A1869" t="s">
        <v>3710</v>
      </c>
      <c r="B1869" t="s">
        <v>3711</v>
      </c>
      <c r="C1869" t="s">
        <v>3720</v>
      </c>
      <c r="D1869" t="s">
        <v>3721</v>
      </c>
    </row>
    <row r="1870" spans="1:4" x14ac:dyDescent="0.3">
      <c r="A1870" t="s">
        <v>3710</v>
      </c>
      <c r="B1870" t="s">
        <v>3711</v>
      </c>
      <c r="C1870" t="s">
        <v>3746</v>
      </c>
      <c r="D1870" t="s">
        <v>3747</v>
      </c>
    </row>
    <row r="1871" spans="1:4" x14ac:dyDescent="0.3">
      <c r="A1871" t="s">
        <v>3710</v>
      </c>
      <c r="B1871" t="s">
        <v>3711</v>
      </c>
      <c r="C1871" t="s">
        <v>3724</v>
      </c>
      <c r="D1871" t="s">
        <v>3725</v>
      </c>
    </row>
    <row r="1872" spans="1:4" x14ac:dyDescent="0.3">
      <c r="A1872" t="s">
        <v>3710</v>
      </c>
      <c r="B1872" t="s">
        <v>3711</v>
      </c>
      <c r="C1872" t="s">
        <v>3734</v>
      </c>
      <c r="D1872" t="s">
        <v>3735</v>
      </c>
    </row>
    <row r="1873" spans="1:4" x14ac:dyDescent="0.3">
      <c r="A1873" t="s">
        <v>3710</v>
      </c>
      <c r="B1873" t="s">
        <v>3711</v>
      </c>
      <c r="C1873" t="s">
        <v>3738</v>
      </c>
      <c r="D1873" t="s">
        <v>3739</v>
      </c>
    </row>
    <row r="1874" spans="1:4" x14ac:dyDescent="0.3">
      <c r="A1874" t="s">
        <v>3710</v>
      </c>
      <c r="B1874" t="s">
        <v>3711</v>
      </c>
      <c r="C1874" t="s">
        <v>3718</v>
      </c>
      <c r="D1874" t="s">
        <v>3719</v>
      </c>
    </row>
    <row r="1875" spans="1:4" x14ac:dyDescent="0.3">
      <c r="A1875" t="s">
        <v>3710</v>
      </c>
      <c r="B1875" t="s">
        <v>3711</v>
      </c>
      <c r="C1875" t="s">
        <v>3728</v>
      </c>
      <c r="D1875" t="s">
        <v>3729</v>
      </c>
    </row>
    <row r="1876" spans="1:4" x14ac:dyDescent="0.3">
      <c r="A1876" t="s">
        <v>3710</v>
      </c>
      <c r="B1876" t="s">
        <v>3711</v>
      </c>
      <c r="C1876" t="s">
        <v>3736</v>
      </c>
      <c r="D1876" t="s">
        <v>3737</v>
      </c>
    </row>
    <row r="1877" spans="1:4" x14ac:dyDescent="0.3">
      <c r="A1877" t="s">
        <v>3710</v>
      </c>
      <c r="B1877" t="s">
        <v>3711</v>
      </c>
      <c r="C1877" t="s">
        <v>3750</v>
      </c>
      <c r="D1877" t="s">
        <v>3751</v>
      </c>
    </row>
    <row r="1878" spans="1:4" x14ac:dyDescent="0.3">
      <c r="A1878" t="s">
        <v>3710</v>
      </c>
      <c r="B1878" t="s">
        <v>3711</v>
      </c>
      <c r="C1878" t="s">
        <v>3748</v>
      </c>
      <c r="D1878" t="s">
        <v>3749</v>
      </c>
    </row>
    <row r="1879" spans="1:4" x14ac:dyDescent="0.3">
      <c r="A1879" t="s">
        <v>3710</v>
      </c>
      <c r="B1879" t="s">
        <v>3711</v>
      </c>
      <c r="C1879" t="s">
        <v>3716</v>
      </c>
      <c r="D1879" t="s">
        <v>3717</v>
      </c>
    </row>
    <row r="1880" spans="1:4" x14ac:dyDescent="0.3">
      <c r="A1880" t="s">
        <v>3710</v>
      </c>
      <c r="B1880" t="s">
        <v>3711</v>
      </c>
      <c r="C1880" t="s">
        <v>3722</v>
      </c>
      <c r="D1880" t="s">
        <v>3723</v>
      </c>
    </row>
    <row r="1881" spans="1:4" x14ac:dyDescent="0.3">
      <c r="A1881" t="s">
        <v>3710</v>
      </c>
      <c r="B1881" t="s">
        <v>3711</v>
      </c>
      <c r="C1881" t="s">
        <v>3732</v>
      </c>
      <c r="D1881" t="s">
        <v>3733</v>
      </c>
    </row>
    <row r="1882" spans="1:4" x14ac:dyDescent="0.3">
      <c r="A1882" t="s">
        <v>3710</v>
      </c>
      <c r="B1882" t="s">
        <v>3711</v>
      </c>
      <c r="C1882" t="s">
        <v>3712</v>
      </c>
      <c r="D1882" t="s">
        <v>3713</v>
      </c>
    </row>
    <row r="1883" spans="1:4" x14ac:dyDescent="0.3">
      <c r="A1883" t="s">
        <v>3710</v>
      </c>
      <c r="B1883" t="s">
        <v>3711</v>
      </c>
      <c r="C1883" t="s">
        <v>3730</v>
      </c>
      <c r="D1883" t="s">
        <v>3731</v>
      </c>
    </row>
    <row r="1884" spans="1:4" x14ac:dyDescent="0.3">
      <c r="A1884" t="s">
        <v>3710</v>
      </c>
      <c r="B1884" t="s">
        <v>3711</v>
      </c>
      <c r="C1884" t="s">
        <v>3742</v>
      </c>
      <c r="D1884" t="s">
        <v>3743</v>
      </c>
    </row>
    <row r="1885" spans="1:4" x14ac:dyDescent="0.3">
      <c r="A1885" t="s">
        <v>3710</v>
      </c>
      <c r="B1885" t="s">
        <v>3711</v>
      </c>
      <c r="C1885" t="s">
        <v>3740</v>
      </c>
      <c r="D1885" t="s">
        <v>3741</v>
      </c>
    </row>
    <row r="1886" spans="1:4" x14ac:dyDescent="0.3">
      <c r="A1886" t="s">
        <v>3710</v>
      </c>
      <c r="B1886" t="s">
        <v>3711</v>
      </c>
      <c r="C1886" t="s">
        <v>3714</v>
      </c>
      <c r="D1886" t="s">
        <v>3715</v>
      </c>
    </row>
    <row r="1887" spans="1:4" x14ac:dyDescent="0.3">
      <c r="A1887" t="s">
        <v>3710</v>
      </c>
      <c r="B1887" t="s">
        <v>3711</v>
      </c>
      <c r="C1887" t="s">
        <v>4239</v>
      </c>
      <c r="D1887" t="s">
        <v>4240</v>
      </c>
    </row>
    <row r="1888" spans="1:4" x14ac:dyDescent="0.3">
      <c r="A1888" t="s">
        <v>1937</v>
      </c>
      <c r="B1888" t="s">
        <v>3752</v>
      </c>
      <c r="C1888" t="s">
        <v>3784</v>
      </c>
      <c r="D1888" t="s">
        <v>3785</v>
      </c>
    </row>
    <row r="1889" spans="1:4" x14ac:dyDescent="0.3">
      <c r="A1889" t="s">
        <v>1937</v>
      </c>
      <c r="B1889" t="s">
        <v>3752</v>
      </c>
      <c r="C1889" t="s">
        <v>3762</v>
      </c>
      <c r="D1889" t="s">
        <v>3763</v>
      </c>
    </row>
    <row r="1890" spans="1:4" x14ac:dyDescent="0.3">
      <c r="A1890" t="s">
        <v>1937</v>
      </c>
      <c r="B1890" t="s">
        <v>3752</v>
      </c>
      <c r="C1890" t="s">
        <v>3772</v>
      </c>
      <c r="D1890" t="s">
        <v>3773</v>
      </c>
    </row>
    <row r="1891" spans="1:4" x14ac:dyDescent="0.3">
      <c r="A1891" t="s">
        <v>1937</v>
      </c>
      <c r="B1891" t="s">
        <v>3752</v>
      </c>
      <c r="C1891" t="s">
        <v>3782</v>
      </c>
      <c r="D1891" t="s">
        <v>3783</v>
      </c>
    </row>
    <row r="1892" spans="1:4" x14ac:dyDescent="0.3">
      <c r="A1892" t="s">
        <v>1937</v>
      </c>
      <c r="B1892" t="s">
        <v>3752</v>
      </c>
      <c r="C1892" t="s">
        <v>3753</v>
      </c>
      <c r="D1892" t="s">
        <v>4241</v>
      </c>
    </row>
    <row r="1893" spans="1:4" x14ac:dyDescent="0.3">
      <c r="A1893" t="s">
        <v>1937</v>
      </c>
      <c r="B1893" t="s">
        <v>3752</v>
      </c>
      <c r="C1893" t="s">
        <v>3764</v>
      </c>
      <c r="D1893" t="s">
        <v>3765</v>
      </c>
    </row>
    <row r="1894" spans="1:4" x14ac:dyDescent="0.3">
      <c r="A1894" t="s">
        <v>1937</v>
      </c>
      <c r="B1894" t="s">
        <v>3752</v>
      </c>
      <c r="C1894" t="s">
        <v>3760</v>
      </c>
      <c r="D1894" t="s">
        <v>3761</v>
      </c>
    </row>
    <row r="1895" spans="1:4" x14ac:dyDescent="0.3">
      <c r="A1895" t="s">
        <v>1937</v>
      </c>
      <c r="B1895" t="s">
        <v>3752</v>
      </c>
      <c r="C1895" t="s">
        <v>3770</v>
      </c>
      <c r="D1895" t="s">
        <v>3771</v>
      </c>
    </row>
    <row r="1896" spans="1:4" x14ac:dyDescent="0.3">
      <c r="A1896" t="s">
        <v>1937</v>
      </c>
      <c r="B1896" t="s">
        <v>3752</v>
      </c>
      <c r="C1896" t="s">
        <v>3756</v>
      </c>
      <c r="D1896" t="s">
        <v>3757</v>
      </c>
    </row>
    <row r="1897" spans="1:4" x14ac:dyDescent="0.3">
      <c r="A1897" t="s">
        <v>1937</v>
      </c>
      <c r="B1897" t="s">
        <v>3752</v>
      </c>
      <c r="C1897" t="s">
        <v>3780</v>
      </c>
      <c r="D1897" t="s">
        <v>3781</v>
      </c>
    </row>
    <row r="1898" spans="1:4" x14ac:dyDescent="0.3">
      <c r="A1898" t="s">
        <v>1937</v>
      </c>
      <c r="B1898" t="s">
        <v>3752</v>
      </c>
      <c r="C1898" t="s">
        <v>3768</v>
      </c>
      <c r="D1898" t="s">
        <v>3769</v>
      </c>
    </row>
    <row r="1899" spans="1:4" x14ac:dyDescent="0.3">
      <c r="A1899" t="s">
        <v>1937</v>
      </c>
      <c r="B1899" t="s">
        <v>3752</v>
      </c>
      <c r="C1899" t="s">
        <v>3758</v>
      </c>
      <c r="D1899" t="s">
        <v>3759</v>
      </c>
    </row>
    <row r="1900" spans="1:4" x14ac:dyDescent="0.3">
      <c r="A1900" t="s">
        <v>1937</v>
      </c>
      <c r="B1900" t="s">
        <v>3752</v>
      </c>
      <c r="C1900" t="s">
        <v>3766</v>
      </c>
      <c r="D1900" t="s">
        <v>3767</v>
      </c>
    </row>
    <row r="1901" spans="1:4" x14ac:dyDescent="0.3">
      <c r="A1901" t="s">
        <v>1937</v>
      </c>
      <c r="B1901" t="s">
        <v>3752</v>
      </c>
      <c r="C1901" t="s">
        <v>3778</v>
      </c>
      <c r="D1901" t="s">
        <v>3779</v>
      </c>
    </row>
    <row r="1902" spans="1:4" x14ac:dyDescent="0.3">
      <c r="A1902" t="s">
        <v>1937</v>
      </c>
      <c r="B1902" t="s">
        <v>3752</v>
      </c>
      <c r="C1902" t="s">
        <v>3754</v>
      </c>
      <c r="D1902" t="s">
        <v>3755</v>
      </c>
    </row>
    <row r="1903" spans="1:4" x14ac:dyDescent="0.3">
      <c r="A1903" t="s">
        <v>1937</v>
      </c>
      <c r="B1903" t="s">
        <v>3752</v>
      </c>
      <c r="C1903" t="s">
        <v>3774</v>
      </c>
      <c r="D1903" t="s">
        <v>3775</v>
      </c>
    </row>
    <row r="1904" spans="1:4" x14ac:dyDescent="0.3">
      <c r="A1904" t="s">
        <v>1937</v>
      </c>
      <c r="B1904" t="s">
        <v>3752</v>
      </c>
      <c r="C1904" t="s">
        <v>3786</v>
      </c>
      <c r="D1904" t="s">
        <v>3787</v>
      </c>
    </row>
    <row r="1905" spans="1:4" x14ac:dyDescent="0.3">
      <c r="A1905" t="s">
        <v>1937</v>
      </c>
      <c r="B1905" t="s">
        <v>3752</v>
      </c>
      <c r="C1905" t="s">
        <v>3776</v>
      </c>
      <c r="D1905" t="s">
        <v>3777</v>
      </c>
    </row>
    <row r="1906" spans="1:4" x14ac:dyDescent="0.3">
      <c r="A1906" t="s">
        <v>2600</v>
      </c>
      <c r="B1906" t="s">
        <v>3788</v>
      </c>
      <c r="C1906" t="s">
        <v>3809</v>
      </c>
      <c r="D1906" t="s">
        <v>3810</v>
      </c>
    </row>
    <row r="1907" spans="1:4" x14ac:dyDescent="0.3">
      <c r="A1907" t="s">
        <v>2600</v>
      </c>
      <c r="B1907" t="s">
        <v>3788</v>
      </c>
      <c r="C1907" t="s">
        <v>3797</v>
      </c>
      <c r="D1907" t="s">
        <v>3798</v>
      </c>
    </row>
    <row r="1908" spans="1:4" x14ac:dyDescent="0.3">
      <c r="A1908" t="s">
        <v>2600</v>
      </c>
      <c r="B1908" t="s">
        <v>3788</v>
      </c>
      <c r="C1908" t="s">
        <v>3801</v>
      </c>
      <c r="D1908" t="s">
        <v>1167</v>
      </c>
    </row>
    <row r="1909" spans="1:4" x14ac:dyDescent="0.3">
      <c r="A1909" t="s">
        <v>2600</v>
      </c>
      <c r="B1909" t="s">
        <v>3788</v>
      </c>
      <c r="C1909" t="s">
        <v>3789</v>
      </c>
      <c r="D1909" t="s">
        <v>3790</v>
      </c>
    </row>
    <row r="1910" spans="1:4" x14ac:dyDescent="0.3">
      <c r="A1910" t="s">
        <v>2600</v>
      </c>
      <c r="B1910" t="s">
        <v>3788</v>
      </c>
      <c r="C1910" t="s">
        <v>3799</v>
      </c>
      <c r="D1910" t="s">
        <v>3800</v>
      </c>
    </row>
    <row r="1911" spans="1:4" x14ac:dyDescent="0.3">
      <c r="A1911" t="s">
        <v>2600</v>
      </c>
      <c r="B1911" t="s">
        <v>3788</v>
      </c>
      <c r="C1911" t="s">
        <v>3793</v>
      </c>
      <c r="D1911" t="s">
        <v>3794</v>
      </c>
    </row>
    <row r="1912" spans="1:4" x14ac:dyDescent="0.3">
      <c r="A1912" t="s">
        <v>2600</v>
      </c>
      <c r="B1912" t="s">
        <v>3788</v>
      </c>
      <c r="C1912" t="s">
        <v>3804</v>
      </c>
      <c r="D1912" t="s">
        <v>3805</v>
      </c>
    </row>
    <row r="1913" spans="1:4" x14ac:dyDescent="0.3">
      <c r="A1913" t="s">
        <v>2600</v>
      </c>
      <c r="B1913" t="s">
        <v>3788</v>
      </c>
      <c r="C1913" t="s">
        <v>3802</v>
      </c>
      <c r="D1913" t="s">
        <v>3803</v>
      </c>
    </row>
    <row r="1914" spans="1:4" x14ac:dyDescent="0.3">
      <c r="A1914" t="s">
        <v>2600</v>
      </c>
      <c r="B1914" t="s">
        <v>3788</v>
      </c>
      <c r="C1914" t="s">
        <v>3795</v>
      </c>
      <c r="D1914" t="s">
        <v>3796</v>
      </c>
    </row>
    <row r="1915" spans="1:4" x14ac:dyDescent="0.3">
      <c r="A1915" t="s">
        <v>2600</v>
      </c>
      <c r="B1915" t="s">
        <v>3788</v>
      </c>
      <c r="C1915" t="s">
        <v>3808</v>
      </c>
      <c r="D1915" t="s">
        <v>409</v>
      </c>
    </row>
    <row r="1916" spans="1:4" x14ac:dyDescent="0.3">
      <c r="A1916" t="s">
        <v>2600</v>
      </c>
      <c r="B1916" t="s">
        <v>3788</v>
      </c>
      <c r="C1916" t="s">
        <v>3791</v>
      </c>
      <c r="D1916" t="s">
        <v>3792</v>
      </c>
    </row>
    <row r="1917" spans="1:4" x14ac:dyDescent="0.3">
      <c r="A1917" t="s">
        <v>2600</v>
      </c>
      <c r="B1917" t="s">
        <v>3788</v>
      </c>
      <c r="C1917" t="s">
        <v>3806</v>
      </c>
      <c r="D1917" t="s">
        <v>3807</v>
      </c>
    </row>
    <row r="1918" spans="1:4" x14ac:dyDescent="0.3">
      <c r="A1918" t="s">
        <v>3811</v>
      </c>
      <c r="B1918" t="s">
        <v>4242</v>
      </c>
      <c r="C1918" t="s">
        <v>3830</v>
      </c>
      <c r="D1918" t="s">
        <v>3831</v>
      </c>
    </row>
    <row r="1919" spans="1:4" x14ac:dyDescent="0.3">
      <c r="A1919" t="s">
        <v>3811</v>
      </c>
      <c r="B1919" t="s">
        <v>4242</v>
      </c>
      <c r="C1919" t="s">
        <v>3832</v>
      </c>
      <c r="D1919" t="s">
        <v>3833</v>
      </c>
    </row>
    <row r="1920" spans="1:4" x14ac:dyDescent="0.3">
      <c r="A1920" t="s">
        <v>3811</v>
      </c>
      <c r="B1920" t="s">
        <v>4242</v>
      </c>
      <c r="C1920" t="s">
        <v>3816</v>
      </c>
      <c r="D1920" t="s">
        <v>3817</v>
      </c>
    </row>
    <row r="1921" spans="1:4" x14ac:dyDescent="0.3">
      <c r="A1921" t="s">
        <v>3811</v>
      </c>
      <c r="B1921" t="s">
        <v>4242</v>
      </c>
      <c r="C1921" t="s">
        <v>3850</v>
      </c>
      <c r="D1921" t="s">
        <v>3851</v>
      </c>
    </row>
    <row r="1922" spans="1:4" x14ac:dyDescent="0.3">
      <c r="A1922" t="s">
        <v>3811</v>
      </c>
      <c r="B1922" t="s">
        <v>4242</v>
      </c>
      <c r="C1922" t="s">
        <v>3848</v>
      </c>
      <c r="D1922" t="s">
        <v>3849</v>
      </c>
    </row>
    <row r="1923" spans="1:4" x14ac:dyDescent="0.3">
      <c r="A1923" t="s">
        <v>3811</v>
      </c>
      <c r="B1923" t="s">
        <v>4242</v>
      </c>
      <c r="C1923" t="s">
        <v>3824</v>
      </c>
      <c r="D1923" t="s">
        <v>3825</v>
      </c>
    </row>
    <row r="1924" spans="1:4" x14ac:dyDescent="0.3">
      <c r="A1924" t="s">
        <v>3811</v>
      </c>
      <c r="B1924" t="s">
        <v>4242</v>
      </c>
      <c r="C1924" t="s">
        <v>3812</v>
      </c>
      <c r="D1924" t="s">
        <v>3813</v>
      </c>
    </row>
    <row r="1925" spans="1:4" x14ac:dyDescent="0.3">
      <c r="A1925" t="s">
        <v>3811</v>
      </c>
      <c r="B1925" t="s">
        <v>4242</v>
      </c>
      <c r="C1925" t="s">
        <v>3814</v>
      </c>
      <c r="D1925" t="s">
        <v>3815</v>
      </c>
    </row>
    <row r="1926" spans="1:4" x14ac:dyDescent="0.3">
      <c r="A1926" t="s">
        <v>3811</v>
      </c>
      <c r="B1926" t="s">
        <v>4242</v>
      </c>
      <c r="C1926" t="s">
        <v>3818</v>
      </c>
      <c r="D1926" t="s">
        <v>3819</v>
      </c>
    </row>
    <row r="1927" spans="1:4" x14ac:dyDescent="0.3">
      <c r="A1927" t="s">
        <v>3811</v>
      </c>
      <c r="B1927" t="s">
        <v>4242</v>
      </c>
      <c r="C1927" t="s">
        <v>3844</v>
      </c>
      <c r="D1927" t="s">
        <v>3845</v>
      </c>
    </row>
    <row r="1928" spans="1:4" x14ac:dyDescent="0.3">
      <c r="A1928" t="s">
        <v>3811</v>
      </c>
      <c r="B1928" t="s">
        <v>4242</v>
      </c>
      <c r="C1928" t="s">
        <v>3834</v>
      </c>
      <c r="D1928" t="s">
        <v>3835</v>
      </c>
    </row>
    <row r="1929" spans="1:4" x14ac:dyDescent="0.3">
      <c r="A1929" t="s">
        <v>3811</v>
      </c>
      <c r="B1929" t="s">
        <v>4242</v>
      </c>
      <c r="C1929" t="s">
        <v>3828</v>
      </c>
      <c r="D1929" t="s">
        <v>3829</v>
      </c>
    </row>
    <row r="1930" spans="1:4" x14ac:dyDescent="0.3">
      <c r="A1930" t="s">
        <v>3811</v>
      </c>
      <c r="B1930" t="s">
        <v>4242</v>
      </c>
      <c r="C1930" t="s">
        <v>3836</v>
      </c>
      <c r="D1930" t="s">
        <v>3837</v>
      </c>
    </row>
    <row r="1931" spans="1:4" x14ac:dyDescent="0.3">
      <c r="A1931" t="s">
        <v>3811</v>
      </c>
      <c r="B1931" t="s">
        <v>4242</v>
      </c>
      <c r="C1931" t="s">
        <v>3842</v>
      </c>
      <c r="D1931" t="s">
        <v>3843</v>
      </c>
    </row>
    <row r="1932" spans="1:4" x14ac:dyDescent="0.3">
      <c r="A1932" t="s">
        <v>3811</v>
      </c>
      <c r="B1932" t="s">
        <v>4242</v>
      </c>
      <c r="C1932" t="s">
        <v>3822</v>
      </c>
      <c r="D1932" t="s">
        <v>3823</v>
      </c>
    </row>
    <row r="1933" spans="1:4" x14ac:dyDescent="0.3">
      <c r="A1933" t="s">
        <v>3811</v>
      </c>
      <c r="B1933" t="s">
        <v>4242</v>
      </c>
      <c r="C1933" t="s">
        <v>3838</v>
      </c>
      <c r="D1933" t="s">
        <v>3839</v>
      </c>
    </row>
    <row r="1934" spans="1:4" x14ac:dyDescent="0.3">
      <c r="A1934" t="s">
        <v>3811</v>
      </c>
      <c r="B1934" t="s">
        <v>4242</v>
      </c>
      <c r="C1934" t="s">
        <v>3826</v>
      </c>
      <c r="D1934" t="s">
        <v>3827</v>
      </c>
    </row>
    <row r="1935" spans="1:4" x14ac:dyDescent="0.3">
      <c r="A1935" t="s">
        <v>3811</v>
      </c>
      <c r="B1935" t="s">
        <v>4242</v>
      </c>
      <c r="C1935" t="s">
        <v>3846</v>
      </c>
      <c r="D1935" t="s">
        <v>3847</v>
      </c>
    </row>
    <row r="1936" spans="1:4" x14ac:dyDescent="0.3">
      <c r="A1936" t="s">
        <v>3811</v>
      </c>
      <c r="B1936" t="s">
        <v>4242</v>
      </c>
      <c r="C1936" t="s">
        <v>3840</v>
      </c>
      <c r="D1936" t="s">
        <v>3841</v>
      </c>
    </row>
    <row r="1937" spans="1:4" x14ac:dyDescent="0.3">
      <c r="A1937" t="s">
        <v>3811</v>
      </c>
      <c r="B1937" t="s">
        <v>4242</v>
      </c>
      <c r="C1937" t="s">
        <v>3820</v>
      </c>
      <c r="D1937" t="s">
        <v>3821</v>
      </c>
    </row>
    <row r="1938" spans="1:4" x14ac:dyDescent="0.3">
      <c r="A1938" t="s">
        <v>3852</v>
      </c>
      <c r="B1938" t="s">
        <v>3853</v>
      </c>
      <c r="C1938" t="s">
        <v>3908</v>
      </c>
      <c r="D1938" t="s">
        <v>3909</v>
      </c>
    </row>
    <row r="1939" spans="1:4" x14ac:dyDescent="0.3">
      <c r="A1939" t="s">
        <v>3852</v>
      </c>
      <c r="B1939" t="s">
        <v>3853</v>
      </c>
      <c r="C1939" t="s">
        <v>3916</v>
      </c>
      <c r="D1939" t="s">
        <v>3917</v>
      </c>
    </row>
    <row r="1940" spans="1:4" x14ac:dyDescent="0.3">
      <c r="A1940" t="s">
        <v>3852</v>
      </c>
      <c r="B1940" t="s">
        <v>3853</v>
      </c>
      <c r="C1940" t="s">
        <v>3856</v>
      </c>
      <c r="D1940" t="s">
        <v>3857</v>
      </c>
    </row>
    <row r="1941" spans="1:4" x14ac:dyDescent="0.3">
      <c r="A1941" t="s">
        <v>3852</v>
      </c>
      <c r="B1941" t="s">
        <v>3853</v>
      </c>
      <c r="C1941" t="s">
        <v>3892</v>
      </c>
      <c r="D1941" t="s">
        <v>3893</v>
      </c>
    </row>
    <row r="1942" spans="1:4" x14ac:dyDescent="0.3">
      <c r="A1942" t="s">
        <v>3852</v>
      </c>
      <c r="B1942" t="s">
        <v>3853</v>
      </c>
      <c r="C1942" t="s">
        <v>3860</v>
      </c>
      <c r="D1942" t="s">
        <v>3861</v>
      </c>
    </row>
    <row r="1943" spans="1:4" x14ac:dyDescent="0.3">
      <c r="A1943" t="s">
        <v>3852</v>
      </c>
      <c r="B1943" t="s">
        <v>3853</v>
      </c>
      <c r="C1943" t="s">
        <v>3862</v>
      </c>
      <c r="D1943" t="s">
        <v>3863</v>
      </c>
    </row>
    <row r="1944" spans="1:4" x14ac:dyDescent="0.3">
      <c r="A1944" t="s">
        <v>3852</v>
      </c>
      <c r="B1944" t="s">
        <v>3853</v>
      </c>
      <c r="C1944" t="s">
        <v>3858</v>
      </c>
      <c r="D1944" t="s">
        <v>3859</v>
      </c>
    </row>
    <row r="1945" spans="1:4" x14ac:dyDescent="0.3">
      <c r="A1945" t="s">
        <v>3852</v>
      </c>
      <c r="B1945" t="s">
        <v>3853</v>
      </c>
      <c r="C1945" t="s">
        <v>3904</v>
      </c>
      <c r="D1945" t="s">
        <v>3905</v>
      </c>
    </row>
    <row r="1946" spans="1:4" x14ac:dyDescent="0.3">
      <c r="A1946" t="s">
        <v>3852</v>
      </c>
      <c r="B1946" t="s">
        <v>3853</v>
      </c>
      <c r="C1946" t="s">
        <v>3876</v>
      </c>
      <c r="D1946" t="s">
        <v>3877</v>
      </c>
    </row>
    <row r="1947" spans="1:4" x14ac:dyDescent="0.3">
      <c r="A1947" t="s">
        <v>3852</v>
      </c>
      <c r="B1947" t="s">
        <v>3853</v>
      </c>
      <c r="C1947" t="s">
        <v>3874</v>
      </c>
      <c r="D1947" t="s">
        <v>3875</v>
      </c>
    </row>
    <row r="1948" spans="1:4" x14ac:dyDescent="0.3">
      <c r="A1948" t="s">
        <v>3852</v>
      </c>
      <c r="B1948" t="s">
        <v>3853</v>
      </c>
      <c r="C1948" t="s">
        <v>3882</v>
      </c>
      <c r="D1948" t="s">
        <v>3883</v>
      </c>
    </row>
    <row r="1949" spans="1:4" x14ac:dyDescent="0.3">
      <c r="A1949" t="s">
        <v>3852</v>
      </c>
      <c r="B1949" t="s">
        <v>3853</v>
      </c>
      <c r="C1949" t="s">
        <v>3854</v>
      </c>
      <c r="D1949" t="s">
        <v>3855</v>
      </c>
    </row>
    <row r="1950" spans="1:4" x14ac:dyDescent="0.3">
      <c r="A1950" t="s">
        <v>3852</v>
      </c>
      <c r="B1950" t="s">
        <v>3853</v>
      </c>
      <c r="C1950" t="s">
        <v>3864</v>
      </c>
      <c r="D1950" t="s">
        <v>3865</v>
      </c>
    </row>
    <row r="1951" spans="1:4" x14ac:dyDescent="0.3">
      <c r="A1951" t="s">
        <v>3852</v>
      </c>
      <c r="B1951" t="s">
        <v>3853</v>
      </c>
      <c r="C1951" t="s">
        <v>3868</v>
      </c>
      <c r="D1951" t="s">
        <v>3869</v>
      </c>
    </row>
    <row r="1952" spans="1:4" x14ac:dyDescent="0.3">
      <c r="A1952" t="s">
        <v>3852</v>
      </c>
      <c r="B1952" t="s">
        <v>3853</v>
      </c>
      <c r="C1952" t="s">
        <v>3872</v>
      </c>
      <c r="D1952" t="s">
        <v>3873</v>
      </c>
    </row>
    <row r="1953" spans="1:4" x14ac:dyDescent="0.3">
      <c r="A1953" t="s">
        <v>3852</v>
      </c>
      <c r="B1953" t="s">
        <v>3853</v>
      </c>
      <c r="C1953" t="s">
        <v>3884</v>
      </c>
      <c r="D1953" t="s">
        <v>3885</v>
      </c>
    </row>
    <row r="1954" spans="1:4" x14ac:dyDescent="0.3">
      <c r="A1954" t="s">
        <v>3852</v>
      </c>
      <c r="B1954" t="s">
        <v>3853</v>
      </c>
      <c r="C1954" t="s">
        <v>3890</v>
      </c>
      <c r="D1954" t="s">
        <v>3891</v>
      </c>
    </row>
    <row r="1955" spans="1:4" x14ac:dyDescent="0.3">
      <c r="A1955" t="s">
        <v>3852</v>
      </c>
      <c r="B1955" t="s">
        <v>3853</v>
      </c>
      <c r="C1955" t="s">
        <v>3900</v>
      </c>
      <c r="D1955" t="s">
        <v>3901</v>
      </c>
    </row>
    <row r="1956" spans="1:4" x14ac:dyDescent="0.3">
      <c r="A1956" t="s">
        <v>3852</v>
      </c>
      <c r="B1956" t="s">
        <v>3853</v>
      </c>
      <c r="C1956" t="s">
        <v>3902</v>
      </c>
      <c r="D1956" t="s">
        <v>3903</v>
      </c>
    </row>
    <row r="1957" spans="1:4" x14ac:dyDescent="0.3">
      <c r="A1957" t="s">
        <v>3852</v>
      </c>
      <c r="B1957" t="s">
        <v>3853</v>
      </c>
      <c r="C1957" t="s">
        <v>3910</v>
      </c>
      <c r="D1957" t="s">
        <v>3911</v>
      </c>
    </row>
    <row r="1958" spans="1:4" x14ac:dyDescent="0.3">
      <c r="A1958" t="s">
        <v>3852</v>
      </c>
      <c r="B1958" t="s">
        <v>3853</v>
      </c>
      <c r="C1958" t="s">
        <v>3914</v>
      </c>
      <c r="D1958" t="s">
        <v>3915</v>
      </c>
    </row>
    <row r="1959" spans="1:4" x14ac:dyDescent="0.3">
      <c r="A1959" t="s">
        <v>3852</v>
      </c>
      <c r="B1959" t="s">
        <v>3853</v>
      </c>
      <c r="C1959" t="s">
        <v>3906</v>
      </c>
      <c r="D1959" t="s">
        <v>3907</v>
      </c>
    </row>
    <row r="1960" spans="1:4" x14ac:dyDescent="0.3">
      <c r="A1960" t="s">
        <v>3852</v>
      </c>
      <c r="B1960" t="s">
        <v>3853</v>
      </c>
      <c r="C1960" t="s">
        <v>3866</v>
      </c>
      <c r="D1960" t="s">
        <v>3867</v>
      </c>
    </row>
    <row r="1961" spans="1:4" x14ac:dyDescent="0.3">
      <c r="A1961" t="s">
        <v>3852</v>
      </c>
      <c r="B1961" t="s">
        <v>3853</v>
      </c>
      <c r="C1961" t="s">
        <v>3896</v>
      </c>
      <c r="D1961" t="s">
        <v>3897</v>
      </c>
    </row>
    <row r="1962" spans="1:4" x14ac:dyDescent="0.3">
      <c r="A1962" t="s">
        <v>3852</v>
      </c>
      <c r="B1962" t="s">
        <v>3853</v>
      </c>
      <c r="C1962" t="s">
        <v>3898</v>
      </c>
      <c r="D1962" t="s">
        <v>3899</v>
      </c>
    </row>
    <row r="1963" spans="1:4" x14ac:dyDescent="0.3">
      <c r="A1963" t="s">
        <v>3852</v>
      </c>
      <c r="B1963" t="s">
        <v>3853</v>
      </c>
      <c r="C1963" t="s">
        <v>3894</v>
      </c>
      <c r="D1963" t="s">
        <v>3895</v>
      </c>
    </row>
    <row r="1964" spans="1:4" x14ac:dyDescent="0.3">
      <c r="A1964" t="s">
        <v>3852</v>
      </c>
      <c r="B1964" t="s">
        <v>3853</v>
      </c>
      <c r="C1964" t="s">
        <v>3878</v>
      </c>
      <c r="D1964" t="s">
        <v>3879</v>
      </c>
    </row>
    <row r="1965" spans="1:4" x14ac:dyDescent="0.3">
      <c r="A1965" t="s">
        <v>3852</v>
      </c>
      <c r="B1965" t="s">
        <v>3853</v>
      </c>
      <c r="C1965" t="s">
        <v>3880</v>
      </c>
      <c r="D1965" t="s">
        <v>3881</v>
      </c>
    </row>
    <row r="1966" spans="1:4" x14ac:dyDescent="0.3">
      <c r="A1966" t="s">
        <v>3852</v>
      </c>
      <c r="B1966" t="s">
        <v>3853</v>
      </c>
      <c r="C1966" t="s">
        <v>3886</v>
      </c>
      <c r="D1966" t="s">
        <v>3887</v>
      </c>
    </row>
    <row r="1967" spans="1:4" x14ac:dyDescent="0.3">
      <c r="A1967" t="s">
        <v>3852</v>
      </c>
      <c r="B1967" t="s">
        <v>3853</v>
      </c>
      <c r="C1967" t="s">
        <v>3888</v>
      </c>
      <c r="D1967" t="s">
        <v>3889</v>
      </c>
    </row>
    <row r="1968" spans="1:4" x14ac:dyDescent="0.3">
      <c r="A1968" t="s">
        <v>3852</v>
      </c>
      <c r="B1968" t="s">
        <v>3853</v>
      </c>
      <c r="C1968" t="s">
        <v>3918</v>
      </c>
      <c r="D1968" t="s">
        <v>3919</v>
      </c>
    </row>
    <row r="1969" spans="1:4" x14ac:dyDescent="0.3">
      <c r="A1969" t="s">
        <v>3852</v>
      </c>
      <c r="B1969" t="s">
        <v>3853</v>
      </c>
      <c r="C1969" t="s">
        <v>3912</v>
      </c>
      <c r="D1969" t="s">
        <v>3913</v>
      </c>
    </row>
    <row r="1970" spans="1:4" x14ac:dyDescent="0.3">
      <c r="A1970" t="s">
        <v>3852</v>
      </c>
      <c r="B1970" t="s">
        <v>3853</v>
      </c>
      <c r="C1970" t="s">
        <v>3870</v>
      </c>
      <c r="D1970" t="s">
        <v>3871</v>
      </c>
    </row>
    <row r="1971" spans="1:4" x14ac:dyDescent="0.3">
      <c r="A1971" t="s">
        <v>2931</v>
      </c>
      <c r="B1971" t="s">
        <v>3920</v>
      </c>
      <c r="C1971" t="s">
        <v>3945</v>
      </c>
      <c r="D1971" t="s">
        <v>3946</v>
      </c>
    </row>
    <row r="1972" spans="1:4" x14ac:dyDescent="0.3">
      <c r="A1972" t="s">
        <v>2931</v>
      </c>
      <c r="B1972" t="s">
        <v>3920</v>
      </c>
      <c r="C1972" t="s">
        <v>3936</v>
      </c>
      <c r="D1972" t="s">
        <v>3937</v>
      </c>
    </row>
    <row r="1973" spans="1:4" x14ac:dyDescent="0.3">
      <c r="A1973" t="s">
        <v>2931</v>
      </c>
      <c r="B1973" t="s">
        <v>3920</v>
      </c>
      <c r="C1973" t="s">
        <v>3950</v>
      </c>
      <c r="D1973" t="s">
        <v>3951</v>
      </c>
    </row>
    <row r="1974" spans="1:4" x14ac:dyDescent="0.3">
      <c r="A1974" t="s">
        <v>2931</v>
      </c>
      <c r="B1974" t="s">
        <v>3920</v>
      </c>
      <c r="C1974" t="s">
        <v>3925</v>
      </c>
      <c r="D1974" t="s">
        <v>3926</v>
      </c>
    </row>
    <row r="1975" spans="1:4" x14ac:dyDescent="0.3">
      <c r="A1975" t="s">
        <v>2931</v>
      </c>
      <c r="B1975" t="s">
        <v>3920</v>
      </c>
      <c r="C1975" t="s">
        <v>3921</v>
      </c>
      <c r="D1975" t="s">
        <v>3922</v>
      </c>
    </row>
    <row r="1976" spans="1:4" x14ac:dyDescent="0.3">
      <c r="A1976" t="s">
        <v>2931</v>
      </c>
      <c r="B1976" t="s">
        <v>3920</v>
      </c>
      <c r="C1976" t="s">
        <v>3923</v>
      </c>
      <c r="D1976" t="s">
        <v>3924</v>
      </c>
    </row>
    <row r="1977" spans="1:4" x14ac:dyDescent="0.3">
      <c r="A1977" t="s">
        <v>2931</v>
      </c>
      <c r="B1977" t="s">
        <v>3920</v>
      </c>
      <c r="C1977" t="s">
        <v>3928</v>
      </c>
      <c r="D1977" t="s">
        <v>3929</v>
      </c>
    </row>
    <row r="1978" spans="1:4" x14ac:dyDescent="0.3">
      <c r="A1978" t="s">
        <v>2931</v>
      </c>
      <c r="B1978" t="s">
        <v>3920</v>
      </c>
      <c r="C1978" t="s">
        <v>3943</v>
      </c>
      <c r="D1978" t="s">
        <v>3944</v>
      </c>
    </row>
    <row r="1979" spans="1:4" x14ac:dyDescent="0.3">
      <c r="A1979" t="s">
        <v>2931</v>
      </c>
      <c r="B1979" t="s">
        <v>3920</v>
      </c>
      <c r="C1979" t="s">
        <v>3930</v>
      </c>
      <c r="D1979" t="s">
        <v>3931</v>
      </c>
    </row>
    <row r="1980" spans="1:4" x14ac:dyDescent="0.3">
      <c r="A1980" t="s">
        <v>2931</v>
      </c>
      <c r="B1980" t="s">
        <v>3920</v>
      </c>
      <c r="C1980" t="s">
        <v>3934</v>
      </c>
      <c r="D1980" t="s">
        <v>3935</v>
      </c>
    </row>
    <row r="1981" spans="1:4" x14ac:dyDescent="0.3">
      <c r="A1981" t="s">
        <v>2931</v>
      </c>
      <c r="B1981" t="s">
        <v>3920</v>
      </c>
      <c r="C1981" t="s">
        <v>3947</v>
      </c>
      <c r="D1981" t="s">
        <v>3948</v>
      </c>
    </row>
    <row r="1982" spans="1:4" x14ac:dyDescent="0.3">
      <c r="A1982" t="s">
        <v>2931</v>
      </c>
      <c r="B1982" t="s">
        <v>3920</v>
      </c>
      <c r="C1982" t="s">
        <v>3958</v>
      </c>
      <c r="D1982" t="s">
        <v>3959</v>
      </c>
    </row>
    <row r="1983" spans="1:4" x14ac:dyDescent="0.3">
      <c r="A1983" t="s">
        <v>2931</v>
      </c>
      <c r="B1983" t="s">
        <v>3920</v>
      </c>
      <c r="C1983" t="s">
        <v>3932</v>
      </c>
      <c r="D1983" t="s">
        <v>3933</v>
      </c>
    </row>
    <row r="1984" spans="1:4" x14ac:dyDescent="0.3">
      <c r="A1984" t="s">
        <v>2931</v>
      </c>
      <c r="B1984" t="s">
        <v>3920</v>
      </c>
      <c r="C1984" t="s">
        <v>3954</v>
      </c>
      <c r="D1984" t="s">
        <v>3955</v>
      </c>
    </row>
    <row r="1985" spans="1:4" x14ac:dyDescent="0.3">
      <c r="A1985" t="s">
        <v>2931</v>
      </c>
      <c r="B1985" t="s">
        <v>3920</v>
      </c>
      <c r="C1985" t="s">
        <v>3941</v>
      </c>
      <c r="D1985" t="s">
        <v>3942</v>
      </c>
    </row>
    <row r="1986" spans="1:4" x14ac:dyDescent="0.3">
      <c r="A1986" t="s">
        <v>2931</v>
      </c>
      <c r="B1986" t="s">
        <v>3920</v>
      </c>
      <c r="C1986" t="s">
        <v>3939</v>
      </c>
      <c r="D1986" t="s">
        <v>3940</v>
      </c>
    </row>
    <row r="1987" spans="1:4" x14ac:dyDescent="0.3">
      <c r="A1987" t="s">
        <v>2931</v>
      </c>
      <c r="B1987" t="s">
        <v>3920</v>
      </c>
      <c r="C1987" t="s">
        <v>3949</v>
      </c>
      <c r="D1987" t="s">
        <v>901</v>
      </c>
    </row>
    <row r="1988" spans="1:4" x14ac:dyDescent="0.3">
      <c r="A1988" t="s">
        <v>2931</v>
      </c>
      <c r="B1988" t="s">
        <v>3920</v>
      </c>
      <c r="C1988" t="s">
        <v>3952</v>
      </c>
      <c r="D1988" t="s">
        <v>3953</v>
      </c>
    </row>
    <row r="1989" spans="1:4" x14ac:dyDescent="0.3">
      <c r="A1989" t="s">
        <v>2931</v>
      </c>
      <c r="B1989" t="s">
        <v>3920</v>
      </c>
      <c r="C1989" t="s">
        <v>3927</v>
      </c>
      <c r="D1989" t="s">
        <v>1538</v>
      </c>
    </row>
    <row r="1990" spans="1:4" x14ac:dyDescent="0.3">
      <c r="A1990" t="s">
        <v>2931</v>
      </c>
      <c r="B1990" t="s">
        <v>3920</v>
      </c>
      <c r="C1990" t="s">
        <v>3938</v>
      </c>
      <c r="D1990" t="s">
        <v>1798</v>
      </c>
    </row>
    <row r="1991" spans="1:4" x14ac:dyDescent="0.3">
      <c r="A1991" t="s">
        <v>2931</v>
      </c>
      <c r="B1991" t="s">
        <v>3920</v>
      </c>
      <c r="C1991" t="s">
        <v>3956</v>
      </c>
      <c r="D1991" t="s">
        <v>3957</v>
      </c>
    </row>
    <row r="1992" spans="1:4" x14ac:dyDescent="0.3">
      <c r="A1992" t="s">
        <v>3960</v>
      </c>
      <c r="B1992" t="s">
        <v>3961</v>
      </c>
      <c r="C1992" t="s">
        <v>3993</v>
      </c>
      <c r="D1992" t="s">
        <v>3994</v>
      </c>
    </row>
    <row r="1993" spans="1:4" x14ac:dyDescent="0.3">
      <c r="A1993" t="s">
        <v>3960</v>
      </c>
      <c r="B1993" t="s">
        <v>3961</v>
      </c>
      <c r="C1993" t="s">
        <v>3975</v>
      </c>
      <c r="D1993" t="s">
        <v>3976</v>
      </c>
    </row>
    <row r="1994" spans="1:4" x14ac:dyDescent="0.3">
      <c r="A1994" t="s">
        <v>3960</v>
      </c>
      <c r="B1994" t="s">
        <v>3961</v>
      </c>
      <c r="C1994" t="s">
        <v>3981</v>
      </c>
      <c r="D1994" t="s">
        <v>3982</v>
      </c>
    </row>
    <row r="1995" spans="1:4" x14ac:dyDescent="0.3">
      <c r="A1995" t="s">
        <v>3960</v>
      </c>
      <c r="B1995" t="s">
        <v>3961</v>
      </c>
      <c r="C1995" t="s">
        <v>3983</v>
      </c>
      <c r="D1995" t="s">
        <v>3984</v>
      </c>
    </row>
    <row r="1996" spans="1:4" x14ac:dyDescent="0.3">
      <c r="A1996" t="s">
        <v>3960</v>
      </c>
      <c r="B1996" t="s">
        <v>3961</v>
      </c>
      <c r="C1996" t="s">
        <v>3979</v>
      </c>
      <c r="D1996" t="s">
        <v>3980</v>
      </c>
    </row>
    <row r="1997" spans="1:4" x14ac:dyDescent="0.3">
      <c r="A1997" t="s">
        <v>3960</v>
      </c>
      <c r="B1997" t="s">
        <v>3961</v>
      </c>
      <c r="C1997" t="s">
        <v>3962</v>
      </c>
      <c r="D1997" t="s">
        <v>3963</v>
      </c>
    </row>
    <row r="1998" spans="1:4" x14ac:dyDescent="0.3">
      <c r="A1998" t="s">
        <v>3960</v>
      </c>
      <c r="B1998" t="s">
        <v>3961</v>
      </c>
      <c r="C1998" t="s">
        <v>3973</v>
      </c>
      <c r="D1998" t="s">
        <v>3974</v>
      </c>
    </row>
    <row r="1999" spans="1:4" x14ac:dyDescent="0.3">
      <c r="A1999" t="s">
        <v>3960</v>
      </c>
      <c r="B1999" t="s">
        <v>3961</v>
      </c>
      <c r="C1999" t="s">
        <v>3966</v>
      </c>
      <c r="D1999" t="s">
        <v>3967</v>
      </c>
    </row>
    <row r="2000" spans="1:4" x14ac:dyDescent="0.3">
      <c r="A2000" t="s">
        <v>3960</v>
      </c>
      <c r="B2000" t="s">
        <v>3961</v>
      </c>
      <c r="C2000" t="s">
        <v>3964</v>
      </c>
      <c r="D2000" t="s">
        <v>3965</v>
      </c>
    </row>
    <row r="2001" spans="1:4" x14ac:dyDescent="0.3">
      <c r="A2001" t="s">
        <v>3960</v>
      </c>
      <c r="B2001" t="s">
        <v>3961</v>
      </c>
      <c r="C2001" t="s">
        <v>3968</v>
      </c>
      <c r="D2001" t="s">
        <v>3969</v>
      </c>
    </row>
    <row r="2002" spans="1:4" x14ac:dyDescent="0.3">
      <c r="A2002" t="s">
        <v>3960</v>
      </c>
      <c r="B2002" t="s">
        <v>3961</v>
      </c>
      <c r="C2002" t="s">
        <v>3972</v>
      </c>
      <c r="D2002" t="s">
        <v>678</v>
      </c>
    </row>
    <row r="2003" spans="1:4" x14ac:dyDescent="0.3">
      <c r="A2003" t="s">
        <v>3960</v>
      </c>
      <c r="B2003" t="s">
        <v>3961</v>
      </c>
      <c r="C2003" t="s">
        <v>3970</v>
      </c>
      <c r="D2003" t="s">
        <v>3971</v>
      </c>
    </row>
    <row r="2004" spans="1:4" x14ac:dyDescent="0.3">
      <c r="A2004" t="s">
        <v>3960</v>
      </c>
      <c r="B2004" t="s">
        <v>3961</v>
      </c>
      <c r="C2004" t="s">
        <v>2681</v>
      </c>
      <c r="D2004" t="s">
        <v>3995</v>
      </c>
    </row>
    <row r="2005" spans="1:4" x14ac:dyDescent="0.3">
      <c r="A2005" t="s">
        <v>3960</v>
      </c>
      <c r="B2005" t="s">
        <v>3961</v>
      </c>
      <c r="C2005" t="s">
        <v>3977</v>
      </c>
      <c r="D2005" t="s">
        <v>3978</v>
      </c>
    </row>
    <row r="2006" spans="1:4" x14ac:dyDescent="0.3">
      <c r="A2006" t="s">
        <v>3960</v>
      </c>
      <c r="B2006" t="s">
        <v>3961</v>
      </c>
      <c r="C2006" t="s">
        <v>3987</v>
      </c>
      <c r="D2006" t="s">
        <v>3988</v>
      </c>
    </row>
    <row r="2007" spans="1:4" x14ac:dyDescent="0.3">
      <c r="A2007" t="s">
        <v>3960</v>
      </c>
      <c r="B2007" t="s">
        <v>3961</v>
      </c>
      <c r="C2007" t="s">
        <v>3989</v>
      </c>
      <c r="D2007" t="s">
        <v>3990</v>
      </c>
    </row>
    <row r="2008" spans="1:4" x14ac:dyDescent="0.3">
      <c r="A2008" t="s">
        <v>3960</v>
      </c>
      <c r="B2008" t="s">
        <v>3961</v>
      </c>
      <c r="C2008" t="s">
        <v>3985</v>
      </c>
      <c r="D2008" t="s">
        <v>3986</v>
      </c>
    </row>
    <row r="2009" spans="1:4" x14ac:dyDescent="0.3">
      <c r="A2009" t="s">
        <v>3960</v>
      </c>
      <c r="B2009" t="s">
        <v>3961</v>
      </c>
      <c r="C2009" t="s">
        <v>3991</v>
      </c>
      <c r="D2009" t="s">
        <v>3992</v>
      </c>
    </row>
    <row r="2010" spans="1:4" x14ac:dyDescent="0.3">
      <c r="A2010" t="s">
        <v>3996</v>
      </c>
      <c r="B2010" t="s">
        <v>3997</v>
      </c>
      <c r="C2010" t="s">
        <v>4052</v>
      </c>
      <c r="D2010" t="s">
        <v>4053</v>
      </c>
    </row>
    <row r="2011" spans="1:4" x14ac:dyDescent="0.3">
      <c r="A2011" t="s">
        <v>3996</v>
      </c>
      <c r="B2011" t="s">
        <v>3997</v>
      </c>
      <c r="C2011" t="s">
        <v>4002</v>
      </c>
      <c r="D2011" t="s">
        <v>4003</v>
      </c>
    </row>
    <row r="2012" spans="1:4" x14ac:dyDescent="0.3">
      <c r="A2012" t="s">
        <v>3996</v>
      </c>
      <c r="B2012" t="s">
        <v>3997</v>
      </c>
      <c r="C2012" t="s">
        <v>4026</v>
      </c>
      <c r="D2012" t="s">
        <v>4027</v>
      </c>
    </row>
    <row r="2013" spans="1:4" x14ac:dyDescent="0.3">
      <c r="A2013" t="s">
        <v>3996</v>
      </c>
      <c r="B2013" t="s">
        <v>3997</v>
      </c>
      <c r="C2013" t="s">
        <v>4028</v>
      </c>
      <c r="D2013" t="s">
        <v>4029</v>
      </c>
    </row>
    <row r="2014" spans="1:4" x14ac:dyDescent="0.3">
      <c r="A2014" t="s">
        <v>3996</v>
      </c>
      <c r="B2014" t="s">
        <v>3997</v>
      </c>
      <c r="C2014" t="s">
        <v>4056</v>
      </c>
      <c r="D2014" t="s">
        <v>4057</v>
      </c>
    </row>
    <row r="2015" spans="1:4" x14ac:dyDescent="0.3">
      <c r="A2015" t="s">
        <v>3996</v>
      </c>
      <c r="B2015" t="s">
        <v>3997</v>
      </c>
      <c r="C2015" t="s">
        <v>4243</v>
      </c>
      <c r="D2015" t="s">
        <v>4244</v>
      </c>
    </row>
    <row r="2016" spans="1:4" x14ac:dyDescent="0.3">
      <c r="A2016" t="s">
        <v>3996</v>
      </c>
      <c r="B2016" t="s">
        <v>3997</v>
      </c>
      <c r="C2016" t="s">
        <v>4006</v>
      </c>
      <c r="D2016" t="s">
        <v>4007</v>
      </c>
    </row>
    <row r="2017" spans="1:4" x14ac:dyDescent="0.3">
      <c r="A2017" t="s">
        <v>3996</v>
      </c>
      <c r="B2017" t="s">
        <v>3997</v>
      </c>
      <c r="C2017" t="s">
        <v>4010</v>
      </c>
      <c r="D2017" t="s">
        <v>4011</v>
      </c>
    </row>
    <row r="2018" spans="1:4" x14ac:dyDescent="0.3">
      <c r="A2018" t="s">
        <v>3996</v>
      </c>
      <c r="B2018" t="s">
        <v>3997</v>
      </c>
      <c r="C2018" t="s">
        <v>4050</v>
      </c>
      <c r="D2018" t="s">
        <v>4051</v>
      </c>
    </row>
    <row r="2019" spans="1:4" x14ac:dyDescent="0.3">
      <c r="A2019" t="s">
        <v>3996</v>
      </c>
      <c r="B2019" t="s">
        <v>3997</v>
      </c>
      <c r="C2019" t="s">
        <v>4036</v>
      </c>
      <c r="D2019" t="s">
        <v>4037</v>
      </c>
    </row>
    <row r="2020" spans="1:4" x14ac:dyDescent="0.3">
      <c r="A2020" t="s">
        <v>3996</v>
      </c>
      <c r="B2020" t="s">
        <v>3997</v>
      </c>
      <c r="C2020" t="s">
        <v>4042</v>
      </c>
      <c r="D2020" t="s">
        <v>4043</v>
      </c>
    </row>
    <row r="2021" spans="1:4" x14ac:dyDescent="0.3">
      <c r="A2021" t="s">
        <v>3996</v>
      </c>
      <c r="B2021" t="s">
        <v>3997</v>
      </c>
      <c r="C2021" t="s">
        <v>4040</v>
      </c>
      <c r="D2021" t="s">
        <v>4041</v>
      </c>
    </row>
    <row r="2022" spans="1:4" x14ac:dyDescent="0.3">
      <c r="A2022" t="s">
        <v>3996</v>
      </c>
      <c r="B2022" t="s">
        <v>3997</v>
      </c>
      <c r="C2022" t="s">
        <v>4046</v>
      </c>
      <c r="D2022" t="s">
        <v>4047</v>
      </c>
    </row>
    <row r="2023" spans="1:4" x14ac:dyDescent="0.3">
      <c r="A2023" t="s">
        <v>3996</v>
      </c>
      <c r="B2023" t="s">
        <v>3997</v>
      </c>
      <c r="C2023" t="s">
        <v>4044</v>
      </c>
      <c r="D2023" t="s">
        <v>4045</v>
      </c>
    </row>
    <row r="2024" spans="1:4" x14ac:dyDescent="0.3">
      <c r="A2024" t="s">
        <v>3996</v>
      </c>
      <c r="B2024" t="s">
        <v>3997</v>
      </c>
      <c r="C2024" t="s">
        <v>4024</v>
      </c>
      <c r="D2024" t="s">
        <v>4025</v>
      </c>
    </row>
    <row r="2025" spans="1:4" x14ac:dyDescent="0.3">
      <c r="A2025" t="s">
        <v>3996</v>
      </c>
      <c r="B2025" t="s">
        <v>3997</v>
      </c>
      <c r="C2025" t="s">
        <v>4054</v>
      </c>
      <c r="D2025" t="s">
        <v>4055</v>
      </c>
    </row>
    <row r="2026" spans="1:4" x14ac:dyDescent="0.3">
      <c r="A2026" t="s">
        <v>3996</v>
      </c>
      <c r="B2026" t="s">
        <v>3997</v>
      </c>
      <c r="C2026" t="s">
        <v>3998</v>
      </c>
      <c r="D2026" t="s">
        <v>3999</v>
      </c>
    </row>
    <row r="2027" spans="1:4" x14ac:dyDescent="0.3">
      <c r="A2027" t="s">
        <v>3996</v>
      </c>
      <c r="B2027" t="s">
        <v>3997</v>
      </c>
      <c r="C2027" t="s">
        <v>4004</v>
      </c>
      <c r="D2027" t="s">
        <v>4005</v>
      </c>
    </row>
    <row r="2028" spans="1:4" x14ac:dyDescent="0.3">
      <c r="A2028" t="s">
        <v>3996</v>
      </c>
      <c r="B2028" t="s">
        <v>3997</v>
      </c>
      <c r="C2028" t="s">
        <v>4030</v>
      </c>
      <c r="D2028" t="s">
        <v>4031</v>
      </c>
    </row>
    <row r="2029" spans="1:4" x14ac:dyDescent="0.3">
      <c r="A2029" t="s">
        <v>3996</v>
      </c>
      <c r="B2029" t="s">
        <v>3997</v>
      </c>
      <c r="C2029" t="s">
        <v>4008</v>
      </c>
      <c r="D2029" t="s">
        <v>4009</v>
      </c>
    </row>
    <row r="2030" spans="1:4" x14ac:dyDescent="0.3">
      <c r="A2030" t="s">
        <v>3996</v>
      </c>
      <c r="B2030" t="s">
        <v>3997</v>
      </c>
      <c r="C2030" t="s">
        <v>4014</v>
      </c>
      <c r="D2030" t="s">
        <v>4015</v>
      </c>
    </row>
    <row r="2031" spans="1:4" x14ac:dyDescent="0.3">
      <c r="A2031" t="s">
        <v>3996</v>
      </c>
      <c r="B2031" t="s">
        <v>3997</v>
      </c>
      <c r="C2031" t="s">
        <v>4022</v>
      </c>
      <c r="D2031" t="s">
        <v>4023</v>
      </c>
    </row>
    <row r="2032" spans="1:4" x14ac:dyDescent="0.3">
      <c r="A2032" t="s">
        <v>3996</v>
      </c>
      <c r="B2032" t="s">
        <v>3997</v>
      </c>
      <c r="C2032" t="s">
        <v>4018</v>
      </c>
      <c r="D2032" t="s">
        <v>4019</v>
      </c>
    </row>
    <row r="2033" spans="1:4" x14ac:dyDescent="0.3">
      <c r="A2033" t="s">
        <v>3996</v>
      </c>
      <c r="B2033" t="s">
        <v>3997</v>
      </c>
      <c r="C2033" t="s">
        <v>4016</v>
      </c>
      <c r="D2033" t="s">
        <v>4017</v>
      </c>
    </row>
    <row r="2034" spans="1:4" x14ac:dyDescent="0.3">
      <c r="A2034" t="s">
        <v>3996</v>
      </c>
      <c r="B2034" t="s">
        <v>3997</v>
      </c>
      <c r="C2034" t="s">
        <v>4048</v>
      </c>
      <c r="D2034" t="s">
        <v>4049</v>
      </c>
    </row>
    <row r="2035" spans="1:4" x14ac:dyDescent="0.3">
      <c r="A2035" t="s">
        <v>3996</v>
      </c>
      <c r="B2035" t="s">
        <v>3997</v>
      </c>
      <c r="C2035" t="s">
        <v>4012</v>
      </c>
      <c r="D2035" t="s">
        <v>4013</v>
      </c>
    </row>
    <row r="2036" spans="1:4" x14ac:dyDescent="0.3">
      <c r="A2036" t="s">
        <v>3996</v>
      </c>
      <c r="B2036" t="s">
        <v>3997</v>
      </c>
      <c r="C2036" t="s">
        <v>4038</v>
      </c>
      <c r="D2036" t="s">
        <v>4039</v>
      </c>
    </row>
    <row r="2037" spans="1:4" x14ac:dyDescent="0.3">
      <c r="A2037" t="s">
        <v>3996</v>
      </c>
      <c r="B2037" t="s">
        <v>3997</v>
      </c>
      <c r="C2037" t="s">
        <v>4034</v>
      </c>
      <c r="D2037" t="s">
        <v>4035</v>
      </c>
    </row>
    <row r="2038" spans="1:4" x14ac:dyDescent="0.3">
      <c r="A2038" t="s">
        <v>3996</v>
      </c>
      <c r="B2038" t="s">
        <v>3997</v>
      </c>
      <c r="C2038" t="s">
        <v>4020</v>
      </c>
      <c r="D2038" t="s">
        <v>4021</v>
      </c>
    </row>
    <row r="2039" spans="1:4" x14ac:dyDescent="0.3">
      <c r="A2039" t="s">
        <v>3996</v>
      </c>
      <c r="B2039" t="s">
        <v>3997</v>
      </c>
      <c r="C2039" t="s">
        <v>4000</v>
      </c>
      <c r="D2039" t="s">
        <v>4001</v>
      </c>
    </row>
    <row r="2040" spans="1:4" x14ac:dyDescent="0.3">
      <c r="A2040" t="s">
        <v>3996</v>
      </c>
      <c r="B2040" t="s">
        <v>3997</v>
      </c>
      <c r="C2040" t="s">
        <v>4032</v>
      </c>
      <c r="D2040" t="s">
        <v>4033</v>
      </c>
    </row>
  </sheetData>
  <sheetProtection algorithmName="SHA-512" hashValue="NQF5vrrOsE7lUw+MYYxeT21rDI2zl4IgmCkrJ/RE88DYAwIhLs348oiPT5/CaMPpClR6Yr5s9PoaLtnHeqyXzQ==" saltValue="3kqojX3Xoowu87kqPrpMag==" spinCount="100000" sheet="1" objects="1" scenarios="1"/>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4EFF7-7C27-4C3C-9021-0D8DDF2F1F4A}">
  <dimension ref="C1:AG1114"/>
  <sheetViews>
    <sheetView topLeftCell="A10" workbookViewId="0">
      <selection activeCell="B25" sqref="B25"/>
    </sheetView>
  </sheetViews>
  <sheetFormatPr defaultRowHeight="16.5" x14ac:dyDescent="0.3"/>
  <cols>
    <col min="4" max="4" width="10.375" style="37" bestFit="1" customWidth="1"/>
    <col min="5" max="5" width="22.625" style="37" bestFit="1" customWidth="1"/>
    <col min="6" max="6" width="22.625" bestFit="1" customWidth="1"/>
    <col min="7" max="7" width="10.375" bestFit="1" customWidth="1"/>
    <col min="11" max="11" width="16" customWidth="1"/>
    <col min="12" max="12" width="22.625" style="37" bestFit="1" customWidth="1"/>
    <col min="14" max="14" width="22.625" bestFit="1" customWidth="1"/>
    <col min="15" max="15" width="22.625" customWidth="1"/>
    <col min="16" max="16" width="10.375" bestFit="1" customWidth="1"/>
    <col min="17" max="17" width="10.375" customWidth="1"/>
    <col min="18" max="18" width="22.625" bestFit="1" customWidth="1"/>
    <col min="24" max="24" width="10.375" bestFit="1" customWidth="1"/>
    <col min="25" max="25" width="13.75" bestFit="1" customWidth="1"/>
    <col min="29" max="29" width="17.5" customWidth="1"/>
    <col min="30" max="30" width="16.5" bestFit="1" customWidth="1"/>
    <col min="31" max="31" width="16.75" bestFit="1" customWidth="1"/>
    <col min="32" max="32" width="15" customWidth="1"/>
  </cols>
  <sheetData>
    <row r="1" spans="25:33" x14ac:dyDescent="0.3">
      <c r="Y1" t="s">
        <v>4058</v>
      </c>
    </row>
    <row r="2" spans="25:33" x14ac:dyDescent="0.3">
      <c r="Y2" t="s">
        <v>4059</v>
      </c>
      <c r="Z2" t="s">
        <v>4060</v>
      </c>
      <c r="AC2" t="s">
        <v>4061</v>
      </c>
    </row>
    <row r="3" spans="25:33" x14ac:dyDescent="0.3">
      <c r="Y3" t="s">
        <v>4062</v>
      </c>
      <c r="Z3">
        <f>SUM(F21:F464)</f>
        <v>0</v>
      </c>
      <c r="AC3" t="s">
        <v>4063</v>
      </c>
      <c r="AD3" t="s">
        <v>4092</v>
      </c>
      <c r="AE3" t="s">
        <v>4064</v>
      </c>
      <c r="AF3" t="s">
        <v>4065</v>
      </c>
      <c r="AG3" t="s">
        <v>53</v>
      </c>
    </row>
    <row r="4" spans="25:33" x14ac:dyDescent="0.3">
      <c r="Y4" t="s">
        <v>30</v>
      </c>
      <c r="Z4">
        <f>+Z3-SUM(O21:O226)</f>
        <v>0</v>
      </c>
      <c r="AC4">
        <v>1</v>
      </c>
      <c r="AD4">
        <v>1</v>
      </c>
      <c r="AE4" s="42">
        <f>SUM(Term1_Day_1[Instructional Time])</f>
        <v>57.999999999999957</v>
      </c>
      <c r="AF4" s="42">
        <f>SUM(Term1_Day_1[Assigned Time (Non-Instructional)])</f>
        <v>27.000000000000064</v>
      </c>
      <c r="AG4">
        <f t="shared" ref="AG4:AG89" si="0">+AE4+AF4</f>
        <v>85.000000000000028</v>
      </c>
    </row>
    <row r="5" spans="25:33" x14ac:dyDescent="0.3">
      <c r="Y5" t="s">
        <v>49</v>
      </c>
      <c r="Z5">
        <f>COUNTIF(N21:N226,"=Early Dismissal 1")+COUNTIF(N21:N226,"=Early Dismissal 2")+COUNTIF(N21:N226,"=Early Dismissal 3")</f>
        <v>0</v>
      </c>
      <c r="AC5">
        <v>2</v>
      </c>
      <c r="AD5">
        <v>1</v>
      </c>
      <c r="AE5" s="42">
        <f>SUM(Term1_Day_2[Instructional Time])</f>
        <v>0</v>
      </c>
      <c r="AF5" s="42">
        <f>SUM(Term1_Day_2[Assigned Time (Non-Instructional)])</f>
        <v>0</v>
      </c>
      <c r="AG5">
        <f t="shared" si="0"/>
        <v>0</v>
      </c>
    </row>
    <row r="6" spans="25:33" x14ac:dyDescent="0.3">
      <c r="AC6">
        <v>3</v>
      </c>
      <c r="AD6">
        <v>1</v>
      </c>
      <c r="AE6" s="42">
        <f>SUM(Term1_Day_3[Instructional Time])</f>
        <v>0</v>
      </c>
      <c r="AF6" s="42">
        <f>SUM(Term1_Day_3[Assigned Time (Non-Instructional)])</f>
        <v>0</v>
      </c>
      <c r="AG6">
        <f t="shared" si="0"/>
        <v>0</v>
      </c>
    </row>
    <row r="7" spans="25:33" x14ac:dyDescent="0.3">
      <c r="AC7">
        <v>4</v>
      </c>
      <c r="AD7">
        <v>1</v>
      </c>
      <c r="AE7" s="42">
        <f>SUM(Term1_Day_4[Instructional Time])</f>
        <v>0</v>
      </c>
      <c r="AF7" s="42">
        <f>SUM(Term1_Day_4[Assigned Time (Non-Instructional)])</f>
        <v>0</v>
      </c>
      <c r="AG7">
        <f t="shared" si="0"/>
        <v>0</v>
      </c>
    </row>
    <row r="8" spans="25:33" x14ac:dyDescent="0.3">
      <c r="Y8" t="s">
        <v>4093</v>
      </c>
      <c r="AC8">
        <v>5</v>
      </c>
      <c r="AD8">
        <v>1</v>
      </c>
      <c r="AE8" s="42">
        <f>SUM(Term1_Day_5[Instructional Time])</f>
        <v>0</v>
      </c>
      <c r="AF8" s="42">
        <f>SUM(Term1_Day_5[Assigned Time (Non-Instructional)])</f>
        <v>0</v>
      </c>
      <c r="AG8">
        <f t="shared" si="0"/>
        <v>0</v>
      </c>
    </row>
    <row r="9" spans="25:33" x14ac:dyDescent="0.3">
      <c r="Y9" t="s">
        <v>29</v>
      </c>
      <c r="Z9" t="s">
        <v>4092</v>
      </c>
      <c r="AC9">
        <v>6</v>
      </c>
      <c r="AD9">
        <v>1</v>
      </c>
      <c r="AE9" s="42">
        <f>SUM(Term1_Day_6[Instructional Time])</f>
        <v>0</v>
      </c>
      <c r="AF9" s="42">
        <f>SUM(Term1_Day_6[Assigned Time (Non-Instructional)])</f>
        <v>0</v>
      </c>
      <c r="AG9">
        <f t="shared" si="0"/>
        <v>0</v>
      </c>
    </row>
    <row r="10" spans="25:33" x14ac:dyDescent="0.3">
      <c r="Y10" s="37">
        <f>First_Operational_Day</f>
        <v>0</v>
      </c>
      <c r="Z10">
        <v>1</v>
      </c>
      <c r="AC10">
        <v>7</v>
      </c>
      <c r="AD10">
        <v>1</v>
      </c>
      <c r="AE10" s="42">
        <f>SUM(Term1_Day_7[Instructional Time])</f>
        <v>0</v>
      </c>
      <c r="AF10" s="42">
        <f>SUM(Term1_Day_7[Assigned Time (Non-Instructional)])</f>
        <v>0</v>
      </c>
      <c r="AG10" s="42">
        <f t="shared" ref="AG10:AG12" si="1">+AE10+AF10</f>
        <v>0</v>
      </c>
    </row>
    <row r="11" spans="25:33" x14ac:dyDescent="0.3">
      <c r="Y11" s="37" t="str">
        <f>IF(ISBLANK(First_Instructional_Day2),"",First_Instructional_Day2)</f>
        <v/>
      </c>
      <c r="Z11">
        <v>2</v>
      </c>
      <c r="AC11">
        <v>8</v>
      </c>
      <c r="AD11">
        <v>1</v>
      </c>
      <c r="AE11" s="42">
        <f>SUM(Term1_Day_8[Instructional Time])</f>
        <v>0</v>
      </c>
      <c r="AF11" s="42">
        <f>SUM(Term1_Day_8[Assigned Time (Non-Instructional)])</f>
        <v>0</v>
      </c>
      <c r="AG11" s="42">
        <f t="shared" si="1"/>
        <v>0</v>
      </c>
    </row>
    <row r="12" spans="25:33" x14ac:dyDescent="0.3">
      <c r="Y12" s="37" t="str">
        <f>IF(ISBLANK(First_Instructional_Day3),"",First_Instructional_Day3)</f>
        <v/>
      </c>
      <c r="Z12">
        <v>3</v>
      </c>
      <c r="AC12">
        <v>9</v>
      </c>
      <c r="AD12">
        <v>1</v>
      </c>
      <c r="AE12" s="42">
        <f>SUM(Term1_Day_9[Instructional Time])</f>
        <v>0</v>
      </c>
      <c r="AF12" s="42">
        <f>SUM(Term1_Day_9[Assigned Time (Non-Instructional)])</f>
        <v>0</v>
      </c>
      <c r="AG12" s="42">
        <f t="shared" si="1"/>
        <v>0</v>
      </c>
    </row>
    <row r="13" spans="25:33" x14ac:dyDescent="0.3">
      <c r="Y13" s="37" t="str">
        <f>IF(ISBLANK(First_Instructional_Day4),"",First_Instructional_Day4)</f>
        <v/>
      </c>
      <c r="Z13">
        <v>4</v>
      </c>
      <c r="AC13">
        <v>10</v>
      </c>
      <c r="AD13">
        <v>1</v>
      </c>
      <c r="AE13" s="42">
        <f>SUM(Term1_Day_10[Instructional Time])</f>
        <v>0</v>
      </c>
      <c r="AF13" s="42">
        <f>SUM(Term1_Day_10[Assigned Time (Non-Instructional)])</f>
        <v>0</v>
      </c>
      <c r="AG13">
        <f t="shared" si="0"/>
        <v>0</v>
      </c>
    </row>
    <row r="14" spans="25:33" x14ac:dyDescent="0.3">
      <c r="AC14">
        <v>90</v>
      </c>
      <c r="AD14">
        <v>1</v>
      </c>
      <c r="AE14" s="42">
        <f>SUM(Term1_Early_Dismissal_1[Instructional Time])</f>
        <v>0</v>
      </c>
      <c r="AF14" s="42">
        <f>SUM(Term1_Early_Dismissal_1[Assigned Time (Non-Instructional)])</f>
        <v>0</v>
      </c>
      <c r="AG14" s="42">
        <f t="shared" ref="AG14:AG23" si="2">+AE14+AF14</f>
        <v>0</v>
      </c>
    </row>
    <row r="15" spans="25:33" x14ac:dyDescent="0.3">
      <c r="AC15">
        <v>91</v>
      </c>
      <c r="AD15">
        <v>1</v>
      </c>
      <c r="AE15" s="42">
        <f>SUM(Term1_Early_Dismissal_2[Instructional Time])</f>
        <v>0</v>
      </c>
      <c r="AF15" s="42">
        <f>SUM(Term1_Early_Dismissal_2[Assigned Time (Non-Instructional)])</f>
        <v>0</v>
      </c>
      <c r="AG15" s="42">
        <f t="shared" si="2"/>
        <v>0</v>
      </c>
    </row>
    <row r="16" spans="25:33" x14ac:dyDescent="0.3">
      <c r="AC16">
        <v>92</v>
      </c>
      <c r="AD16">
        <v>1</v>
      </c>
      <c r="AE16" s="42">
        <f>SUM(Term1_Early_Dismissal_3[Instructional Time])</f>
        <v>0</v>
      </c>
      <c r="AF16" s="42">
        <f>SUM(Term1_Early_Dismissal_3[Assigned Time (Non-Instructional)])</f>
        <v>0</v>
      </c>
      <c r="AG16" s="42">
        <f>+AE16+AF16</f>
        <v>0</v>
      </c>
    </row>
    <row r="17" spans="3:33" x14ac:dyDescent="0.3">
      <c r="Y17" t="s">
        <v>4093</v>
      </c>
      <c r="AC17">
        <v>93</v>
      </c>
      <c r="AD17">
        <v>1</v>
      </c>
      <c r="AE17" s="42">
        <f>SUM(Term1_Early_Dismissal_4[Instructional Time])</f>
        <v>0</v>
      </c>
      <c r="AF17" s="42">
        <f>SUM(Term1_Early_Dismissal_4[Assigned Time (Non-Instructional)])</f>
        <v>0</v>
      </c>
      <c r="AG17" s="42">
        <f>+AE17+AF17</f>
        <v>0</v>
      </c>
    </row>
    <row r="18" spans="3:33" x14ac:dyDescent="0.3">
      <c r="Y18" t="s">
        <v>29</v>
      </c>
      <c r="Z18" t="s">
        <v>4092</v>
      </c>
      <c r="AA18" t="s">
        <v>4063</v>
      </c>
      <c r="AC18">
        <v>94</v>
      </c>
      <c r="AD18">
        <v>1</v>
      </c>
      <c r="AE18" s="42">
        <f>SUM(Term1_Early_Dismissal_5[Instructional Time])</f>
        <v>0</v>
      </c>
      <c r="AF18" s="42">
        <f>SUM(Term1_Early_Dismissal_5[Assigned Time (Non-Instructional)])</f>
        <v>0</v>
      </c>
      <c r="AG18" s="42">
        <f t="shared" ref="AG18:AG19" si="3">+AE18+AF18</f>
        <v>0</v>
      </c>
    </row>
    <row r="19" spans="3:33" x14ac:dyDescent="0.3">
      <c r="Y19" s="37">
        <f>First_Instructional_Day1</f>
        <v>0</v>
      </c>
      <c r="Z19">
        <v>1</v>
      </c>
      <c r="AA19">
        <v>1</v>
      </c>
      <c r="AC19">
        <v>95</v>
      </c>
      <c r="AD19">
        <v>1</v>
      </c>
      <c r="AE19" s="42">
        <f>SUM(Term1_Early_Dismissal_6[Instructional Time])</f>
        <v>0</v>
      </c>
      <c r="AF19" s="42">
        <f>SUM(Term1_Early_Dismissal_6[Assigned Time (Non-Instructional)])</f>
        <v>0</v>
      </c>
      <c r="AG19" s="42">
        <f t="shared" si="3"/>
        <v>0</v>
      </c>
    </row>
    <row r="20" spans="3:33" x14ac:dyDescent="0.3">
      <c r="C20" t="s">
        <v>28</v>
      </c>
      <c r="D20" s="37" t="s">
        <v>29</v>
      </c>
      <c r="E20" t="s">
        <v>19</v>
      </c>
      <c r="F20" t="s">
        <v>4068</v>
      </c>
      <c r="J20" t="s">
        <v>28</v>
      </c>
      <c r="K20" s="37" t="s">
        <v>29</v>
      </c>
      <c r="L20" s="37" t="s">
        <v>19</v>
      </c>
      <c r="M20" t="s">
        <v>4068</v>
      </c>
      <c r="N20" t="s">
        <v>4069</v>
      </c>
      <c r="O20" t="s">
        <v>4146</v>
      </c>
      <c r="P20" t="s">
        <v>4070</v>
      </c>
      <c r="Q20" t="s">
        <v>4071</v>
      </c>
      <c r="R20" t="s">
        <v>4067</v>
      </c>
      <c r="S20" t="s">
        <v>4092</v>
      </c>
      <c r="T20" t="s">
        <v>30</v>
      </c>
      <c r="U20" t="s">
        <v>52</v>
      </c>
      <c r="Y20" s="37" t="str">
        <f>IF(ISBLANK(First_Instructional_Day2),"",First_Instructional_Day2)</f>
        <v/>
      </c>
      <c r="Z20">
        <v>2</v>
      </c>
      <c r="AA20">
        <v>1</v>
      </c>
      <c r="AC20">
        <v>96</v>
      </c>
      <c r="AD20">
        <v>1</v>
      </c>
      <c r="AE20" s="42">
        <f>SUM(Term1_Special_Day_1[Instructional Time])</f>
        <v>0</v>
      </c>
      <c r="AF20" s="42">
        <f>SUM(Term1_Special_Day_1[Assigned Time (Non-Instructional)])</f>
        <v>0</v>
      </c>
      <c r="AG20" s="42">
        <f t="shared" si="2"/>
        <v>0</v>
      </c>
    </row>
    <row r="21" spans="3:33" x14ac:dyDescent="0.3">
      <c r="C21">
        <v>8</v>
      </c>
      <c r="D21" s="37" cm="1">
        <f t="array" ref="D21:D27">TRANSPOSE(Calendar!B13:H13)</f>
        <v>45865</v>
      </c>
      <c r="E21" cm="1">
        <f t="array" ref="E21:E27">TRANSPOSE(Calendar!B14:H14)</f>
        <v>0</v>
      </c>
      <c r="F21">
        <f t="shared" ref="F21:F84" si="4">IF(AND(MONTH(D21)=C21,D21&gt;=First_Operational_Day,D21&lt;=Last_Operational_Day,WEEKDAY(D21)&lt;&gt;1,WEEKDAY(D21)&lt;&gt;7,E21&lt;&gt;"Closed (non-operational)"),1,0)</f>
        <v>0</v>
      </c>
      <c r="J21" t="e" cm="1" vm="1">
        <f t="array" ref="J21">_xlfn._xlws.FILTER(C20:F464,(F20:F464=1))</f>
        <v>#VALUE!</v>
      </c>
      <c r="K21" s="37"/>
      <c r="L21"/>
      <c r="N21" t="str">
        <f>IF(ISBLANK(K21),"",IF(L21=0,"Instructional",L21))</f>
        <v/>
      </c>
      <c r="O21">
        <f>IF(OR(N21="Planning Day",N21="PD/In-Service Day"),1,0)</f>
        <v>0</v>
      </c>
      <c r="P21">
        <f>IF(IF(ISERROR(MATCH(K21,Rotation_Reset_Dates[Date],0)),0,1)=1,1,IF(ISBLANK(K21),"",IF(OR(rotationDays=1,K21&lt;First_Instructional_Day1),0,IF(AND(rotationDays&gt;1,K21=First_Instructional_Day1),1,IF(P20+IF(OR(N20="Instructional",N20="Not Scheduled"),1,0)&gt;rotationDays,1,P20+IF(OR(N20="Instructional",N20="Not Scheduled"),1,0))))))</f>
        <v>1</v>
      </c>
      <c r="Q21" t="str">
        <f t="shared" ref="Q21:Q52" si="5">IF(ISBLANK(K21),"",IF(K21&gt;=First_Instructional_Day1,WEEKDAY(K21)-1,0))</f>
        <v/>
      </c>
      <c r="R21" t="str">
        <f>IF(ISBLANK(K21),"",IF(N21="Operational (no students)",99,IF(N21="Instructional",IF(rotationDays=1,Q21,P21),_xlfn.XLOOKUP(N21,TimeTable_Codes[Description],TimeTable_Codes[TimetableCode]))))</f>
        <v/>
      </c>
      <c r="S21" t="str">
        <f>IF(NOT(ISBLANK(K21)),VLOOKUP(K21,term_lookups[],2),"")</f>
        <v/>
      </c>
      <c r="T21" cm="1">
        <f t="array" ref="T21">IF(ISBLANK(K21),0,_xlfn.XLOOKUP(R21&amp;S21,Daily_Totals[Day]&amp;Daily_Totals[Term],Daily_Totals[Instruction]))</f>
        <v>0</v>
      </c>
      <c r="U21" cm="1">
        <f t="array" ref="U21">IF(ISBLANK(K21),0,_xlfn.XLOOKUP(R21&amp;S21,Daily_Totals[Day]&amp;Daily_Totals[Term],Daily_Totals[Non-Instruction]))</f>
        <v>0</v>
      </c>
      <c r="Y21" s="37" t="str">
        <f>IF(ISBLANK(First_Instructional_Day3),"",First_Instructional_Day3)</f>
        <v/>
      </c>
      <c r="Z21">
        <v>3</v>
      </c>
      <c r="AA21">
        <v>1</v>
      </c>
      <c r="AC21">
        <v>97</v>
      </c>
      <c r="AD21">
        <v>1</v>
      </c>
      <c r="AE21" s="42">
        <f>SUM(Term1_Special_Day_2[Instructional Time])</f>
        <v>0</v>
      </c>
      <c r="AF21" s="42">
        <f>SUM(Term1_Special_Day_2[Assigned Time (Non-Instructional)])</f>
        <v>0</v>
      </c>
      <c r="AG21" s="42">
        <f t="shared" si="2"/>
        <v>0</v>
      </c>
    </row>
    <row r="22" spans="3:33" x14ac:dyDescent="0.3">
      <c r="C22">
        <v>8</v>
      </c>
      <c r="D22" s="37">
        <v>45866</v>
      </c>
      <c r="E22">
        <v>0</v>
      </c>
      <c r="F22">
        <f t="shared" si="4"/>
        <v>0</v>
      </c>
      <c r="K22" s="37"/>
      <c r="L22"/>
      <c r="N22" t="str">
        <f t="shared" ref="N22:N85" si="6">IF(ISBLANK(K22),"",IF(L22=0,"Instructional",L22))</f>
        <v/>
      </c>
      <c r="O22">
        <f t="shared" ref="O22:O85" si="7">IF(OR(N22="Planning Day",N22="PD/In-Service Day"),1,0)</f>
        <v>0</v>
      </c>
      <c r="P22">
        <f>IF(IF(ISERROR(MATCH(K22,Rotation_Reset_Dates[Date],0)),0,1)=1,1,IF(ISBLANK(K22),"",IF(OR(rotationDays=1,K22&lt;First_Instructional_Day1),0,IF(AND(rotationDays&gt;1,K22=First_Instructional_Day1),1,IF(P21+IF(OR(N21="Instructional",N21="Not Scheduled"),1,0)&gt;rotationDays,1,P21+IF(OR(N21="Instructional",N21="Not Scheduled"),1,0))))))</f>
        <v>1</v>
      </c>
      <c r="Q22" t="str">
        <f t="shared" si="5"/>
        <v/>
      </c>
      <c r="R22" t="str">
        <f>IF(ISBLANK(K22),"",IF(N22="Operational (no students)",99,IF(N22="Instructional",IF(rotationDays=1,Q22,P22),_xlfn.XLOOKUP(N22,TimeTable_Codes[Description],TimeTable_Codes[TimetableCode]))))</f>
        <v/>
      </c>
      <c r="S22" t="str">
        <f>IF(NOT(ISBLANK(K22)),VLOOKUP(K22,term_lookups[],2),"")</f>
        <v/>
      </c>
      <c r="T22" cm="1">
        <f t="array" ref="T22">IF(ISBLANK(K22),0,_xlfn.XLOOKUP(R22&amp;S22,Daily_Totals[Day]&amp;Daily_Totals[Term],Daily_Totals[Instruction]))</f>
        <v>0</v>
      </c>
      <c r="U22" cm="1">
        <f t="array" ref="U22">IF(ISBLANK(K22),0,_xlfn.XLOOKUP(R22&amp;S22,Daily_Totals[Day]&amp;Daily_Totals[Term],Daily_Totals[Non-Instruction]))</f>
        <v>0</v>
      </c>
      <c r="Y22" s="37" t="str">
        <f>IF(ISBLANK(First_Instructional_Day4),"",First_Instructional_Day4)</f>
        <v/>
      </c>
      <c r="Z22">
        <v>4</v>
      </c>
      <c r="AA22">
        <v>1</v>
      </c>
      <c r="AC22">
        <v>98</v>
      </c>
      <c r="AD22">
        <v>1</v>
      </c>
      <c r="AE22" s="42">
        <f>SUM(Term1_Special_Day_3[Instructional Time])</f>
        <v>0</v>
      </c>
      <c r="AF22" s="42">
        <f>SUM(Term1_Special_Day_3[Assigned Time (Non-Instructional)])</f>
        <v>0</v>
      </c>
      <c r="AG22" s="42">
        <f t="shared" si="2"/>
        <v>0</v>
      </c>
    </row>
    <row r="23" spans="3:33" x14ac:dyDescent="0.3">
      <c r="C23">
        <v>8</v>
      </c>
      <c r="D23" s="37">
        <v>45867</v>
      </c>
      <c r="E23">
        <v>0</v>
      </c>
      <c r="F23">
        <f t="shared" si="4"/>
        <v>0</v>
      </c>
      <c r="K23" s="37"/>
      <c r="L23"/>
      <c r="N23" t="str">
        <f t="shared" si="6"/>
        <v/>
      </c>
      <c r="O23">
        <f t="shared" si="7"/>
        <v>0</v>
      </c>
      <c r="P23">
        <f>IF(IF(ISERROR(MATCH(K23,Rotation_Reset_Dates[Date],0)),0,1)=1,1,IF(ISBLANK(K23),"",IF(OR(rotationDays=1,K23&lt;First_Instructional_Day1),0,IF(AND(rotationDays&gt;1,K23=First_Instructional_Day1),1,IF(P22+IF(OR(N22="Instructional",N22="Not Scheduled"),1,0)&gt;rotationDays,1,P22+IF(OR(N22="Instructional",N22="Not Scheduled"),1,0))))))</f>
        <v>1</v>
      </c>
      <c r="Q23" t="str">
        <f t="shared" si="5"/>
        <v/>
      </c>
      <c r="R23" t="str">
        <f>IF(ISBLANK(K23),"",IF(N23="Operational (no students)",99,IF(N23="Instructional",IF(rotationDays=1,Q23,P23),_xlfn.XLOOKUP(N23,TimeTable_Codes[Description],TimeTable_Codes[TimetableCode]))))</f>
        <v/>
      </c>
      <c r="S23" t="str">
        <f>IF(NOT(ISBLANK(K23)),VLOOKUP(K23,term_lookups[],2),"")</f>
        <v/>
      </c>
      <c r="T23" cm="1">
        <f t="array" ref="T23">IF(ISBLANK(K23),0,_xlfn.XLOOKUP(R23&amp;S23,Daily_Totals[Day]&amp;Daily_Totals[Term],Daily_Totals[Instruction]))</f>
        <v>0</v>
      </c>
      <c r="U23" cm="1">
        <f t="array" ref="U23">IF(ISBLANK(K23),0,_xlfn.XLOOKUP(R23&amp;S23,Daily_Totals[Day]&amp;Daily_Totals[Term],Daily_Totals[Non-Instruction]))</f>
        <v>0</v>
      </c>
      <c r="AC23">
        <v>99</v>
      </c>
      <c r="AD23">
        <v>1</v>
      </c>
      <c r="AE23">
        <v>0</v>
      </c>
      <c r="AF23">
        <f>IF(ISBLANK(PD_Length),360,PD_Length)</f>
        <v>360</v>
      </c>
      <c r="AG23" s="42">
        <f t="shared" si="2"/>
        <v>360</v>
      </c>
    </row>
    <row r="24" spans="3:33" x14ac:dyDescent="0.3">
      <c r="C24">
        <v>8</v>
      </c>
      <c r="D24" s="37">
        <v>45868</v>
      </c>
      <c r="E24">
        <v>0</v>
      </c>
      <c r="F24">
        <f t="shared" si="4"/>
        <v>0</v>
      </c>
      <c r="K24" s="37"/>
      <c r="L24"/>
      <c r="N24" t="str">
        <f t="shared" si="6"/>
        <v/>
      </c>
      <c r="O24">
        <f t="shared" si="7"/>
        <v>0</v>
      </c>
      <c r="P24">
        <f>IF(IF(ISERROR(MATCH(K24,Rotation_Reset_Dates[Date],0)),0,1)=1,1,IF(ISBLANK(K24),"",IF(OR(rotationDays=1,K24&lt;First_Instructional_Day1),0,IF(AND(rotationDays&gt;1,K24=First_Instructional_Day1),1,IF(P23+IF(OR(N23="Instructional",N23="Not Scheduled"),1,0)&gt;rotationDays,1,P23+IF(OR(N23="Instructional",N23="Not Scheduled"),1,0))))))</f>
        <v>1</v>
      </c>
      <c r="Q24" t="str">
        <f t="shared" si="5"/>
        <v/>
      </c>
      <c r="R24" t="str">
        <f>IF(ISBLANK(K24),"",IF(N24="Operational (no students)",99,IF(N24="Instructional",IF(rotationDays=1,Q24,P24),_xlfn.XLOOKUP(N24,TimeTable_Codes[Description],TimeTable_Codes[TimetableCode]))))</f>
        <v/>
      </c>
      <c r="S24" t="str">
        <f>IF(NOT(ISBLANK(K24)),VLOOKUP(K24,term_lookups[],2),"")</f>
        <v/>
      </c>
      <c r="T24" cm="1">
        <f t="array" ref="T24">IF(ISBLANK(K24),0,_xlfn.XLOOKUP(R24&amp;S24,Daily_Totals[Day]&amp;Daily_Totals[Term],Daily_Totals[Instruction]))</f>
        <v>0</v>
      </c>
      <c r="U24" cm="1">
        <f t="array" ref="U24">IF(ISBLANK(K24),0,_xlfn.XLOOKUP(R24&amp;S24,Daily_Totals[Day]&amp;Daily_Totals[Term],Daily_Totals[Non-Instruction]))</f>
        <v>0</v>
      </c>
      <c r="AC24">
        <v>100</v>
      </c>
      <c r="AD24">
        <v>1</v>
      </c>
      <c r="AE24">
        <v>0</v>
      </c>
      <c r="AF24">
        <f>IF(ISBLANK(Planning_Length),360,Planning_Length)</f>
        <v>360</v>
      </c>
      <c r="AG24" s="42">
        <f>+AE24+AF24</f>
        <v>360</v>
      </c>
    </row>
    <row r="25" spans="3:33" x14ac:dyDescent="0.3">
      <c r="C25">
        <v>8</v>
      </c>
      <c r="D25" s="37">
        <v>45869</v>
      </c>
      <c r="E25">
        <v>0</v>
      </c>
      <c r="F25">
        <f t="shared" si="4"/>
        <v>0</v>
      </c>
      <c r="K25" s="37"/>
      <c r="L25"/>
      <c r="N25" t="str">
        <f t="shared" si="6"/>
        <v/>
      </c>
      <c r="O25">
        <f t="shared" si="7"/>
        <v>0</v>
      </c>
      <c r="P25">
        <f>IF(IF(ISERROR(MATCH(K25,Rotation_Reset_Dates[Date],0)),0,1)=1,1,IF(ISBLANK(K25),"",IF(OR(rotationDays=1,K25&lt;First_Instructional_Day1),0,IF(AND(rotationDays&gt;1,K25=First_Instructional_Day1),1,IF(P24+IF(OR(N24="Instructional",N24="Not Scheduled"),1,0)&gt;rotationDays,1,P24+IF(OR(N24="Instructional",N24="Not Scheduled"),1,0))))))</f>
        <v>1</v>
      </c>
      <c r="Q25" t="str">
        <f t="shared" si="5"/>
        <v/>
      </c>
      <c r="R25" t="str">
        <f>IF(ISBLANK(K25),"",IF(N25="Operational (no students)",99,IF(N25="Instructional",IF(rotationDays=1,Q25,P25),_xlfn.XLOOKUP(N25,TimeTable_Codes[Description],TimeTable_Codes[TimetableCode]))))</f>
        <v/>
      </c>
      <c r="S25" t="str">
        <f>IF(NOT(ISBLANK(K25)),VLOOKUP(K25,term_lookups[],2),"")</f>
        <v/>
      </c>
      <c r="T25" cm="1">
        <f t="array" ref="T25">IF(ISBLANK(K25),0,_xlfn.XLOOKUP(R25&amp;S25,Daily_Totals[Day]&amp;Daily_Totals[Term],Daily_Totals[Instruction]))</f>
        <v>0</v>
      </c>
      <c r="U25" cm="1">
        <f t="array" ref="U25">IF(ISBLANK(K25),0,_xlfn.XLOOKUP(R25&amp;S25,Daily_Totals[Day]&amp;Daily_Totals[Term],Daily_Totals[Non-Instruction]))</f>
        <v>0</v>
      </c>
      <c r="AC25">
        <v>101</v>
      </c>
      <c r="AD25">
        <v>1</v>
      </c>
      <c r="AE25">
        <v>0</v>
      </c>
      <c r="AF25">
        <v>0</v>
      </c>
      <c r="AG25" s="42">
        <f>+AE25+AF25</f>
        <v>0</v>
      </c>
    </row>
    <row r="26" spans="3:33" x14ac:dyDescent="0.3">
      <c r="C26">
        <v>8</v>
      </c>
      <c r="D26" s="37">
        <v>45870</v>
      </c>
      <c r="E26">
        <v>0</v>
      </c>
      <c r="F26">
        <f t="shared" si="4"/>
        <v>0</v>
      </c>
      <c r="K26" s="37"/>
      <c r="L26"/>
      <c r="N26" t="str">
        <f t="shared" si="6"/>
        <v/>
      </c>
      <c r="O26">
        <f t="shared" si="7"/>
        <v>0</v>
      </c>
      <c r="P26">
        <f>IF(IF(ISERROR(MATCH(K26,Rotation_Reset_Dates[Date],0)),0,1)=1,1,IF(ISBLANK(K26),"",IF(OR(rotationDays=1,K26&lt;First_Instructional_Day1),0,IF(AND(rotationDays&gt;1,K26=First_Instructional_Day1),1,IF(P25+IF(OR(N25="Instructional",N25="Not Scheduled"),1,0)&gt;rotationDays,1,P25+IF(OR(N25="Instructional",N25="Not Scheduled"),1,0))))))</f>
        <v>1</v>
      </c>
      <c r="Q26" t="str">
        <f t="shared" si="5"/>
        <v/>
      </c>
      <c r="R26" t="str">
        <f>IF(ISBLANK(K26),"",IF(N26="Operational (no students)",99,IF(N26="Instructional",IF(rotationDays=1,Q26,P26),_xlfn.XLOOKUP(N26,TimeTable_Codes[Description],TimeTable_Codes[TimetableCode]))))</f>
        <v/>
      </c>
      <c r="S26" t="str">
        <f>IF(NOT(ISBLANK(K26)),VLOOKUP(K26,term_lookups[],2),"")</f>
        <v/>
      </c>
      <c r="T26" cm="1">
        <f t="array" ref="T26">IF(ISBLANK(K26),0,_xlfn.XLOOKUP(R26&amp;S26,Daily_Totals[Day]&amp;Daily_Totals[Term],Daily_Totals[Instruction]))</f>
        <v>0</v>
      </c>
      <c r="U26" cm="1">
        <f t="array" ref="U26">IF(ISBLANK(K26),0,_xlfn.XLOOKUP(R26&amp;S26,Daily_Totals[Day]&amp;Daily_Totals[Term],Daily_Totals[Non-Instruction]))</f>
        <v>0</v>
      </c>
      <c r="AC26">
        <v>1</v>
      </c>
      <c r="AD26">
        <v>2</v>
      </c>
      <c r="AE26" s="42">
        <f>SUM(Term2_Day_1[Instructional Time])</f>
        <v>0</v>
      </c>
      <c r="AF26" s="42">
        <f>SUM(Term2_Day_1[Assigned Time (Non-Instructional)])</f>
        <v>0</v>
      </c>
      <c r="AG26" s="42">
        <f t="shared" ref="AG26:AG45" si="8">+AE26+AF26</f>
        <v>0</v>
      </c>
    </row>
    <row r="27" spans="3:33" x14ac:dyDescent="0.3">
      <c r="C27">
        <v>8</v>
      </c>
      <c r="D27" s="37">
        <v>45871</v>
      </c>
      <c r="E27">
        <v>0</v>
      </c>
      <c r="F27">
        <f t="shared" si="4"/>
        <v>0</v>
      </c>
      <c r="K27" s="37"/>
      <c r="L27"/>
      <c r="N27" t="str">
        <f t="shared" si="6"/>
        <v/>
      </c>
      <c r="O27">
        <f t="shared" si="7"/>
        <v>0</v>
      </c>
      <c r="P27">
        <f>IF(IF(ISERROR(MATCH(K27,Rotation_Reset_Dates[Date],0)),0,1)=1,1,IF(ISBLANK(K27),"",IF(OR(rotationDays=1,K27&lt;First_Instructional_Day1),0,IF(AND(rotationDays&gt;1,K27=First_Instructional_Day1),1,IF(P26+IF(OR(N26="Instructional",N26="Not Scheduled"),1,0)&gt;rotationDays,1,P26+IF(OR(N26="Instructional",N26="Not Scheduled"),1,0))))))</f>
        <v>1</v>
      </c>
      <c r="Q27" t="str">
        <f t="shared" si="5"/>
        <v/>
      </c>
      <c r="R27" t="str">
        <f>IF(ISBLANK(K27),"",IF(N27="Operational (no students)",99,IF(N27="Instructional",IF(rotationDays=1,Q27,P27),_xlfn.XLOOKUP(N27,TimeTable_Codes[Description],TimeTable_Codes[TimetableCode]))))</f>
        <v/>
      </c>
      <c r="S27" t="str">
        <f>IF(NOT(ISBLANK(K27)),VLOOKUP(K27,term_lookups[],2),"")</f>
        <v/>
      </c>
      <c r="T27" cm="1">
        <f t="array" ref="T27">IF(ISBLANK(K27),0,_xlfn.XLOOKUP(R27&amp;S27,Daily_Totals[Day]&amp;Daily_Totals[Term],Daily_Totals[Instruction]))</f>
        <v>0</v>
      </c>
      <c r="U27" cm="1">
        <f t="array" ref="U27">IF(ISBLANK(K27),0,_xlfn.XLOOKUP(R27&amp;S27,Daily_Totals[Day]&amp;Daily_Totals[Term],Daily_Totals[Non-Instruction]))</f>
        <v>0</v>
      </c>
      <c r="AC27">
        <v>2</v>
      </c>
      <c r="AD27">
        <v>2</v>
      </c>
      <c r="AE27" s="42">
        <f>SUM(Term2_Day_2[Instructional Time])</f>
        <v>0</v>
      </c>
      <c r="AF27" s="42">
        <f>SUM(Term2_Day_2[Assigned Time (Non-Instructional)])</f>
        <v>0</v>
      </c>
      <c r="AG27" s="42">
        <f t="shared" si="8"/>
        <v>0</v>
      </c>
    </row>
    <row r="28" spans="3:33" x14ac:dyDescent="0.3">
      <c r="C28">
        <v>8</v>
      </c>
      <c r="D28" s="37" cm="1">
        <f t="array" ref="D28:D34">TRANSPOSE(Calendar!B15:H15)</f>
        <v>45872</v>
      </c>
      <c r="E28" cm="1">
        <f t="array" ref="E28:E34">TRANSPOSE(Calendar!B16:H16)</f>
        <v>0</v>
      </c>
      <c r="F28">
        <f t="shared" si="4"/>
        <v>0</v>
      </c>
      <c r="K28" s="37"/>
      <c r="L28"/>
      <c r="N28" t="str">
        <f t="shared" si="6"/>
        <v/>
      </c>
      <c r="O28">
        <f t="shared" si="7"/>
        <v>0</v>
      </c>
      <c r="P28">
        <f>IF(IF(ISERROR(MATCH(K28,Rotation_Reset_Dates[Date],0)),0,1)=1,1,IF(ISBLANK(K28),"",IF(OR(rotationDays=1,K28&lt;First_Instructional_Day1),0,IF(AND(rotationDays&gt;1,K28=First_Instructional_Day1),1,IF(P27+IF(OR(N27="Instructional",N27="Not Scheduled"),1,0)&gt;rotationDays,1,P27+IF(OR(N27="Instructional",N27="Not Scheduled"),1,0))))))</f>
        <v>1</v>
      </c>
      <c r="Q28" t="str">
        <f t="shared" si="5"/>
        <v/>
      </c>
      <c r="R28" t="str">
        <f>IF(ISBLANK(K28),"",IF(N28="Operational (no students)",99,IF(N28="Instructional",IF(rotationDays=1,Q28,P28),_xlfn.XLOOKUP(N28,TimeTable_Codes[Description],TimeTable_Codes[TimetableCode]))))</f>
        <v/>
      </c>
      <c r="S28" t="str">
        <f>IF(NOT(ISBLANK(K28)),VLOOKUP(K28,term_lookups[],2),"")</f>
        <v/>
      </c>
      <c r="T28" cm="1">
        <f t="array" ref="T28">IF(ISBLANK(K28),0,_xlfn.XLOOKUP(R28&amp;S28,Daily_Totals[Day]&amp;Daily_Totals[Term],Daily_Totals[Instruction]))</f>
        <v>0</v>
      </c>
      <c r="U28" cm="1">
        <f t="array" ref="U28">IF(ISBLANK(K28),0,_xlfn.XLOOKUP(R28&amp;S28,Daily_Totals[Day]&amp;Daily_Totals[Term],Daily_Totals[Non-Instruction]))</f>
        <v>0</v>
      </c>
      <c r="Y28" s="37"/>
      <c r="AC28">
        <v>3</v>
      </c>
      <c r="AD28">
        <v>2</v>
      </c>
      <c r="AE28" s="42">
        <f>SUM(Term2_Day_3[Instructional Time])</f>
        <v>0</v>
      </c>
      <c r="AF28" s="42">
        <f>SUM(Term2_Day_3[Assigned Time (Non-Instructional)])</f>
        <v>0</v>
      </c>
      <c r="AG28" s="42">
        <f t="shared" si="8"/>
        <v>0</v>
      </c>
    </row>
    <row r="29" spans="3:33" x14ac:dyDescent="0.3">
      <c r="C29">
        <v>8</v>
      </c>
      <c r="D29" s="37">
        <v>45873</v>
      </c>
      <c r="E29">
        <v>0</v>
      </c>
      <c r="F29">
        <f t="shared" si="4"/>
        <v>0</v>
      </c>
      <c r="K29" s="37"/>
      <c r="L29"/>
      <c r="N29" t="str">
        <f t="shared" si="6"/>
        <v/>
      </c>
      <c r="O29">
        <f t="shared" si="7"/>
        <v>0</v>
      </c>
      <c r="P29">
        <f>IF(IF(ISERROR(MATCH(K29,Rotation_Reset_Dates[Date],0)),0,1)=1,1,IF(ISBLANK(K29),"",IF(OR(rotationDays=1,K29&lt;First_Instructional_Day1),0,IF(AND(rotationDays&gt;1,K29=First_Instructional_Day1),1,IF(P28+IF(OR(N28="Instructional",N28="Not Scheduled"),1,0)&gt;rotationDays,1,P28+IF(OR(N28="Instructional",N28="Not Scheduled"),1,0))))))</f>
        <v>1</v>
      </c>
      <c r="Q29" t="str">
        <f t="shared" si="5"/>
        <v/>
      </c>
      <c r="R29" t="str">
        <f>IF(ISBLANK(K29),"",IF(N29="Operational (no students)",99,IF(N29="Instructional",IF(rotationDays=1,Q29,P29),_xlfn.XLOOKUP(N29,TimeTable_Codes[Description],TimeTable_Codes[TimetableCode]))))</f>
        <v/>
      </c>
      <c r="S29" t="str">
        <f>IF(NOT(ISBLANK(K29)),VLOOKUP(K29,term_lookups[],2),"")</f>
        <v/>
      </c>
      <c r="T29" cm="1">
        <f t="array" ref="T29">IF(ISBLANK(K29),0,_xlfn.XLOOKUP(R29&amp;S29,Daily_Totals[Day]&amp;Daily_Totals[Term],Daily_Totals[Instruction]))</f>
        <v>0</v>
      </c>
      <c r="U29" cm="1">
        <f t="array" ref="U29">IF(ISBLANK(K29),0,_xlfn.XLOOKUP(R29&amp;S29,Daily_Totals[Day]&amp;Daily_Totals[Term],Daily_Totals[Non-Instruction]))</f>
        <v>0</v>
      </c>
      <c r="AC29">
        <v>4</v>
      </c>
      <c r="AD29">
        <v>2</v>
      </c>
      <c r="AE29" s="42">
        <f>SUM(Term2_Day_4[Instructional Time])</f>
        <v>0</v>
      </c>
      <c r="AF29" s="42">
        <f>SUM(Term2_Day_4[Assigned Time (Non-Instructional)])</f>
        <v>0</v>
      </c>
      <c r="AG29" s="42">
        <f t="shared" si="8"/>
        <v>0</v>
      </c>
    </row>
    <row r="30" spans="3:33" x14ac:dyDescent="0.3">
      <c r="C30">
        <v>8</v>
      </c>
      <c r="D30" s="37">
        <v>45874</v>
      </c>
      <c r="E30">
        <v>0</v>
      </c>
      <c r="F30">
        <f t="shared" si="4"/>
        <v>0</v>
      </c>
      <c r="K30" s="37"/>
      <c r="L30"/>
      <c r="N30" t="str">
        <f t="shared" si="6"/>
        <v/>
      </c>
      <c r="O30">
        <f t="shared" si="7"/>
        <v>0</v>
      </c>
      <c r="P30">
        <f>IF(IF(ISERROR(MATCH(K30,Rotation_Reset_Dates[Date],0)),0,1)=1,1,IF(ISBLANK(K30),"",IF(OR(rotationDays=1,K30&lt;First_Instructional_Day1),0,IF(AND(rotationDays&gt;1,K30=First_Instructional_Day1),1,IF(P29+IF(OR(N29="Instructional",N29="Not Scheduled"),1,0)&gt;rotationDays,1,P29+IF(OR(N29="Instructional",N29="Not Scheduled"),1,0))))))</f>
        <v>1</v>
      </c>
      <c r="Q30" t="str">
        <f t="shared" si="5"/>
        <v/>
      </c>
      <c r="R30" t="str">
        <f>IF(ISBLANK(K30),"",IF(N30="Operational (no students)",99,IF(N30="Instructional",IF(rotationDays=1,Q30,P30),_xlfn.XLOOKUP(N30,TimeTable_Codes[Description],TimeTable_Codes[TimetableCode]))))</f>
        <v/>
      </c>
      <c r="S30" t="str">
        <f>IF(NOT(ISBLANK(K30)),VLOOKUP(K30,term_lookups[],2),"")</f>
        <v/>
      </c>
      <c r="T30" cm="1">
        <f t="array" ref="T30">IF(ISBLANK(K30),0,_xlfn.XLOOKUP(R30&amp;S30,Daily_Totals[Day]&amp;Daily_Totals[Term],Daily_Totals[Instruction]))</f>
        <v>0</v>
      </c>
      <c r="U30" cm="1">
        <f t="array" ref="U30">IF(ISBLANK(K30),0,_xlfn.XLOOKUP(R30&amp;S30,Daily_Totals[Day]&amp;Daily_Totals[Term],Daily_Totals[Non-Instruction]))</f>
        <v>0</v>
      </c>
      <c r="X30" s="37"/>
      <c r="AC30">
        <v>5</v>
      </c>
      <c r="AD30">
        <v>2</v>
      </c>
      <c r="AE30" s="42">
        <f>SUM(Term2_Day_5[Instructional Time])</f>
        <v>0</v>
      </c>
      <c r="AF30" s="42">
        <f>SUM(Term2_Day_5[Assigned Time (Non-Instructional)])</f>
        <v>0</v>
      </c>
      <c r="AG30" s="42">
        <f t="shared" si="8"/>
        <v>0</v>
      </c>
    </row>
    <row r="31" spans="3:33" x14ac:dyDescent="0.3">
      <c r="C31">
        <v>8</v>
      </c>
      <c r="D31" s="37">
        <v>45875</v>
      </c>
      <c r="E31">
        <v>0</v>
      </c>
      <c r="F31">
        <f t="shared" si="4"/>
        <v>0</v>
      </c>
      <c r="K31" s="37"/>
      <c r="L31"/>
      <c r="N31" t="str">
        <f t="shared" si="6"/>
        <v/>
      </c>
      <c r="O31">
        <f t="shared" si="7"/>
        <v>0</v>
      </c>
      <c r="P31">
        <f>IF(IF(ISERROR(MATCH(K31,Rotation_Reset_Dates[Date],0)),0,1)=1,1,IF(ISBLANK(K31),"",IF(OR(rotationDays=1,K31&lt;First_Instructional_Day1),0,IF(AND(rotationDays&gt;1,K31=First_Instructional_Day1),1,IF(P30+IF(OR(N30="Instructional",N30="Not Scheduled"),1,0)&gt;rotationDays,1,P30+IF(OR(N30="Instructional",N30="Not Scheduled"),1,0))))))</f>
        <v>1</v>
      </c>
      <c r="Q31" t="str">
        <f t="shared" si="5"/>
        <v/>
      </c>
      <c r="R31" t="str">
        <f>IF(ISBLANK(K31),"",IF(N31="Operational (no students)",99,IF(N31="Instructional",IF(rotationDays=1,Q31,P31),_xlfn.XLOOKUP(N31,TimeTable_Codes[Description],TimeTable_Codes[TimetableCode]))))</f>
        <v/>
      </c>
      <c r="S31" t="str">
        <f>IF(NOT(ISBLANK(K31)),VLOOKUP(K31,term_lookups[],2),"")</f>
        <v/>
      </c>
      <c r="T31" cm="1">
        <f t="array" ref="T31">IF(ISBLANK(K31),0,_xlfn.XLOOKUP(R31&amp;S31,Daily_Totals[Day]&amp;Daily_Totals[Term],Daily_Totals[Instruction]))</f>
        <v>0</v>
      </c>
      <c r="U31" cm="1">
        <f t="array" ref="U31">IF(ISBLANK(K31),0,_xlfn.XLOOKUP(R31&amp;S31,Daily_Totals[Day]&amp;Daily_Totals[Term],Daily_Totals[Non-Instruction]))</f>
        <v>0</v>
      </c>
      <c r="AC31">
        <v>6</v>
      </c>
      <c r="AD31">
        <v>2</v>
      </c>
      <c r="AE31" s="42">
        <f>SUM(Term2_Day_6[Instructional Time])</f>
        <v>0</v>
      </c>
      <c r="AF31" s="42">
        <f>SUM(Term2_Day_6[Assigned Time (Non-Instructional)])</f>
        <v>0</v>
      </c>
      <c r="AG31" s="42">
        <f t="shared" si="8"/>
        <v>0</v>
      </c>
    </row>
    <row r="32" spans="3:33" x14ac:dyDescent="0.3">
      <c r="C32">
        <v>8</v>
      </c>
      <c r="D32" s="37">
        <v>45876</v>
      </c>
      <c r="E32">
        <v>0</v>
      </c>
      <c r="F32">
        <f t="shared" si="4"/>
        <v>0</v>
      </c>
      <c r="K32" s="37"/>
      <c r="L32"/>
      <c r="N32" t="str">
        <f t="shared" si="6"/>
        <v/>
      </c>
      <c r="O32">
        <f t="shared" si="7"/>
        <v>0</v>
      </c>
      <c r="P32">
        <f>IF(IF(ISERROR(MATCH(K32,Rotation_Reset_Dates[Date],0)),0,1)=1,1,IF(ISBLANK(K32),"",IF(OR(rotationDays=1,K32&lt;First_Instructional_Day1),0,IF(AND(rotationDays&gt;1,K32=First_Instructional_Day1),1,IF(P31+IF(OR(N31="Instructional",N31="Not Scheduled"),1,0)&gt;rotationDays,1,P31+IF(OR(N31="Instructional",N31="Not Scheduled"),1,0))))))</f>
        <v>1</v>
      </c>
      <c r="Q32" t="str">
        <f t="shared" si="5"/>
        <v/>
      </c>
      <c r="R32" t="str">
        <f>IF(ISBLANK(K32),"",IF(N32="Operational (no students)",99,IF(N32="Instructional",IF(rotationDays=1,Q32,P32),_xlfn.XLOOKUP(N32,TimeTable_Codes[Description],TimeTable_Codes[TimetableCode]))))</f>
        <v/>
      </c>
      <c r="S32" t="str">
        <f>IF(NOT(ISBLANK(K32)),VLOOKUP(K32,term_lookups[],2),"")</f>
        <v/>
      </c>
      <c r="T32" cm="1">
        <f t="array" ref="T32">IF(ISBLANK(K32),0,_xlfn.XLOOKUP(R32&amp;S32,Daily_Totals[Day]&amp;Daily_Totals[Term],Daily_Totals[Instruction]))</f>
        <v>0</v>
      </c>
      <c r="U32" cm="1">
        <f t="array" ref="U32">IF(ISBLANK(K32),0,_xlfn.XLOOKUP(R32&amp;S32,Daily_Totals[Day]&amp;Daily_Totals[Term],Daily_Totals[Non-Instruction]))</f>
        <v>0</v>
      </c>
      <c r="AC32">
        <v>7</v>
      </c>
      <c r="AD32">
        <v>2</v>
      </c>
      <c r="AE32" s="42">
        <f>SUM(Term2_Day_7[Instructional Time])</f>
        <v>0</v>
      </c>
      <c r="AF32" s="42">
        <f>SUM(Term2_Day_7[Assigned Time (Non-Instructional)])</f>
        <v>0</v>
      </c>
      <c r="AG32" s="42">
        <f t="shared" ref="AG32:AG34" si="9">+AE32+AF32</f>
        <v>0</v>
      </c>
    </row>
    <row r="33" spans="3:33" x14ac:dyDescent="0.3">
      <c r="C33">
        <v>8</v>
      </c>
      <c r="D33" s="37">
        <v>45877</v>
      </c>
      <c r="E33">
        <v>0</v>
      </c>
      <c r="F33">
        <f t="shared" si="4"/>
        <v>0</v>
      </c>
      <c r="K33" s="37"/>
      <c r="L33"/>
      <c r="N33" t="str">
        <f t="shared" si="6"/>
        <v/>
      </c>
      <c r="O33">
        <f t="shared" si="7"/>
        <v>0</v>
      </c>
      <c r="P33">
        <f>IF(IF(ISERROR(MATCH(K33,Rotation_Reset_Dates[Date],0)),0,1)=1,1,IF(ISBLANK(K33),"",IF(OR(rotationDays=1,K33&lt;First_Instructional_Day1),0,IF(AND(rotationDays&gt;1,K33=First_Instructional_Day1),1,IF(P32+IF(OR(N32="Instructional",N32="Not Scheduled"),1,0)&gt;rotationDays,1,P32+IF(OR(N32="Instructional",N32="Not Scheduled"),1,0))))))</f>
        <v>1</v>
      </c>
      <c r="Q33" t="str">
        <f t="shared" si="5"/>
        <v/>
      </c>
      <c r="R33" t="str">
        <f>IF(ISBLANK(K33),"",IF(N33="Operational (no students)",99,IF(N33="Instructional",IF(rotationDays=1,Q33,P33),_xlfn.XLOOKUP(N33,TimeTable_Codes[Description],TimeTable_Codes[TimetableCode]))))</f>
        <v/>
      </c>
      <c r="S33" t="str">
        <f>IF(NOT(ISBLANK(K33)),VLOOKUP(K33,term_lookups[],2),"")</f>
        <v/>
      </c>
      <c r="T33" cm="1">
        <f t="array" ref="T33">IF(ISBLANK(K33),0,_xlfn.XLOOKUP(R33&amp;S33,Daily_Totals[Day]&amp;Daily_Totals[Term],Daily_Totals[Instruction]))</f>
        <v>0</v>
      </c>
      <c r="U33" cm="1">
        <f t="array" ref="U33">IF(ISBLANK(K33),0,_xlfn.XLOOKUP(R33&amp;S33,Daily_Totals[Day]&amp;Daily_Totals[Term],Daily_Totals[Non-Instruction]))</f>
        <v>0</v>
      </c>
      <c r="AC33">
        <v>8</v>
      </c>
      <c r="AD33">
        <v>2</v>
      </c>
      <c r="AE33" s="42">
        <f>SUM(Term2_Day_8[Instructional Time])</f>
        <v>0</v>
      </c>
      <c r="AF33" s="42">
        <f>SUM(Term2_Day_8[Assigned Time (Non-Instructional)])</f>
        <v>0</v>
      </c>
      <c r="AG33" s="42">
        <f t="shared" si="9"/>
        <v>0</v>
      </c>
    </row>
    <row r="34" spans="3:33" x14ac:dyDescent="0.3">
      <c r="C34">
        <v>8</v>
      </c>
      <c r="D34" s="37">
        <v>45878</v>
      </c>
      <c r="E34">
        <v>0</v>
      </c>
      <c r="F34">
        <f t="shared" si="4"/>
        <v>0</v>
      </c>
      <c r="K34" s="37"/>
      <c r="L34"/>
      <c r="N34" t="str">
        <f t="shared" si="6"/>
        <v/>
      </c>
      <c r="O34">
        <f t="shared" si="7"/>
        <v>0</v>
      </c>
      <c r="P34">
        <f>IF(IF(ISERROR(MATCH(K34,Rotation_Reset_Dates[Date],0)),0,1)=1,1,IF(ISBLANK(K34),"",IF(OR(rotationDays=1,K34&lt;First_Instructional_Day1),0,IF(AND(rotationDays&gt;1,K34=First_Instructional_Day1),1,IF(P33+IF(OR(N33="Instructional",N33="Not Scheduled"),1,0)&gt;rotationDays,1,P33+IF(OR(N33="Instructional",N33="Not Scheduled"),1,0))))))</f>
        <v>1</v>
      </c>
      <c r="Q34" t="str">
        <f t="shared" si="5"/>
        <v/>
      </c>
      <c r="R34" t="str">
        <f>IF(ISBLANK(K34),"",IF(N34="Operational (no students)",99,IF(N34="Instructional",IF(rotationDays=1,Q34,P34),_xlfn.XLOOKUP(N34,TimeTable_Codes[Description],TimeTable_Codes[TimetableCode]))))</f>
        <v/>
      </c>
      <c r="S34" t="str">
        <f>IF(NOT(ISBLANK(K34)),VLOOKUP(K34,term_lookups[],2),"")</f>
        <v/>
      </c>
      <c r="T34" cm="1">
        <f t="array" ref="T34">IF(ISBLANK(K34),0,_xlfn.XLOOKUP(R34&amp;S34,Daily_Totals[Day]&amp;Daily_Totals[Term],Daily_Totals[Instruction]))</f>
        <v>0</v>
      </c>
      <c r="U34" cm="1">
        <f t="array" ref="U34">IF(ISBLANK(K34),0,_xlfn.XLOOKUP(R34&amp;S34,Daily_Totals[Day]&amp;Daily_Totals[Term],Daily_Totals[Non-Instruction]))</f>
        <v>0</v>
      </c>
      <c r="AC34">
        <v>9</v>
      </c>
      <c r="AD34">
        <v>2</v>
      </c>
      <c r="AE34" s="42">
        <f>SUM(Term2_Day_9[Instructional Time])</f>
        <v>0</v>
      </c>
      <c r="AF34" s="42">
        <f>SUM(Term2_Day_9[Assigned Time (Non-Instructional)])</f>
        <v>0</v>
      </c>
      <c r="AG34" s="42">
        <f t="shared" si="9"/>
        <v>0</v>
      </c>
    </row>
    <row r="35" spans="3:33" x14ac:dyDescent="0.3">
      <c r="C35">
        <v>8</v>
      </c>
      <c r="D35" s="37" cm="1">
        <f t="array" ref="D35:D41">TRANSPOSE(Calendar!B17:H17)</f>
        <v>45879</v>
      </c>
      <c r="E35" cm="1">
        <f t="array" ref="E35:E41">TRANSPOSE(Calendar!B18:H18)</f>
        <v>0</v>
      </c>
      <c r="F35">
        <f t="shared" si="4"/>
        <v>0</v>
      </c>
      <c r="K35" s="37"/>
      <c r="L35"/>
      <c r="N35" t="str">
        <f t="shared" si="6"/>
        <v/>
      </c>
      <c r="O35">
        <f t="shared" si="7"/>
        <v>0</v>
      </c>
      <c r="P35">
        <f>IF(IF(ISERROR(MATCH(K35,Rotation_Reset_Dates[Date],0)),0,1)=1,1,IF(ISBLANK(K35),"",IF(OR(rotationDays=1,K35&lt;First_Instructional_Day1),0,IF(AND(rotationDays&gt;1,K35=First_Instructional_Day1),1,IF(P34+IF(OR(N34="Instructional",N34="Not Scheduled"),1,0)&gt;rotationDays,1,P34+IF(OR(N34="Instructional",N34="Not Scheduled"),1,0))))))</f>
        <v>1</v>
      </c>
      <c r="Q35" t="str">
        <f t="shared" si="5"/>
        <v/>
      </c>
      <c r="R35" t="str">
        <f>IF(ISBLANK(K35),"",IF(N35="Operational (no students)",99,IF(N35="Instructional",IF(rotationDays=1,Q35,P35),_xlfn.XLOOKUP(N35,TimeTable_Codes[Description],TimeTable_Codes[TimetableCode]))))</f>
        <v/>
      </c>
      <c r="S35" t="str">
        <f>IF(NOT(ISBLANK(K35)),VLOOKUP(K35,term_lookups[],2),"")</f>
        <v/>
      </c>
      <c r="T35" cm="1">
        <f t="array" ref="T35">IF(ISBLANK(K35),0,_xlfn.XLOOKUP(R35&amp;S35,Daily_Totals[Day]&amp;Daily_Totals[Term],Daily_Totals[Instruction]))</f>
        <v>0</v>
      </c>
      <c r="U35" cm="1">
        <f t="array" ref="U35">IF(ISBLANK(K35),0,_xlfn.XLOOKUP(R35&amp;S35,Daily_Totals[Day]&amp;Daily_Totals[Term],Daily_Totals[Non-Instruction]))</f>
        <v>0</v>
      </c>
      <c r="AC35">
        <v>10</v>
      </c>
      <c r="AD35">
        <v>2</v>
      </c>
      <c r="AE35" s="42">
        <f>SUM(Term2_Day_10[Instructional Time])</f>
        <v>0</v>
      </c>
      <c r="AF35" s="42">
        <f>SUM(Term2_Day_10[Assigned Time (Non-Instructional)])</f>
        <v>0</v>
      </c>
      <c r="AG35" s="42">
        <f t="shared" si="8"/>
        <v>0</v>
      </c>
    </row>
    <row r="36" spans="3:33" x14ac:dyDescent="0.3">
      <c r="C36">
        <v>8</v>
      </c>
      <c r="D36" s="37">
        <v>45880</v>
      </c>
      <c r="E36">
        <v>0</v>
      </c>
      <c r="F36">
        <f t="shared" si="4"/>
        <v>0</v>
      </c>
      <c r="K36" s="37"/>
      <c r="L36"/>
      <c r="N36" t="str">
        <f t="shared" si="6"/>
        <v/>
      </c>
      <c r="O36">
        <f t="shared" si="7"/>
        <v>0</v>
      </c>
      <c r="P36">
        <f>IF(IF(ISERROR(MATCH(K36,Rotation_Reset_Dates[Date],0)),0,1)=1,1,IF(ISBLANK(K36),"",IF(OR(rotationDays=1,K36&lt;First_Instructional_Day1),0,IF(AND(rotationDays&gt;1,K36=First_Instructional_Day1),1,IF(P35+IF(OR(N35="Instructional",N35="Not Scheduled"),1,0)&gt;rotationDays,1,P35+IF(OR(N35="Instructional",N35="Not Scheduled"),1,0))))))</f>
        <v>1</v>
      </c>
      <c r="Q36" t="str">
        <f t="shared" si="5"/>
        <v/>
      </c>
      <c r="R36" t="str">
        <f>IF(ISBLANK(K36),"",IF(N36="Operational (no students)",99,IF(N36="Instructional",IF(rotationDays=1,Q36,P36),_xlfn.XLOOKUP(N36,TimeTable_Codes[Description],TimeTable_Codes[TimetableCode]))))</f>
        <v/>
      </c>
      <c r="S36" t="str">
        <f>IF(NOT(ISBLANK(K36)),VLOOKUP(K36,term_lookups[],2),"")</f>
        <v/>
      </c>
      <c r="T36" cm="1">
        <f t="array" ref="T36">IF(ISBLANK(K36),0,_xlfn.XLOOKUP(R36&amp;S36,Daily_Totals[Day]&amp;Daily_Totals[Term],Daily_Totals[Instruction]))</f>
        <v>0</v>
      </c>
      <c r="U36" cm="1">
        <f t="array" ref="U36">IF(ISBLANK(K36),0,_xlfn.XLOOKUP(R36&amp;S36,Daily_Totals[Day]&amp;Daily_Totals[Term],Daily_Totals[Non-Instruction]))</f>
        <v>0</v>
      </c>
      <c r="AC36">
        <v>90</v>
      </c>
      <c r="AD36">
        <v>2</v>
      </c>
      <c r="AE36" s="42">
        <f>SUM(Term2_Early_Dismissal_1[Instructional Time])</f>
        <v>0</v>
      </c>
      <c r="AF36" s="42">
        <f>SUM(Term2_Early_Dismissal_1[Assigned Time (Non-Instructional)])</f>
        <v>0</v>
      </c>
      <c r="AG36">
        <f t="shared" si="8"/>
        <v>0</v>
      </c>
    </row>
    <row r="37" spans="3:33" x14ac:dyDescent="0.3">
      <c r="C37">
        <v>8</v>
      </c>
      <c r="D37" s="37">
        <v>45881</v>
      </c>
      <c r="E37">
        <v>0</v>
      </c>
      <c r="F37">
        <f t="shared" si="4"/>
        <v>0</v>
      </c>
      <c r="K37" s="37"/>
      <c r="L37"/>
      <c r="N37" t="str">
        <f t="shared" si="6"/>
        <v/>
      </c>
      <c r="O37">
        <f t="shared" si="7"/>
        <v>0</v>
      </c>
      <c r="P37">
        <f>IF(IF(ISERROR(MATCH(K37,Rotation_Reset_Dates[Date],0)),0,1)=1,1,IF(ISBLANK(K37),"",IF(OR(rotationDays=1,K37&lt;First_Instructional_Day1),0,IF(AND(rotationDays&gt;1,K37=First_Instructional_Day1),1,IF(P36+IF(OR(N36="Instructional",N36="Not Scheduled"),1,0)&gt;rotationDays,1,P36+IF(OR(N36="Instructional",N36="Not Scheduled"),1,0))))))</f>
        <v>1</v>
      </c>
      <c r="Q37" t="str">
        <f t="shared" si="5"/>
        <v/>
      </c>
      <c r="R37" t="str">
        <f>IF(ISBLANK(K37),"",IF(N37="Operational (no students)",99,IF(N37="Instructional",IF(rotationDays=1,Q37,P37),_xlfn.XLOOKUP(N37,TimeTable_Codes[Description],TimeTable_Codes[TimetableCode]))))</f>
        <v/>
      </c>
      <c r="S37" t="str">
        <f>IF(NOT(ISBLANK(K37)),VLOOKUP(K37,term_lookups[],2),"")</f>
        <v/>
      </c>
      <c r="T37" cm="1">
        <f t="array" ref="T37">IF(ISBLANK(K37),0,_xlfn.XLOOKUP(R37&amp;S37,Daily_Totals[Day]&amp;Daily_Totals[Term],Daily_Totals[Instruction]))</f>
        <v>0</v>
      </c>
      <c r="U37" cm="1">
        <f t="array" ref="U37">IF(ISBLANK(K37),0,_xlfn.XLOOKUP(R37&amp;S37,Daily_Totals[Day]&amp;Daily_Totals[Term],Daily_Totals[Non-Instruction]))</f>
        <v>0</v>
      </c>
      <c r="AC37">
        <v>91</v>
      </c>
      <c r="AD37">
        <v>2</v>
      </c>
      <c r="AE37" s="42">
        <f>SUM(Term2_Early_Dismissal_2[Instructional Time])</f>
        <v>0</v>
      </c>
      <c r="AF37" s="42">
        <f>SUM(Term2_Early_Dismissal_2[Assigned Time (Non-Instructional)])</f>
        <v>0</v>
      </c>
      <c r="AG37">
        <f t="shared" si="8"/>
        <v>0</v>
      </c>
    </row>
    <row r="38" spans="3:33" x14ac:dyDescent="0.3">
      <c r="C38">
        <v>8</v>
      </c>
      <c r="D38" s="37">
        <v>45882</v>
      </c>
      <c r="E38">
        <v>0</v>
      </c>
      <c r="F38">
        <f t="shared" si="4"/>
        <v>0</v>
      </c>
      <c r="K38" s="37"/>
      <c r="L38"/>
      <c r="N38" t="str">
        <f t="shared" si="6"/>
        <v/>
      </c>
      <c r="O38">
        <f t="shared" si="7"/>
        <v>0</v>
      </c>
      <c r="P38">
        <f>IF(IF(ISERROR(MATCH(K38,Rotation_Reset_Dates[Date],0)),0,1)=1,1,IF(ISBLANK(K38),"",IF(OR(rotationDays=1,K38&lt;First_Instructional_Day1),0,IF(AND(rotationDays&gt;1,K38=First_Instructional_Day1),1,IF(P37+IF(OR(N37="Instructional",N37="Not Scheduled"),1,0)&gt;rotationDays,1,P37+IF(OR(N37="Instructional",N37="Not Scheduled"),1,0))))))</f>
        <v>1</v>
      </c>
      <c r="Q38" t="str">
        <f t="shared" si="5"/>
        <v/>
      </c>
      <c r="R38" t="str">
        <f>IF(ISBLANK(K38),"",IF(N38="Operational (no students)",99,IF(N38="Instructional",IF(rotationDays=1,Q38,P38),_xlfn.XLOOKUP(N38,TimeTable_Codes[Description],TimeTable_Codes[TimetableCode]))))</f>
        <v/>
      </c>
      <c r="S38" t="str">
        <f>IF(NOT(ISBLANK(K38)),VLOOKUP(K38,term_lookups[],2),"")</f>
        <v/>
      </c>
      <c r="T38" cm="1">
        <f t="array" ref="T38">IF(ISBLANK(K38),0,_xlfn.XLOOKUP(R38&amp;S38,Daily_Totals[Day]&amp;Daily_Totals[Term],Daily_Totals[Instruction]))</f>
        <v>0</v>
      </c>
      <c r="U38" cm="1">
        <f t="array" ref="U38">IF(ISBLANK(K38),0,_xlfn.XLOOKUP(R38&amp;S38,Daily_Totals[Day]&amp;Daily_Totals[Term],Daily_Totals[Non-Instruction]))</f>
        <v>0</v>
      </c>
      <c r="AC38">
        <v>92</v>
      </c>
      <c r="AD38">
        <v>2</v>
      </c>
      <c r="AE38" s="42">
        <f>SUM(Term2_Early_Dismissal_3[Instructional Time])</f>
        <v>0</v>
      </c>
      <c r="AF38" s="42">
        <f>SUM(Term2_Early_Dismissal_3[Assigned Time (Non-Instructional)])</f>
        <v>0</v>
      </c>
      <c r="AG38">
        <f t="shared" si="8"/>
        <v>0</v>
      </c>
    </row>
    <row r="39" spans="3:33" x14ac:dyDescent="0.3">
      <c r="C39">
        <v>8</v>
      </c>
      <c r="D39" s="37">
        <v>45883</v>
      </c>
      <c r="E39">
        <v>0</v>
      </c>
      <c r="F39">
        <f t="shared" si="4"/>
        <v>0</v>
      </c>
      <c r="K39" s="37"/>
      <c r="L39"/>
      <c r="N39" t="str">
        <f t="shared" si="6"/>
        <v/>
      </c>
      <c r="O39">
        <f t="shared" si="7"/>
        <v>0</v>
      </c>
      <c r="P39">
        <f>IF(IF(ISERROR(MATCH(K39,Rotation_Reset_Dates[Date],0)),0,1)=1,1,IF(ISBLANK(K39),"",IF(OR(rotationDays=1,K39&lt;First_Instructional_Day1),0,IF(AND(rotationDays&gt;1,K39=First_Instructional_Day1),1,IF(P38+IF(OR(N38="Instructional",N38="Not Scheduled"),1,0)&gt;rotationDays,1,P38+IF(OR(N38="Instructional",N38="Not Scheduled"),1,0))))))</f>
        <v>1</v>
      </c>
      <c r="Q39" t="str">
        <f t="shared" si="5"/>
        <v/>
      </c>
      <c r="R39" t="str">
        <f>IF(ISBLANK(K39),"",IF(N39="Operational (no students)",99,IF(N39="Instructional",IF(rotationDays=1,Q39,P39),_xlfn.XLOOKUP(N39,TimeTable_Codes[Description],TimeTable_Codes[TimetableCode]))))</f>
        <v/>
      </c>
      <c r="S39" t="str">
        <f>IF(NOT(ISBLANK(K39)),VLOOKUP(K39,term_lookups[],2),"")</f>
        <v/>
      </c>
      <c r="T39" cm="1">
        <f t="array" ref="T39">IF(ISBLANK(K39),0,_xlfn.XLOOKUP(R39&amp;S39,Daily_Totals[Day]&amp;Daily_Totals[Term],Daily_Totals[Instruction]))</f>
        <v>0</v>
      </c>
      <c r="U39" cm="1">
        <f t="array" ref="U39">IF(ISBLANK(K39),0,_xlfn.XLOOKUP(R39&amp;S39,Daily_Totals[Day]&amp;Daily_Totals[Term],Daily_Totals[Non-Instruction]))</f>
        <v>0</v>
      </c>
      <c r="AC39">
        <v>93</v>
      </c>
      <c r="AD39">
        <v>2</v>
      </c>
      <c r="AE39" s="42">
        <f>SUM(Term2_Early_Dismissal_4[Instructional Time])</f>
        <v>0</v>
      </c>
      <c r="AF39" s="42">
        <f>SUM(Term2_Early_Dismissal_4[Assigned Time (Non-Instructional)])</f>
        <v>0</v>
      </c>
      <c r="AG39" s="42">
        <f t="shared" ref="AG39:AG41" si="10">+AE39+AF39</f>
        <v>0</v>
      </c>
    </row>
    <row r="40" spans="3:33" x14ac:dyDescent="0.3">
      <c r="C40">
        <v>8</v>
      </c>
      <c r="D40" s="37">
        <v>45884</v>
      </c>
      <c r="E40">
        <v>0</v>
      </c>
      <c r="F40">
        <f t="shared" si="4"/>
        <v>0</v>
      </c>
      <c r="K40" s="37"/>
      <c r="L40"/>
      <c r="N40" t="str">
        <f t="shared" si="6"/>
        <v/>
      </c>
      <c r="O40">
        <f t="shared" si="7"/>
        <v>0</v>
      </c>
      <c r="P40">
        <f>IF(IF(ISERROR(MATCH(K40,Rotation_Reset_Dates[Date],0)),0,1)=1,1,IF(ISBLANK(K40),"",IF(OR(rotationDays=1,K40&lt;First_Instructional_Day1),0,IF(AND(rotationDays&gt;1,K40=First_Instructional_Day1),1,IF(P39+IF(OR(N39="Instructional",N39="Not Scheduled"),1,0)&gt;rotationDays,1,P39+IF(OR(N39="Instructional",N39="Not Scheduled"),1,0))))))</f>
        <v>1</v>
      </c>
      <c r="Q40" t="str">
        <f t="shared" si="5"/>
        <v/>
      </c>
      <c r="R40" t="str">
        <f>IF(ISBLANK(K40),"",IF(N40="Operational (no students)",99,IF(N40="Instructional",IF(rotationDays=1,Q40,P40),_xlfn.XLOOKUP(N40,TimeTable_Codes[Description],TimeTable_Codes[TimetableCode]))))</f>
        <v/>
      </c>
      <c r="S40" t="str">
        <f>IF(NOT(ISBLANK(K40)),VLOOKUP(K40,term_lookups[],2),"")</f>
        <v/>
      </c>
      <c r="T40" cm="1">
        <f t="array" ref="T40">IF(ISBLANK(K40),0,_xlfn.XLOOKUP(R40&amp;S40,Daily_Totals[Day]&amp;Daily_Totals[Term],Daily_Totals[Instruction]))</f>
        <v>0</v>
      </c>
      <c r="U40" cm="1">
        <f t="array" ref="U40">IF(ISBLANK(K40),0,_xlfn.XLOOKUP(R40&amp;S40,Daily_Totals[Day]&amp;Daily_Totals[Term],Daily_Totals[Non-Instruction]))</f>
        <v>0</v>
      </c>
      <c r="AC40">
        <v>94</v>
      </c>
      <c r="AD40">
        <v>2</v>
      </c>
      <c r="AE40" s="42">
        <f>SUM(Term2_Early_Dismissal_5[Instructional Time])</f>
        <v>0</v>
      </c>
      <c r="AF40" s="42">
        <f>SUM(Term2_Early_Dismissal_5[Assigned Time (Non-Instructional)])</f>
        <v>0</v>
      </c>
      <c r="AG40" s="42">
        <f t="shared" si="10"/>
        <v>0</v>
      </c>
    </row>
    <row r="41" spans="3:33" x14ac:dyDescent="0.3">
      <c r="C41">
        <v>8</v>
      </c>
      <c r="D41" s="37">
        <v>45885</v>
      </c>
      <c r="E41">
        <v>0</v>
      </c>
      <c r="F41">
        <f t="shared" si="4"/>
        <v>0</v>
      </c>
      <c r="K41" s="37"/>
      <c r="L41"/>
      <c r="N41" t="str">
        <f t="shared" si="6"/>
        <v/>
      </c>
      <c r="O41">
        <f t="shared" si="7"/>
        <v>0</v>
      </c>
      <c r="P41">
        <f>IF(IF(ISERROR(MATCH(K41,Rotation_Reset_Dates[Date],0)),0,1)=1,1,IF(ISBLANK(K41),"",IF(OR(rotationDays=1,K41&lt;First_Instructional_Day1),0,IF(AND(rotationDays&gt;1,K41=First_Instructional_Day1),1,IF(P40+IF(OR(N40="Instructional",N40="Not Scheduled"),1,0)&gt;rotationDays,1,P40+IF(OR(N40="Instructional",N40="Not Scheduled"),1,0))))))</f>
        <v>1</v>
      </c>
      <c r="Q41" t="str">
        <f t="shared" si="5"/>
        <v/>
      </c>
      <c r="R41" t="str">
        <f>IF(ISBLANK(K41),"",IF(N41="Operational (no students)",99,IF(N41="Instructional",IF(rotationDays=1,Q41,P41),_xlfn.XLOOKUP(N41,TimeTable_Codes[Description],TimeTable_Codes[TimetableCode]))))</f>
        <v/>
      </c>
      <c r="S41" t="str">
        <f>IF(NOT(ISBLANK(K41)),VLOOKUP(K41,term_lookups[],2),"")</f>
        <v/>
      </c>
      <c r="T41" cm="1">
        <f t="array" ref="T41">IF(ISBLANK(K41),0,_xlfn.XLOOKUP(R41&amp;S41,Daily_Totals[Day]&amp;Daily_Totals[Term],Daily_Totals[Instruction]))</f>
        <v>0</v>
      </c>
      <c r="U41" cm="1">
        <f t="array" ref="U41">IF(ISBLANK(K41),0,_xlfn.XLOOKUP(R41&amp;S41,Daily_Totals[Day]&amp;Daily_Totals[Term],Daily_Totals[Non-Instruction]))</f>
        <v>0</v>
      </c>
      <c r="AC41">
        <v>95</v>
      </c>
      <c r="AD41">
        <v>2</v>
      </c>
      <c r="AE41" s="42">
        <f>SUM(Term2_Early_Dismissal_6[Instructional Time])</f>
        <v>0</v>
      </c>
      <c r="AF41" s="42">
        <f>SUM(Term2_Early_Dismissal_6[Assigned Time (Non-Instructional)])</f>
        <v>0</v>
      </c>
      <c r="AG41" s="42">
        <f t="shared" si="10"/>
        <v>0</v>
      </c>
    </row>
    <row r="42" spans="3:33" x14ac:dyDescent="0.3">
      <c r="C42">
        <v>8</v>
      </c>
      <c r="D42" s="37" cm="1">
        <f t="array" ref="D42:D48">TRANSPOSE(Calendar!B19:H19)</f>
        <v>45886</v>
      </c>
      <c r="E42" cm="1">
        <f t="array" ref="E42:E48">TRANSPOSE(Calendar!B20:H20)</f>
        <v>0</v>
      </c>
      <c r="F42">
        <f t="shared" si="4"/>
        <v>0</v>
      </c>
      <c r="K42" s="37"/>
      <c r="L42"/>
      <c r="N42" t="str">
        <f t="shared" si="6"/>
        <v/>
      </c>
      <c r="O42">
        <f t="shared" si="7"/>
        <v>0</v>
      </c>
      <c r="P42">
        <f>IF(IF(ISERROR(MATCH(K42,Rotation_Reset_Dates[Date],0)),0,1)=1,1,IF(ISBLANK(K42),"",IF(OR(rotationDays=1,K42&lt;First_Instructional_Day1),0,IF(AND(rotationDays&gt;1,K42=First_Instructional_Day1),1,IF(P41+IF(OR(N41="Instructional",N41="Not Scheduled"),1,0)&gt;rotationDays,1,P41+IF(OR(N41="Instructional",N41="Not Scheduled"),1,0))))))</f>
        <v>1</v>
      </c>
      <c r="Q42" t="str">
        <f t="shared" si="5"/>
        <v/>
      </c>
      <c r="R42" t="str">
        <f>IF(ISBLANK(K42),"",IF(N42="Operational (no students)",99,IF(N42="Instructional",IF(rotationDays=1,Q42,P42),_xlfn.XLOOKUP(N42,TimeTable_Codes[Description],TimeTable_Codes[TimetableCode]))))</f>
        <v/>
      </c>
      <c r="S42" t="str">
        <f>IF(NOT(ISBLANK(K42)),VLOOKUP(K42,term_lookups[],2),"")</f>
        <v/>
      </c>
      <c r="T42" cm="1">
        <f t="array" ref="T42">IF(ISBLANK(K42),0,_xlfn.XLOOKUP(R42&amp;S42,Daily_Totals[Day]&amp;Daily_Totals[Term],Daily_Totals[Instruction]))</f>
        <v>0</v>
      </c>
      <c r="U42" cm="1">
        <f t="array" ref="U42">IF(ISBLANK(K42),0,_xlfn.XLOOKUP(R42&amp;S42,Daily_Totals[Day]&amp;Daily_Totals[Term],Daily_Totals[Non-Instruction]))</f>
        <v>0</v>
      </c>
      <c r="AC42">
        <v>96</v>
      </c>
      <c r="AD42">
        <v>2</v>
      </c>
      <c r="AE42" s="42">
        <f>SUM(Term2_Special_Day_1[Instructional Time])</f>
        <v>0</v>
      </c>
      <c r="AF42" s="42">
        <f>SUM(Term2_Special_Day_1[Assigned Time (Non-Instructional)])</f>
        <v>0</v>
      </c>
      <c r="AG42">
        <f t="shared" si="8"/>
        <v>0</v>
      </c>
    </row>
    <row r="43" spans="3:33" x14ac:dyDescent="0.3">
      <c r="C43">
        <v>8</v>
      </c>
      <c r="D43" s="37">
        <v>45887</v>
      </c>
      <c r="E43">
        <v>0</v>
      </c>
      <c r="F43">
        <f t="shared" si="4"/>
        <v>0</v>
      </c>
      <c r="K43" s="37"/>
      <c r="L43"/>
      <c r="N43" t="str">
        <f t="shared" si="6"/>
        <v/>
      </c>
      <c r="O43">
        <f t="shared" si="7"/>
        <v>0</v>
      </c>
      <c r="P43">
        <f>IF(IF(ISERROR(MATCH(K43,Rotation_Reset_Dates[Date],0)),0,1)=1,1,IF(ISBLANK(K43),"",IF(OR(rotationDays=1,K43&lt;First_Instructional_Day1),0,IF(AND(rotationDays&gt;1,K43=First_Instructional_Day1),1,IF(P42+IF(OR(N42="Instructional",N42="Not Scheduled"),1,0)&gt;rotationDays,1,P42+IF(OR(N42="Instructional",N42="Not Scheduled"),1,0))))))</f>
        <v>1</v>
      </c>
      <c r="Q43" t="str">
        <f t="shared" si="5"/>
        <v/>
      </c>
      <c r="R43" t="str">
        <f>IF(ISBLANK(K43),"",IF(N43="Operational (no students)",99,IF(N43="Instructional",IF(rotationDays=1,Q43,P43),_xlfn.XLOOKUP(N43,TimeTable_Codes[Description],TimeTable_Codes[TimetableCode]))))</f>
        <v/>
      </c>
      <c r="S43" t="str">
        <f>IF(NOT(ISBLANK(K43)),VLOOKUP(K43,term_lookups[],2),"")</f>
        <v/>
      </c>
      <c r="T43" cm="1">
        <f t="array" ref="T43">IF(ISBLANK(K43),0,_xlfn.XLOOKUP(R43&amp;S43,Daily_Totals[Day]&amp;Daily_Totals[Term],Daily_Totals[Instruction]))</f>
        <v>0</v>
      </c>
      <c r="U43" cm="1">
        <f t="array" ref="U43">IF(ISBLANK(K43),0,_xlfn.XLOOKUP(R43&amp;S43,Daily_Totals[Day]&amp;Daily_Totals[Term],Daily_Totals[Non-Instruction]))</f>
        <v>0</v>
      </c>
      <c r="AC43">
        <v>97</v>
      </c>
      <c r="AD43">
        <v>2</v>
      </c>
      <c r="AE43" s="42">
        <f>SUM(Term2_Special_Day_2[Instructional Time])</f>
        <v>0</v>
      </c>
      <c r="AF43" s="42">
        <f>SUM(Term2_Special_Day_2[Assigned Time (Non-Instructional)])</f>
        <v>0</v>
      </c>
      <c r="AG43">
        <f t="shared" si="8"/>
        <v>0</v>
      </c>
    </row>
    <row r="44" spans="3:33" x14ac:dyDescent="0.3">
      <c r="C44">
        <v>8</v>
      </c>
      <c r="D44" s="37">
        <v>45888</v>
      </c>
      <c r="E44">
        <v>0</v>
      </c>
      <c r="F44">
        <f t="shared" si="4"/>
        <v>0</v>
      </c>
      <c r="K44" s="37"/>
      <c r="L44"/>
      <c r="N44" t="str">
        <f t="shared" si="6"/>
        <v/>
      </c>
      <c r="O44">
        <f t="shared" si="7"/>
        <v>0</v>
      </c>
      <c r="P44">
        <f>IF(IF(ISERROR(MATCH(K44,Rotation_Reset_Dates[Date],0)),0,1)=1,1,IF(ISBLANK(K44),"",IF(OR(rotationDays=1,K44&lt;First_Instructional_Day1),0,IF(AND(rotationDays&gt;1,K44=First_Instructional_Day1),1,IF(P43+IF(OR(N43="Instructional",N43="Not Scheduled"),1,0)&gt;rotationDays,1,P43+IF(OR(N43="Instructional",N43="Not Scheduled"),1,0))))))</f>
        <v>1</v>
      </c>
      <c r="Q44" t="str">
        <f t="shared" si="5"/>
        <v/>
      </c>
      <c r="R44" t="str">
        <f>IF(ISBLANK(K44),"",IF(N44="Operational (no students)",99,IF(N44="Instructional",IF(rotationDays=1,Q44,P44),_xlfn.XLOOKUP(N44,TimeTable_Codes[Description],TimeTable_Codes[TimetableCode]))))</f>
        <v/>
      </c>
      <c r="S44" t="str">
        <f>IF(NOT(ISBLANK(K44)),VLOOKUP(K44,term_lookups[],2),"")</f>
        <v/>
      </c>
      <c r="T44" cm="1">
        <f t="array" ref="T44">IF(ISBLANK(K44),0,_xlfn.XLOOKUP(R44&amp;S44,Daily_Totals[Day]&amp;Daily_Totals[Term],Daily_Totals[Instruction]))</f>
        <v>0</v>
      </c>
      <c r="U44" cm="1">
        <f t="array" ref="U44">IF(ISBLANK(K44),0,_xlfn.XLOOKUP(R44&amp;S44,Daily_Totals[Day]&amp;Daily_Totals[Term],Daily_Totals[Non-Instruction]))</f>
        <v>0</v>
      </c>
      <c r="AC44">
        <v>98</v>
      </c>
      <c r="AD44">
        <v>2</v>
      </c>
      <c r="AE44" s="42">
        <f>SUM(Term2_Special_Day_3[Instructional Time])</f>
        <v>0</v>
      </c>
      <c r="AF44" s="42">
        <f>SUM(Term2_Special_Day_3[Assigned Time (Non-Instructional)])</f>
        <v>0</v>
      </c>
      <c r="AG44">
        <f t="shared" si="8"/>
        <v>0</v>
      </c>
    </row>
    <row r="45" spans="3:33" x14ac:dyDescent="0.3">
      <c r="C45">
        <v>8</v>
      </c>
      <c r="D45" s="37">
        <v>45889</v>
      </c>
      <c r="E45">
        <v>0</v>
      </c>
      <c r="F45">
        <f t="shared" si="4"/>
        <v>0</v>
      </c>
      <c r="K45" s="37"/>
      <c r="L45"/>
      <c r="N45" t="str">
        <f t="shared" si="6"/>
        <v/>
      </c>
      <c r="O45">
        <f t="shared" si="7"/>
        <v>0</v>
      </c>
      <c r="P45">
        <f>IF(IF(ISERROR(MATCH(K45,Rotation_Reset_Dates[Date],0)),0,1)=1,1,IF(ISBLANK(K45),"",IF(OR(rotationDays=1,K45&lt;First_Instructional_Day1),0,IF(AND(rotationDays&gt;1,K45=First_Instructional_Day1),1,IF(P44+IF(OR(N44="Instructional",N44="Not Scheduled"),1,0)&gt;rotationDays,1,P44+IF(OR(N44="Instructional",N44="Not Scheduled"),1,0))))))</f>
        <v>1</v>
      </c>
      <c r="Q45" t="str">
        <f t="shared" si="5"/>
        <v/>
      </c>
      <c r="R45" t="str">
        <f>IF(ISBLANK(K45),"",IF(N45="Operational (no students)",99,IF(N45="Instructional",IF(rotationDays=1,Q45,P45),_xlfn.XLOOKUP(N45,TimeTable_Codes[Description],TimeTable_Codes[TimetableCode]))))</f>
        <v/>
      </c>
      <c r="S45" t="str">
        <f>IF(NOT(ISBLANK(K45)),VLOOKUP(K45,term_lookups[],2),"")</f>
        <v/>
      </c>
      <c r="T45" cm="1">
        <f t="array" ref="T45">IF(ISBLANK(K45),0,_xlfn.XLOOKUP(R45&amp;S45,Daily_Totals[Day]&amp;Daily_Totals[Term],Daily_Totals[Instruction]))</f>
        <v>0</v>
      </c>
      <c r="U45" cm="1">
        <f t="array" ref="U45">IF(ISBLANK(K45),0,_xlfn.XLOOKUP(R45&amp;S45,Daily_Totals[Day]&amp;Daily_Totals[Term],Daily_Totals[Non-Instruction]))</f>
        <v>0</v>
      </c>
      <c r="AC45">
        <v>99</v>
      </c>
      <c r="AD45">
        <v>2</v>
      </c>
      <c r="AE45">
        <v>0</v>
      </c>
      <c r="AF45">
        <f>IF(ISBLANK(PD_Length),360,PD_Length)</f>
        <v>360</v>
      </c>
      <c r="AG45">
        <f t="shared" si="8"/>
        <v>360</v>
      </c>
    </row>
    <row r="46" spans="3:33" x14ac:dyDescent="0.3">
      <c r="C46">
        <v>8</v>
      </c>
      <c r="D46" s="37">
        <v>45890</v>
      </c>
      <c r="E46">
        <v>0</v>
      </c>
      <c r="F46">
        <f t="shared" si="4"/>
        <v>0</v>
      </c>
      <c r="K46" s="37"/>
      <c r="L46"/>
      <c r="N46" t="str">
        <f t="shared" si="6"/>
        <v/>
      </c>
      <c r="O46">
        <f t="shared" si="7"/>
        <v>0</v>
      </c>
      <c r="P46">
        <f>IF(IF(ISERROR(MATCH(K46,Rotation_Reset_Dates[Date],0)),0,1)=1,1,IF(ISBLANK(K46),"",IF(OR(rotationDays=1,K46&lt;First_Instructional_Day1),0,IF(AND(rotationDays&gt;1,K46=First_Instructional_Day1),1,IF(P45+IF(OR(N45="Instructional",N45="Not Scheduled"),1,0)&gt;rotationDays,1,P45+IF(OR(N45="Instructional",N45="Not Scheduled"),1,0))))))</f>
        <v>1</v>
      </c>
      <c r="Q46" t="str">
        <f t="shared" si="5"/>
        <v/>
      </c>
      <c r="R46" t="str">
        <f>IF(ISBLANK(K46),"",IF(N46="Operational (no students)",99,IF(N46="Instructional",IF(rotationDays=1,Q46,P46),_xlfn.XLOOKUP(N46,TimeTable_Codes[Description],TimeTable_Codes[TimetableCode]))))</f>
        <v/>
      </c>
      <c r="S46" t="str">
        <f>IF(NOT(ISBLANK(K46)),VLOOKUP(K46,term_lookups[],2),"")</f>
        <v/>
      </c>
      <c r="T46" cm="1">
        <f t="array" ref="T46">IF(ISBLANK(K46),0,_xlfn.XLOOKUP(R46&amp;S46,Daily_Totals[Day]&amp;Daily_Totals[Term],Daily_Totals[Instruction]))</f>
        <v>0</v>
      </c>
      <c r="U46" cm="1">
        <f t="array" ref="U46">IF(ISBLANK(K46),0,_xlfn.XLOOKUP(R46&amp;S46,Daily_Totals[Day]&amp;Daily_Totals[Term],Daily_Totals[Non-Instruction]))</f>
        <v>0</v>
      </c>
      <c r="AC46">
        <v>100</v>
      </c>
      <c r="AD46">
        <v>2</v>
      </c>
      <c r="AE46">
        <v>0</v>
      </c>
      <c r="AF46">
        <f>IF(ISBLANK(Planning_Length),360,Planning_Length)</f>
        <v>360</v>
      </c>
      <c r="AG46" s="42">
        <f>+AE46+AF46</f>
        <v>360</v>
      </c>
    </row>
    <row r="47" spans="3:33" x14ac:dyDescent="0.3">
      <c r="C47">
        <v>8</v>
      </c>
      <c r="D47" s="37">
        <v>45891</v>
      </c>
      <c r="E47">
        <v>0</v>
      </c>
      <c r="F47">
        <f t="shared" si="4"/>
        <v>0</v>
      </c>
      <c r="K47" s="37"/>
      <c r="L47"/>
      <c r="N47" t="str">
        <f t="shared" si="6"/>
        <v/>
      </c>
      <c r="O47">
        <f t="shared" si="7"/>
        <v>0</v>
      </c>
      <c r="P47">
        <f>IF(IF(ISERROR(MATCH(K47,Rotation_Reset_Dates[Date],0)),0,1)=1,1,IF(ISBLANK(K47),"",IF(OR(rotationDays=1,K47&lt;First_Instructional_Day1),0,IF(AND(rotationDays&gt;1,K47=First_Instructional_Day1),1,IF(P46+IF(OR(N46="Instructional",N46="Not Scheduled"),1,0)&gt;rotationDays,1,P46+IF(OR(N46="Instructional",N46="Not Scheduled"),1,0))))))</f>
        <v>1</v>
      </c>
      <c r="Q47" t="str">
        <f t="shared" si="5"/>
        <v/>
      </c>
      <c r="R47" t="str">
        <f>IF(ISBLANK(K47),"",IF(N47="Operational (no students)",99,IF(N47="Instructional",IF(rotationDays=1,Q47,P47),_xlfn.XLOOKUP(N47,TimeTable_Codes[Description],TimeTable_Codes[TimetableCode]))))</f>
        <v/>
      </c>
      <c r="S47" t="str">
        <f>IF(NOT(ISBLANK(K47)),VLOOKUP(K47,term_lookups[],2),"")</f>
        <v/>
      </c>
      <c r="T47" cm="1">
        <f t="array" ref="T47">IF(ISBLANK(K47),0,_xlfn.XLOOKUP(R47&amp;S47,Daily_Totals[Day]&amp;Daily_Totals[Term],Daily_Totals[Instruction]))</f>
        <v>0</v>
      </c>
      <c r="U47" cm="1">
        <f t="array" ref="U47">IF(ISBLANK(K47),0,_xlfn.XLOOKUP(R47&amp;S47,Daily_Totals[Day]&amp;Daily_Totals[Term],Daily_Totals[Non-Instruction]))</f>
        <v>0</v>
      </c>
      <c r="AC47">
        <v>101</v>
      </c>
      <c r="AD47">
        <v>2</v>
      </c>
      <c r="AE47">
        <v>0</v>
      </c>
      <c r="AF47">
        <v>0</v>
      </c>
      <c r="AG47" s="42">
        <f>+AE47+AF47</f>
        <v>0</v>
      </c>
    </row>
    <row r="48" spans="3:33" x14ac:dyDescent="0.3">
      <c r="C48">
        <v>8</v>
      </c>
      <c r="D48" s="37">
        <v>45892</v>
      </c>
      <c r="E48">
        <v>0</v>
      </c>
      <c r="F48">
        <f t="shared" si="4"/>
        <v>0</v>
      </c>
      <c r="K48" s="37"/>
      <c r="L48"/>
      <c r="N48" t="str">
        <f t="shared" si="6"/>
        <v/>
      </c>
      <c r="O48">
        <f t="shared" si="7"/>
        <v>0</v>
      </c>
      <c r="P48">
        <f>IF(IF(ISERROR(MATCH(K48,Rotation_Reset_Dates[Date],0)),0,1)=1,1,IF(ISBLANK(K48),"",IF(OR(rotationDays=1,K48&lt;First_Instructional_Day1),0,IF(AND(rotationDays&gt;1,K48=First_Instructional_Day1),1,IF(P47+IF(OR(N47="Instructional",N47="Not Scheduled"),1,0)&gt;rotationDays,1,P47+IF(OR(N47="Instructional",N47="Not Scheduled"),1,0))))))</f>
        <v>1</v>
      </c>
      <c r="Q48" t="str">
        <f t="shared" si="5"/>
        <v/>
      </c>
      <c r="R48" t="str">
        <f>IF(ISBLANK(K48),"",IF(N48="Operational (no students)",99,IF(N48="Instructional",IF(rotationDays=1,Q48,P48),_xlfn.XLOOKUP(N48,TimeTable_Codes[Description],TimeTable_Codes[TimetableCode]))))</f>
        <v/>
      </c>
      <c r="S48" t="str">
        <f>IF(NOT(ISBLANK(K48)),VLOOKUP(K48,term_lookups[],2),"")</f>
        <v/>
      </c>
      <c r="T48" cm="1">
        <f t="array" ref="T48">IF(ISBLANK(K48),0,_xlfn.XLOOKUP(R48&amp;S48,Daily_Totals[Day]&amp;Daily_Totals[Term],Daily_Totals[Instruction]))</f>
        <v>0</v>
      </c>
      <c r="U48" cm="1">
        <f t="array" ref="U48">IF(ISBLANK(K48),0,_xlfn.XLOOKUP(R48&amp;S48,Daily_Totals[Day]&amp;Daily_Totals[Term],Daily_Totals[Non-Instruction]))</f>
        <v>0</v>
      </c>
      <c r="AC48">
        <v>1</v>
      </c>
      <c r="AD48">
        <v>3</v>
      </c>
      <c r="AE48" s="42">
        <f>SUM(Term3_Day_1[Instructional Time])</f>
        <v>0</v>
      </c>
      <c r="AF48" s="42">
        <f>SUM(Term3_Day_1[Assigned Time (Non-Instructional)])</f>
        <v>0</v>
      </c>
      <c r="AG48" s="42">
        <f t="shared" ref="AG48:AG67" si="11">+AE48+AF48</f>
        <v>0</v>
      </c>
    </row>
    <row r="49" spans="3:33" x14ac:dyDescent="0.3">
      <c r="C49">
        <v>8</v>
      </c>
      <c r="D49" s="37" cm="1">
        <f t="array" ref="D49:D55">TRANSPOSE(Calendar!B21:H21)</f>
        <v>45893</v>
      </c>
      <c r="E49" cm="1">
        <f t="array" ref="E49:E55">TRANSPOSE(Calendar!B22:H22)</f>
        <v>0</v>
      </c>
      <c r="F49">
        <f t="shared" si="4"/>
        <v>0</v>
      </c>
      <c r="K49" s="37"/>
      <c r="L49"/>
      <c r="N49" t="str">
        <f t="shared" si="6"/>
        <v/>
      </c>
      <c r="O49">
        <f t="shared" si="7"/>
        <v>0</v>
      </c>
      <c r="P49">
        <f>IF(IF(ISERROR(MATCH(K49,Rotation_Reset_Dates[Date],0)),0,1)=1,1,IF(ISBLANK(K49),"",IF(OR(rotationDays=1,K49&lt;First_Instructional_Day1),0,IF(AND(rotationDays&gt;1,K49=First_Instructional_Day1),1,IF(P48+IF(OR(N48="Instructional",N48="Not Scheduled"),1,0)&gt;rotationDays,1,P48+IF(OR(N48="Instructional",N48="Not Scheduled"),1,0))))))</f>
        <v>1</v>
      </c>
      <c r="Q49" t="str">
        <f t="shared" si="5"/>
        <v/>
      </c>
      <c r="R49" t="str">
        <f>IF(ISBLANK(K49),"",IF(N49="Operational (no students)",99,IF(N49="Instructional",IF(rotationDays=1,Q49,P49),_xlfn.XLOOKUP(N49,TimeTable_Codes[Description],TimeTable_Codes[TimetableCode]))))</f>
        <v/>
      </c>
      <c r="S49" t="str">
        <f>IF(NOT(ISBLANK(K49)),VLOOKUP(K49,term_lookups[],2),"")</f>
        <v/>
      </c>
      <c r="T49" cm="1">
        <f t="array" ref="T49">IF(ISBLANK(K49),0,_xlfn.XLOOKUP(R49&amp;S49,Daily_Totals[Day]&amp;Daily_Totals[Term],Daily_Totals[Instruction]))</f>
        <v>0</v>
      </c>
      <c r="U49" cm="1">
        <f t="array" ref="U49">IF(ISBLANK(K49),0,_xlfn.XLOOKUP(R49&amp;S49,Daily_Totals[Day]&amp;Daily_Totals[Term],Daily_Totals[Non-Instruction]))</f>
        <v>0</v>
      </c>
      <c r="AC49">
        <v>2</v>
      </c>
      <c r="AD49">
        <v>3</v>
      </c>
      <c r="AE49" s="42">
        <f>SUM(Term3_Day_2[Instructional Time])</f>
        <v>0</v>
      </c>
      <c r="AF49" s="42">
        <f>SUM(Term3_Day_2[Assigned Time (Non-Instructional)])</f>
        <v>0</v>
      </c>
      <c r="AG49" s="42">
        <f t="shared" si="11"/>
        <v>0</v>
      </c>
    </row>
    <row r="50" spans="3:33" x14ac:dyDescent="0.3">
      <c r="C50">
        <v>8</v>
      </c>
      <c r="D50" s="37">
        <v>45894</v>
      </c>
      <c r="E50">
        <v>0</v>
      </c>
      <c r="F50">
        <f t="shared" si="4"/>
        <v>0</v>
      </c>
      <c r="K50" s="37"/>
      <c r="L50"/>
      <c r="N50" t="str">
        <f t="shared" si="6"/>
        <v/>
      </c>
      <c r="O50">
        <f t="shared" si="7"/>
        <v>0</v>
      </c>
      <c r="P50">
        <f>IF(IF(ISERROR(MATCH(K50,Rotation_Reset_Dates[Date],0)),0,1)=1,1,IF(ISBLANK(K50),"",IF(OR(rotationDays=1,K50&lt;First_Instructional_Day1),0,IF(AND(rotationDays&gt;1,K50=First_Instructional_Day1),1,IF(P49+IF(OR(N49="Instructional",N49="Not Scheduled"),1,0)&gt;rotationDays,1,P49+IF(OR(N49="Instructional",N49="Not Scheduled"),1,0))))))</f>
        <v>1</v>
      </c>
      <c r="Q50" t="str">
        <f t="shared" si="5"/>
        <v/>
      </c>
      <c r="R50" t="str">
        <f>IF(ISBLANK(K50),"",IF(N50="Operational (no students)",99,IF(N50="Instructional",IF(rotationDays=1,Q50,P50),_xlfn.XLOOKUP(N50,TimeTable_Codes[Description],TimeTable_Codes[TimetableCode]))))</f>
        <v/>
      </c>
      <c r="S50" t="str">
        <f>IF(NOT(ISBLANK(K50)),VLOOKUP(K50,term_lookups[],2),"")</f>
        <v/>
      </c>
      <c r="T50" cm="1">
        <f t="array" ref="T50">IF(ISBLANK(K50),0,_xlfn.XLOOKUP(R50&amp;S50,Daily_Totals[Day]&amp;Daily_Totals[Term],Daily_Totals[Instruction]))</f>
        <v>0</v>
      </c>
      <c r="U50" cm="1">
        <f t="array" ref="U50">IF(ISBLANK(K50),0,_xlfn.XLOOKUP(R50&amp;S50,Daily_Totals[Day]&amp;Daily_Totals[Term],Daily_Totals[Non-Instruction]))</f>
        <v>0</v>
      </c>
      <c r="AC50">
        <v>3</v>
      </c>
      <c r="AD50">
        <v>3</v>
      </c>
      <c r="AE50" s="42">
        <f>SUM(Term3_Day_3[Instructional Time])</f>
        <v>0</v>
      </c>
      <c r="AF50" s="42">
        <f>SUM(Term3_Day_3[Assigned Time (Non-Instructional)])</f>
        <v>0</v>
      </c>
      <c r="AG50" s="42">
        <f t="shared" si="11"/>
        <v>0</v>
      </c>
    </row>
    <row r="51" spans="3:33" x14ac:dyDescent="0.3">
      <c r="C51">
        <v>8</v>
      </c>
      <c r="D51" s="37">
        <v>45895</v>
      </c>
      <c r="E51">
        <v>0</v>
      </c>
      <c r="F51">
        <f t="shared" si="4"/>
        <v>0</v>
      </c>
      <c r="K51" s="37"/>
      <c r="L51"/>
      <c r="N51" t="str">
        <f t="shared" si="6"/>
        <v/>
      </c>
      <c r="O51">
        <f t="shared" si="7"/>
        <v>0</v>
      </c>
      <c r="P51">
        <f>IF(IF(ISERROR(MATCH(K51,Rotation_Reset_Dates[Date],0)),0,1)=1,1,IF(ISBLANK(K51),"",IF(OR(rotationDays=1,K51&lt;First_Instructional_Day1),0,IF(AND(rotationDays&gt;1,K51=First_Instructional_Day1),1,IF(P50+IF(OR(N50="Instructional",N50="Not Scheduled"),1,0)&gt;rotationDays,1,P50+IF(OR(N50="Instructional",N50="Not Scheduled"),1,0))))))</f>
        <v>1</v>
      </c>
      <c r="Q51" t="str">
        <f t="shared" si="5"/>
        <v/>
      </c>
      <c r="R51" t="str">
        <f>IF(ISBLANK(K51),"",IF(N51="Operational (no students)",99,IF(N51="Instructional",IF(rotationDays=1,Q51,P51),_xlfn.XLOOKUP(N51,TimeTable_Codes[Description],TimeTable_Codes[TimetableCode]))))</f>
        <v/>
      </c>
      <c r="S51" t="str">
        <f>IF(NOT(ISBLANK(K51)),VLOOKUP(K51,term_lookups[],2),"")</f>
        <v/>
      </c>
      <c r="T51" cm="1">
        <f t="array" ref="T51">IF(ISBLANK(K51),0,_xlfn.XLOOKUP(R51&amp;S51,Daily_Totals[Day]&amp;Daily_Totals[Term],Daily_Totals[Instruction]))</f>
        <v>0</v>
      </c>
      <c r="U51" cm="1">
        <f t="array" ref="U51">IF(ISBLANK(K51),0,_xlfn.XLOOKUP(R51&amp;S51,Daily_Totals[Day]&amp;Daily_Totals[Term],Daily_Totals[Non-Instruction]))</f>
        <v>0</v>
      </c>
      <c r="AC51">
        <v>4</v>
      </c>
      <c r="AD51">
        <v>3</v>
      </c>
      <c r="AE51" s="42">
        <f>SUM(Term3_Day_4[Instructional Time])</f>
        <v>0</v>
      </c>
      <c r="AF51" s="42">
        <f>SUM(Term3_Day_4[Assigned Time (Non-Instructional)])</f>
        <v>0</v>
      </c>
      <c r="AG51" s="42">
        <f t="shared" si="11"/>
        <v>0</v>
      </c>
    </row>
    <row r="52" spans="3:33" x14ac:dyDescent="0.3">
      <c r="C52">
        <v>8</v>
      </c>
      <c r="D52" s="37">
        <v>45896</v>
      </c>
      <c r="E52">
        <v>0</v>
      </c>
      <c r="F52">
        <f t="shared" si="4"/>
        <v>0</v>
      </c>
      <c r="K52" s="37"/>
      <c r="L52"/>
      <c r="N52" t="str">
        <f t="shared" si="6"/>
        <v/>
      </c>
      <c r="O52">
        <f t="shared" si="7"/>
        <v>0</v>
      </c>
      <c r="P52">
        <f>IF(IF(ISERROR(MATCH(K52,Rotation_Reset_Dates[Date],0)),0,1)=1,1,IF(ISBLANK(K52),"",IF(OR(rotationDays=1,K52&lt;First_Instructional_Day1),0,IF(AND(rotationDays&gt;1,K52=First_Instructional_Day1),1,IF(P51+IF(OR(N51="Instructional",N51="Not Scheduled"),1,0)&gt;rotationDays,1,P51+IF(OR(N51="Instructional",N51="Not Scheduled"),1,0))))))</f>
        <v>1</v>
      </c>
      <c r="Q52" t="str">
        <f t="shared" si="5"/>
        <v/>
      </c>
      <c r="R52" t="str">
        <f>IF(ISBLANK(K52),"",IF(N52="Operational (no students)",99,IF(N52="Instructional",IF(rotationDays=1,Q52,P52),_xlfn.XLOOKUP(N52,TimeTable_Codes[Description],TimeTable_Codes[TimetableCode]))))</f>
        <v/>
      </c>
      <c r="S52" t="str">
        <f>IF(NOT(ISBLANK(K52)),VLOOKUP(K52,term_lookups[],2),"")</f>
        <v/>
      </c>
      <c r="T52" cm="1">
        <f t="array" ref="T52">IF(ISBLANK(K52),0,_xlfn.XLOOKUP(R52&amp;S52,Daily_Totals[Day]&amp;Daily_Totals[Term],Daily_Totals[Instruction]))</f>
        <v>0</v>
      </c>
      <c r="U52" cm="1">
        <f t="array" ref="U52">IF(ISBLANK(K52),0,_xlfn.XLOOKUP(R52&amp;S52,Daily_Totals[Day]&amp;Daily_Totals[Term],Daily_Totals[Non-Instruction]))</f>
        <v>0</v>
      </c>
      <c r="AC52">
        <v>5</v>
      </c>
      <c r="AD52">
        <v>3</v>
      </c>
      <c r="AE52" s="42">
        <f>SUM(Term3_Day_5[Instructional Time])</f>
        <v>0</v>
      </c>
      <c r="AF52" s="42">
        <f>SUM(Term3_Day_5[Assigned Time (Non-Instructional)])</f>
        <v>0</v>
      </c>
      <c r="AG52" s="42">
        <f t="shared" si="11"/>
        <v>0</v>
      </c>
    </row>
    <row r="53" spans="3:33" x14ac:dyDescent="0.3">
      <c r="C53">
        <v>8</v>
      </c>
      <c r="D53" s="37">
        <v>45897</v>
      </c>
      <c r="E53">
        <v>0</v>
      </c>
      <c r="F53">
        <f t="shared" si="4"/>
        <v>0</v>
      </c>
      <c r="K53" s="37"/>
      <c r="L53"/>
      <c r="N53" t="str">
        <f t="shared" si="6"/>
        <v/>
      </c>
      <c r="O53">
        <f t="shared" si="7"/>
        <v>0</v>
      </c>
      <c r="P53">
        <f>IF(IF(ISERROR(MATCH(K53,Rotation_Reset_Dates[Date],0)),0,1)=1,1,IF(ISBLANK(K53),"",IF(OR(rotationDays=1,K53&lt;First_Instructional_Day1),0,IF(AND(rotationDays&gt;1,K53=First_Instructional_Day1),1,IF(P52+IF(OR(N52="Instructional",N52="Not Scheduled"),1,0)&gt;rotationDays,1,P52+IF(OR(N52="Instructional",N52="Not Scheduled"),1,0))))))</f>
        <v>1</v>
      </c>
      <c r="Q53" t="str">
        <f t="shared" ref="Q53:Q84" si="12">IF(ISBLANK(K53),"",IF(K53&gt;=First_Instructional_Day1,WEEKDAY(K53)-1,0))</f>
        <v/>
      </c>
      <c r="R53" t="str">
        <f>IF(ISBLANK(K53),"",IF(N53="Operational (no students)",99,IF(N53="Instructional",IF(rotationDays=1,Q53,P53),_xlfn.XLOOKUP(N53,TimeTable_Codes[Description],TimeTable_Codes[TimetableCode]))))</f>
        <v/>
      </c>
      <c r="S53" t="str">
        <f>IF(NOT(ISBLANK(K53)),VLOOKUP(K53,term_lookups[],2),"")</f>
        <v/>
      </c>
      <c r="T53" cm="1">
        <f t="array" ref="T53">IF(ISBLANK(K53),0,_xlfn.XLOOKUP(R53&amp;S53,Daily_Totals[Day]&amp;Daily_Totals[Term],Daily_Totals[Instruction]))</f>
        <v>0</v>
      </c>
      <c r="U53" cm="1">
        <f t="array" ref="U53">IF(ISBLANK(K53),0,_xlfn.XLOOKUP(R53&amp;S53,Daily_Totals[Day]&amp;Daily_Totals[Term],Daily_Totals[Non-Instruction]))</f>
        <v>0</v>
      </c>
      <c r="AC53">
        <v>6</v>
      </c>
      <c r="AD53">
        <v>3</v>
      </c>
      <c r="AE53" s="42">
        <f>SUM(Term3_Day_6[Instructional Time])</f>
        <v>0</v>
      </c>
      <c r="AF53" s="42">
        <f>SUM(Term3_Day_6[Assigned Time (Non-Instructional)])</f>
        <v>0</v>
      </c>
      <c r="AG53" s="42">
        <f t="shared" si="11"/>
        <v>0</v>
      </c>
    </row>
    <row r="54" spans="3:33" x14ac:dyDescent="0.3">
      <c r="C54">
        <v>8</v>
      </c>
      <c r="D54" s="37">
        <v>45898</v>
      </c>
      <c r="E54">
        <v>0</v>
      </c>
      <c r="F54">
        <f t="shared" si="4"/>
        <v>0</v>
      </c>
      <c r="K54" s="37"/>
      <c r="L54"/>
      <c r="N54" t="str">
        <f t="shared" si="6"/>
        <v/>
      </c>
      <c r="O54">
        <f t="shared" si="7"/>
        <v>0</v>
      </c>
      <c r="P54">
        <f>IF(IF(ISERROR(MATCH(K54,Rotation_Reset_Dates[Date],0)),0,1)=1,1,IF(ISBLANK(K54),"",IF(OR(rotationDays=1,K54&lt;First_Instructional_Day1),0,IF(AND(rotationDays&gt;1,K54=First_Instructional_Day1),1,IF(P53+IF(OR(N53="Instructional",N53="Not Scheduled"),1,0)&gt;rotationDays,1,P53+IF(OR(N53="Instructional",N53="Not Scheduled"),1,0))))))</f>
        <v>1</v>
      </c>
      <c r="Q54" t="str">
        <f t="shared" si="12"/>
        <v/>
      </c>
      <c r="R54" t="str">
        <f>IF(ISBLANK(K54),"",IF(N54="Operational (no students)",99,IF(N54="Instructional",IF(rotationDays=1,Q54,P54),_xlfn.XLOOKUP(N54,TimeTable_Codes[Description],TimeTable_Codes[TimetableCode]))))</f>
        <v/>
      </c>
      <c r="S54" t="str">
        <f>IF(NOT(ISBLANK(K54)),VLOOKUP(K54,term_lookups[],2),"")</f>
        <v/>
      </c>
      <c r="T54" cm="1">
        <f t="array" ref="T54">IF(ISBLANK(K54),0,_xlfn.XLOOKUP(R54&amp;S54,Daily_Totals[Day]&amp;Daily_Totals[Term],Daily_Totals[Instruction]))</f>
        <v>0</v>
      </c>
      <c r="U54" cm="1">
        <f t="array" ref="U54">IF(ISBLANK(K54),0,_xlfn.XLOOKUP(R54&amp;S54,Daily_Totals[Day]&amp;Daily_Totals[Term],Daily_Totals[Non-Instruction]))</f>
        <v>0</v>
      </c>
      <c r="AC54">
        <v>7</v>
      </c>
      <c r="AD54">
        <v>3</v>
      </c>
      <c r="AE54" s="42">
        <f>SUM(Term3_Day_7[Instructional Time])</f>
        <v>0</v>
      </c>
      <c r="AF54" s="42">
        <f>SUM(Term3_Day_7[Assigned Time (Non-Instructional)])</f>
        <v>0</v>
      </c>
      <c r="AG54" s="42">
        <f t="shared" ref="AG54:AG56" si="13">+AE54+AF54</f>
        <v>0</v>
      </c>
    </row>
    <row r="55" spans="3:33" x14ac:dyDescent="0.3">
      <c r="C55">
        <v>8</v>
      </c>
      <c r="D55" s="37">
        <v>45899</v>
      </c>
      <c r="E55">
        <v>0</v>
      </c>
      <c r="F55">
        <f t="shared" si="4"/>
        <v>0</v>
      </c>
      <c r="K55" s="37"/>
      <c r="L55"/>
      <c r="N55" t="str">
        <f t="shared" si="6"/>
        <v/>
      </c>
      <c r="O55">
        <f t="shared" si="7"/>
        <v>0</v>
      </c>
      <c r="P55">
        <f>IF(IF(ISERROR(MATCH(K55,Rotation_Reset_Dates[Date],0)),0,1)=1,1,IF(ISBLANK(K55),"",IF(OR(rotationDays=1,K55&lt;First_Instructional_Day1),0,IF(AND(rotationDays&gt;1,K55=First_Instructional_Day1),1,IF(P54+IF(OR(N54="Instructional",N54="Not Scheduled"),1,0)&gt;rotationDays,1,P54+IF(OR(N54="Instructional",N54="Not Scheduled"),1,0))))))</f>
        <v>1</v>
      </c>
      <c r="Q55" t="str">
        <f t="shared" si="12"/>
        <v/>
      </c>
      <c r="R55" t="str">
        <f>IF(ISBLANK(K55),"",IF(N55="Operational (no students)",99,IF(N55="Instructional",IF(rotationDays=1,Q55,P55),_xlfn.XLOOKUP(N55,TimeTable_Codes[Description],TimeTable_Codes[TimetableCode]))))</f>
        <v/>
      </c>
      <c r="S55" t="str">
        <f>IF(NOT(ISBLANK(K55)),VLOOKUP(K55,term_lookups[],2),"")</f>
        <v/>
      </c>
      <c r="T55" cm="1">
        <f t="array" ref="T55">IF(ISBLANK(K55),0,_xlfn.XLOOKUP(R55&amp;S55,Daily_Totals[Day]&amp;Daily_Totals[Term],Daily_Totals[Instruction]))</f>
        <v>0</v>
      </c>
      <c r="U55" cm="1">
        <f t="array" ref="U55">IF(ISBLANK(K55),0,_xlfn.XLOOKUP(R55&amp;S55,Daily_Totals[Day]&amp;Daily_Totals[Term],Daily_Totals[Non-Instruction]))</f>
        <v>0</v>
      </c>
      <c r="AC55">
        <v>8</v>
      </c>
      <c r="AD55">
        <v>3</v>
      </c>
      <c r="AE55" s="42">
        <f>SUM(Term3_Day_8[Instructional Time])</f>
        <v>0</v>
      </c>
      <c r="AF55" s="42">
        <f>SUM(Term3_Day_8[Assigned Time (Non-Instructional)])</f>
        <v>0</v>
      </c>
      <c r="AG55" s="42">
        <f t="shared" si="13"/>
        <v>0</v>
      </c>
    </row>
    <row r="56" spans="3:33" x14ac:dyDescent="0.3">
      <c r="C56">
        <v>8</v>
      </c>
      <c r="D56" s="37" cm="1">
        <f t="array" ref="D56:D57">TRANSPOSE(Calendar!B23:C23)</f>
        <v>45900</v>
      </c>
      <c r="E56" cm="1">
        <f t="array" ref="E56:E57">TRANSPOSE(Calendar!B24:C24)</f>
        <v>0</v>
      </c>
      <c r="F56">
        <f t="shared" si="4"/>
        <v>0</v>
      </c>
      <c r="K56" s="37"/>
      <c r="L56"/>
      <c r="N56" t="str">
        <f t="shared" si="6"/>
        <v/>
      </c>
      <c r="O56">
        <f t="shared" si="7"/>
        <v>0</v>
      </c>
      <c r="P56">
        <f>IF(IF(ISERROR(MATCH(K56,Rotation_Reset_Dates[Date],0)),0,1)=1,1,IF(ISBLANK(K56),"",IF(OR(rotationDays=1,K56&lt;First_Instructional_Day1),0,IF(AND(rotationDays&gt;1,K56=First_Instructional_Day1),1,IF(P55+IF(OR(N55="Instructional",N55="Not Scheduled"),1,0)&gt;rotationDays,1,P55+IF(OR(N55="Instructional",N55="Not Scheduled"),1,0))))))</f>
        <v>1</v>
      </c>
      <c r="Q56" t="str">
        <f t="shared" si="12"/>
        <v/>
      </c>
      <c r="R56" t="str">
        <f>IF(ISBLANK(K56),"",IF(N56="Operational (no students)",99,IF(N56="Instructional",IF(rotationDays=1,Q56,P56),_xlfn.XLOOKUP(N56,TimeTable_Codes[Description],TimeTable_Codes[TimetableCode]))))</f>
        <v/>
      </c>
      <c r="S56" t="str">
        <f>IF(NOT(ISBLANK(K56)),VLOOKUP(K56,term_lookups[],2),"")</f>
        <v/>
      </c>
      <c r="T56" cm="1">
        <f t="array" ref="T56">IF(ISBLANK(K56),0,_xlfn.XLOOKUP(R56&amp;S56,Daily_Totals[Day]&amp;Daily_Totals[Term],Daily_Totals[Instruction]))</f>
        <v>0</v>
      </c>
      <c r="U56" cm="1">
        <f t="array" ref="U56">IF(ISBLANK(K56),0,_xlfn.XLOOKUP(R56&amp;S56,Daily_Totals[Day]&amp;Daily_Totals[Term],Daily_Totals[Non-Instruction]))</f>
        <v>0</v>
      </c>
      <c r="AC56">
        <v>9</v>
      </c>
      <c r="AD56">
        <v>3</v>
      </c>
      <c r="AE56" s="42">
        <f>SUM(Term3_Day_9[Instructional Time])</f>
        <v>0</v>
      </c>
      <c r="AF56" s="42">
        <f>SUM(Term3_Day_9[Assigned Time (Non-Instructional)])</f>
        <v>0</v>
      </c>
      <c r="AG56" s="42">
        <f t="shared" si="13"/>
        <v>0</v>
      </c>
    </row>
    <row r="57" spans="3:33" x14ac:dyDescent="0.3">
      <c r="C57">
        <v>8</v>
      </c>
      <c r="D57" s="37">
        <v>45901</v>
      </c>
      <c r="E57">
        <v>0</v>
      </c>
      <c r="F57">
        <f t="shared" si="4"/>
        <v>0</v>
      </c>
      <c r="K57" s="37"/>
      <c r="L57"/>
      <c r="N57" t="str">
        <f t="shared" si="6"/>
        <v/>
      </c>
      <c r="O57">
        <f t="shared" si="7"/>
        <v>0</v>
      </c>
      <c r="P57">
        <f>IF(IF(ISERROR(MATCH(K57,Rotation_Reset_Dates[Date],0)),0,1)=1,1,IF(ISBLANK(K57),"",IF(OR(rotationDays=1,K57&lt;First_Instructional_Day1),0,IF(AND(rotationDays&gt;1,K57=First_Instructional_Day1),1,IF(P56+IF(OR(N56="Instructional",N56="Not Scheduled"),1,0)&gt;rotationDays,1,P56+IF(OR(N56="Instructional",N56="Not Scheduled"),1,0))))))</f>
        <v>1</v>
      </c>
      <c r="Q57" t="str">
        <f t="shared" si="12"/>
        <v/>
      </c>
      <c r="R57" t="str">
        <f>IF(ISBLANK(K57),"",IF(N57="Operational (no students)",99,IF(N57="Instructional",IF(rotationDays=1,Q57,P57),_xlfn.XLOOKUP(N57,TimeTable_Codes[Description],TimeTable_Codes[TimetableCode]))))</f>
        <v/>
      </c>
      <c r="S57" t="str">
        <f>IF(NOT(ISBLANK(K57)),VLOOKUP(K57,term_lookups[],2),"")</f>
        <v/>
      </c>
      <c r="T57" cm="1">
        <f t="array" ref="T57">IF(ISBLANK(K57),0,_xlfn.XLOOKUP(R57&amp;S57,Daily_Totals[Day]&amp;Daily_Totals[Term],Daily_Totals[Instruction]))</f>
        <v>0</v>
      </c>
      <c r="U57" cm="1">
        <f t="array" ref="U57">IF(ISBLANK(K57),0,_xlfn.XLOOKUP(R57&amp;S57,Daily_Totals[Day]&amp;Daily_Totals[Term],Daily_Totals[Non-Instruction]))</f>
        <v>0</v>
      </c>
      <c r="AC57">
        <v>10</v>
      </c>
      <c r="AD57">
        <v>3</v>
      </c>
      <c r="AE57" s="42">
        <f>SUM(Term3_Day_10[Instructional Time])</f>
        <v>0</v>
      </c>
      <c r="AF57" s="42">
        <f>SUM(Term3_Day_10[Assigned Time (Non-Instructional)])</f>
        <v>0</v>
      </c>
      <c r="AG57" s="42">
        <f t="shared" si="11"/>
        <v>0</v>
      </c>
    </row>
    <row r="58" spans="3:33" x14ac:dyDescent="0.3">
      <c r="C58">
        <v>9</v>
      </c>
      <c r="D58" s="37" cm="1">
        <f t="array" ref="D58:D64">TRANSPOSE(Calendar!B29:H29)</f>
        <v>45900</v>
      </c>
      <c r="E58" cm="1">
        <f t="array" ref="E58:E64">TRANSPOSE(Calendar!B30:H30)</f>
        <v>0</v>
      </c>
      <c r="F58">
        <f t="shared" si="4"/>
        <v>0</v>
      </c>
      <c r="K58" s="37"/>
      <c r="L58"/>
      <c r="N58" t="str">
        <f t="shared" si="6"/>
        <v/>
      </c>
      <c r="O58">
        <f t="shared" si="7"/>
        <v>0</v>
      </c>
      <c r="P58">
        <f>IF(IF(ISERROR(MATCH(K58,Rotation_Reset_Dates[Date],0)),0,1)=1,1,IF(ISBLANK(K58),"",IF(OR(rotationDays=1,K58&lt;First_Instructional_Day1),0,IF(AND(rotationDays&gt;1,K58=First_Instructional_Day1),1,IF(P57+IF(OR(N57="Instructional",N57="Not Scheduled"),1,0)&gt;rotationDays,1,P57+IF(OR(N57="Instructional",N57="Not Scheduled"),1,0))))))</f>
        <v>1</v>
      </c>
      <c r="Q58" t="str">
        <f t="shared" si="12"/>
        <v/>
      </c>
      <c r="R58" t="str">
        <f>IF(ISBLANK(K58),"",IF(N58="Operational (no students)",99,IF(N58="Instructional",IF(rotationDays=1,Q58,P58),_xlfn.XLOOKUP(N58,TimeTable_Codes[Description],TimeTable_Codes[TimetableCode]))))</f>
        <v/>
      </c>
      <c r="S58" t="str">
        <f>IF(NOT(ISBLANK(K58)),VLOOKUP(K58,term_lookups[],2),"")</f>
        <v/>
      </c>
      <c r="T58" cm="1">
        <f t="array" ref="T58">IF(ISBLANK(K58),0,_xlfn.XLOOKUP(R58&amp;S58,Daily_Totals[Day]&amp;Daily_Totals[Term],Daily_Totals[Instruction]))</f>
        <v>0</v>
      </c>
      <c r="U58" cm="1">
        <f t="array" ref="U58">IF(ISBLANK(K58),0,_xlfn.XLOOKUP(R58&amp;S58,Daily_Totals[Day]&amp;Daily_Totals[Term],Daily_Totals[Non-Instruction]))</f>
        <v>0</v>
      </c>
      <c r="AC58">
        <v>90</v>
      </c>
      <c r="AD58">
        <v>3</v>
      </c>
      <c r="AE58" s="42">
        <f>SUM(Term3_Early_Dismissal_2[Instructional Time])</f>
        <v>0</v>
      </c>
      <c r="AF58" s="42">
        <f>SUM(Term3_Early_Dismissal_1[Assigned Time (Non-Instructional)])</f>
        <v>0</v>
      </c>
      <c r="AG58">
        <f t="shared" si="11"/>
        <v>0</v>
      </c>
    </row>
    <row r="59" spans="3:33" x14ac:dyDescent="0.3">
      <c r="C59">
        <v>9</v>
      </c>
      <c r="D59" s="37">
        <v>45901</v>
      </c>
      <c r="E59" t="str">
        <v>Closed (non-operational)</v>
      </c>
      <c r="F59">
        <f t="shared" si="4"/>
        <v>0</v>
      </c>
      <c r="K59" s="37"/>
      <c r="L59"/>
      <c r="N59" t="str">
        <f t="shared" si="6"/>
        <v/>
      </c>
      <c r="O59">
        <f t="shared" si="7"/>
        <v>0</v>
      </c>
      <c r="P59">
        <f>IF(IF(ISERROR(MATCH(K59,Rotation_Reset_Dates[Date],0)),0,1)=1,1,IF(ISBLANK(K59),"",IF(OR(rotationDays=1,K59&lt;First_Instructional_Day1),0,IF(AND(rotationDays&gt;1,K59=First_Instructional_Day1),1,IF(P58+IF(OR(N58="Instructional",N58="Not Scheduled"),1,0)&gt;rotationDays,1,P58+IF(OR(N58="Instructional",N58="Not Scheduled"),1,0))))))</f>
        <v>1</v>
      </c>
      <c r="Q59" t="str">
        <f t="shared" si="12"/>
        <v/>
      </c>
      <c r="R59" t="str">
        <f>IF(ISBLANK(K59),"",IF(N59="Operational (no students)",99,IF(N59="Instructional",IF(rotationDays=1,Q59,P59),_xlfn.XLOOKUP(N59,TimeTable_Codes[Description],TimeTable_Codes[TimetableCode]))))</f>
        <v/>
      </c>
      <c r="S59" t="str">
        <f>IF(NOT(ISBLANK(K59)),VLOOKUP(K59,term_lookups[],2),"")</f>
        <v/>
      </c>
      <c r="T59" cm="1">
        <f t="array" ref="T59">IF(ISBLANK(K59),0,_xlfn.XLOOKUP(R59&amp;S59,Daily_Totals[Day]&amp;Daily_Totals[Term],Daily_Totals[Instruction]))</f>
        <v>0</v>
      </c>
      <c r="U59" cm="1">
        <f t="array" ref="U59">IF(ISBLANK(K59),0,_xlfn.XLOOKUP(R59&amp;S59,Daily_Totals[Day]&amp;Daily_Totals[Term],Daily_Totals[Non-Instruction]))</f>
        <v>0</v>
      </c>
      <c r="AC59">
        <v>91</v>
      </c>
      <c r="AD59">
        <v>3</v>
      </c>
      <c r="AE59" s="42">
        <f>SUM(Term3_Early_Dismissal_1[Instructional Time])</f>
        <v>0</v>
      </c>
      <c r="AF59" s="42">
        <f>SUM(Term3_Early_Dismissal_2[Assigned Time (Non-Instructional)])</f>
        <v>0</v>
      </c>
      <c r="AG59">
        <f t="shared" si="11"/>
        <v>0</v>
      </c>
    </row>
    <row r="60" spans="3:33" x14ac:dyDescent="0.3">
      <c r="C60">
        <v>9</v>
      </c>
      <c r="D60" s="37">
        <v>45902</v>
      </c>
      <c r="E60">
        <v>0</v>
      </c>
      <c r="F60">
        <f t="shared" si="4"/>
        <v>0</v>
      </c>
      <c r="K60" s="37"/>
      <c r="L60"/>
      <c r="N60" t="str">
        <f t="shared" si="6"/>
        <v/>
      </c>
      <c r="O60">
        <f t="shared" si="7"/>
        <v>0</v>
      </c>
      <c r="P60">
        <f>IF(IF(ISERROR(MATCH(K60,Rotation_Reset_Dates[Date],0)),0,1)=1,1,IF(ISBLANK(K60),"",IF(OR(rotationDays=1,K60&lt;First_Instructional_Day1),0,IF(AND(rotationDays&gt;1,K60=First_Instructional_Day1),1,IF(P59+IF(OR(N59="Instructional",N59="Not Scheduled"),1,0)&gt;rotationDays,1,P59+IF(OR(N59="Instructional",N59="Not Scheduled"),1,0))))))</f>
        <v>1</v>
      </c>
      <c r="Q60" t="str">
        <f t="shared" si="12"/>
        <v/>
      </c>
      <c r="R60" t="str">
        <f>IF(ISBLANK(K60),"",IF(N60="Operational (no students)",99,IF(N60="Instructional",IF(rotationDays=1,Q60,P60),_xlfn.XLOOKUP(N60,TimeTable_Codes[Description],TimeTable_Codes[TimetableCode]))))</f>
        <v/>
      </c>
      <c r="S60" t="str">
        <f>IF(NOT(ISBLANK(K60)),VLOOKUP(K60,term_lookups[],2),"")</f>
        <v/>
      </c>
      <c r="T60" cm="1">
        <f t="array" ref="T60">IF(ISBLANK(K60),0,_xlfn.XLOOKUP(R60&amp;S60,Daily_Totals[Day]&amp;Daily_Totals[Term],Daily_Totals[Instruction]))</f>
        <v>0</v>
      </c>
      <c r="U60" cm="1">
        <f t="array" ref="U60">IF(ISBLANK(K60),0,_xlfn.XLOOKUP(R60&amp;S60,Daily_Totals[Day]&amp;Daily_Totals[Term],Daily_Totals[Non-Instruction]))</f>
        <v>0</v>
      </c>
      <c r="AC60">
        <v>92</v>
      </c>
      <c r="AD60">
        <v>3</v>
      </c>
      <c r="AE60" s="42">
        <f>SUM(Term3_Early_Dismissal_3[Instructional Time])</f>
        <v>0</v>
      </c>
      <c r="AF60" s="42">
        <f>SUM(Term3_Early_Dismissal_3[Assigned Time (Non-Instructional)])</f>
        <v>0</v>
      </c>
      <c r="AG60">
        <f t="shared" si="11"/>
        <v>0</v>
      </c>
    </row>
    <row r="61" spans="3:33" x14ac:dyDescent="0.3">
      <c r="C61">
        <v>9</v>
      </c>
      <c r="D61" s="37">
        <v>45903</v>
      </c>
      <c r="E61">
        <v>0</v>
      </c>
      <c r="F61">
        <f t="shared" si="4"/>
        <v>0</v>
      </c>
      <c r="K61" s="37"/>
      <c r="L61"/>
      <c r="N61" t="str">
        <f t="shared" si="6"/>
        <v/>
      </c>
      <c r="O61">
        <f t="shared" si="7"/>
        <v>0</v>
      </c>
      <c r="P61">
        <f>IF(IF(ISERROR(MATCH(K61,Rotation_Reset_Dates[Date],0)),0,1)=1,1,IF(ISBLANK(K61),"",IF(OR(rotationDays=1,K61&lt;First_Instructional_Day1),0,IF(AND(rotationDays&gt;1,K61=First_Instructional_Day1),1,IF(P60+IF(OR(N60="Instructional",N60="Not Scheduled"),1,0)&gt;rotationDays,1,P60+IF(OR(N60="Instructional",N60="Not Scheduled"),1,0))))))</f>
        <v>1</v>
      </c>
      <c r="Q61" t="str">
        <f t="shared" si="12"/>
        <v/>
      </c>
      <c r="R61" t="str">
        <f>IF(ISBLANK(K61),"",IF(N61="Operational (no students)",99,IF(N61="Instructional",IF(rotationDays=1,Q61,P61),_xlfn.XLOOKUP(N61,TimeTable_Codes[Description],TimeTable_Codes[TimetableCode]))))</f>
        <v/>
      </c>
      <c r="S61" t="str">
        <f>IF(NOT(ISBLANK(K61)),VLOOKUP(K61,term_lookups[],2),"")</f>
        <v/>
      </c>
      <c r="T61" cm="1">
        <f t="array" ref="T61">IF(ISBLANK(K61),0,_xlfn.XLOOKUP(R61&amp;S61,Daily_Totals[Day]&amp;Daily_Totals[Term],Daily_Totals[Instruction]))</f>
        <v>0</v>
      </c>
      <c r="U61" cm="1">
        <f t="array" ref="U61">IF(ISBLANK(K61),0,_xlfn.XLOOKUP(R61&amp;S61,Daily_Totals[Day]&amp;Daily_Totals[Term],Daily_Totals[Non-Instruction]))</f>
        <v>0</v>
      </c>
      <c r="AC61">
        <v>93</v>
      </c>
      <c r="AD61">
        <v>3</v>
      </c>
      <c r="AE61" s="42">
        <f>SUM(Term3_Early_Dismissal_4[Instructional Time])</f>
        <v>0</v>
      </c>
      <c r="AF61" s="42">
        <f>SUM(Term3_Early_Dismissal_4[Assigned Time (Non-Instructional)])</f>
        <v>0</v>
      </c>
      <c r="AG61">
        <f t="shared" si="11"/>
        <v>0</v>
      </c>
    </row>
    <row r="62" spans="3:33" x14ac:dyDescent="0.3">
      <c r="C62">
        <v>9</v>
      </c>
      <c r="D62" s="37">
        <v>45904</v>
      </c>
      <c r="E62">
        <v>0</v>
      </c>
      <c r="F62">
        <f t="shared" si="4"/>
        <v>0</v>
      </c>
      <c r="K62" s="37"/>
      <c r="L62"/>
      <c r="N62" t="str">
        <f t="shared" si="6"/>
        <v/>
      </c>
      <c r="O62">
        <f t="shared" si="7"/>
        <v>0</v>
      </c>
      <c r="P62">
        <f>IF(IF(ISERROR(MATCH(K62,Rotation_Reset_Dates[Date],0)),0,1)=1,1,IF(ISBLANK(K62),"",IF(OR(rotationDays=1,K62&lt;First_Instructional_Day1),0,IF(AND(rotationDays&gt;1,K62=First_Instructional_Day1),1,IF(P61+IF(OR(N61="Instructional",N61="Not Scheduled"),1,0)&gt;rotationDays,1,P61+IF(OR(N61="Instructional",N61="Not Scheduled"),1,0))))))</f>
        <v>1</v>
      </c>
      <c r="Q62" t="str">
        <f t="shared" si="12"/>
        <v/>
      </c>
      <c r="R62" t="str">
        <f>IF(ISBLANK(K62),"",IF(N62="Operational (no students)",99,IF(N62="Instructional",IF(rotationDays=1,Q62,P62),_xlfn.XLOOKUP(N62,TimeTable_Codes[Description],TimeTable_Codes[TimetableCode]))))</f>
        <v/>
      </c>
      <c r="S62" t="str">
        <f>IF(NOT(ISBLANK(K62)),VLOOKUP(K62,term_lookups[],2),"")</f>
        <v/>
      </c>
      <c r="T62" cm="1">
        <f t="array" ref="T62">IF(ISBLANK(K62),0,_xlfn.XLOOKUP(R62&amp;S62,Daily_Totals[Day]&amp;Daily_Totals[Term],Daily_Totals[Instruction]))</f>
        <v>0</v>
      </c>
      <c r="U62" cm="1">
        <f t="array" ref="U62">IF(ISBLANK(K62),0,_xlfn.XLOOKUP(R62&amp;S62,Daily_Totals[Day]&amp;Daily_Totals[Term],Daily_Totals[Non-Instruction]))</f>
        <v>0</v>
      </c>
      <c r="AC62">
        <v>94</v>
      </c>
      <c r="AD62">
        <v>3</v>
      </c>
      <c r="AE62" s="42">
        <f>SUM(Term3_Early_Dismissal_5[Instructional Time])</f>
        <v>0</v>
      </c>
      <c r="AF62" s="42">
        <f>SUM(Term3_Early_Dismissal_5[Assigned Time (Non-Instructional)])</f>
        <v>0</v>
      </c>
      <c r="AG62" s="42">
        <f t="shared" ref="AG62:AG64" si="14">+AE62+AF62</f>
        <v>0</v>
      </c>
    </row>
    <row r="63" spans="3:33" x14ac:dyDescent="0.3">
      <c r="C63">
        <v>9</v>
      </c>
      <c r="D63" s="37">
        <v>45905</v>
      </c>
      <c r="E63">
        <v>0</v>
      </c>
      <c r="F63">
        <f t="shared" si="4"/>
        <v>0</v>
      </c>
      <c r="K63" s="37"/>
      <c r="L63"/>
      <c r="N63" t="str">
        <f t="shared" si="6"/>
        <v/>
      </c>
      <c r="O63">
        <f t="shared" si="7"/>
        <v>0</v>
      </c>
      <c r="P63">
        <f>IF(IF(ISERROR(MATCH(K63,Rotation_Reset_Dates[Date],0)),0,1)=1,1,IF(ISBLANK(K63),"",IF(OR(rotationDays=1,K63&lt;First_Instructional_Day1),0,IF(AND(rotationDays&gt;1,K63=First_Instructional_Day1),1,IF(P62+IF(OR(N62="Instructional",N62="Not Scheduled"),1,0)&gt;rotationDays,1,P62+IF(OR(N62="Instructional",N62="Not Scheduled"),1,0))))))</f>
        <v>1</v>
      </c>
      <c r="Q63" t="str">
        <f t="shared" si="12"/>
        <v/>
      </c>
      <c r="R63" t="str">
        <f>IF(ISBLANK(K63),"",IF(N63="Operational (no students)",99,IF(N63="Instructional",IF(rotationDays=1,Q63,P63),_xlfn.XLOOKUP(N63,TimeTable_Codes[Description],TimeTable_Codes[TimetableCode]))))</f>
        <v/>
      </c>
      <c r="S63" t="str">
        <f>IF(NOT(ISBLANK(K63)),VLOOKUP(K63,term_lookups[],2),"")</f>
        <v/>
      </c>
      <c r="T63" cm="1">
        <f t="array" ref="T63">IF(ISBLANK(K63),0,_xlfn.XLOOKUP(R63&amp;S63,Daily_Totals[Day]&amp;Daily_Totals[Term],Daily_Totals[Instruction]))</f>
        <v>0</v>
      </c>
      <c r="U63" cm="1">
        <f t="array" ref="U63">IF(ISBLANK(K63),0,_xlfn.XLOOKUP(R63&amp;S63,Daily_Totals[Day]&amp;Daily_Totals[Term],Daily_Totals[Non-Instruction]))</f>
        <v>0</v>
      </c>
      <c r="AC63">
        <v>95</v>
      </c>
      <c r="AD63">
        <v>3</v>
      </c>
      <c r="AE63" s="42">
        <f>SUM(Term3_Early_Dismissal_6[Instructional Time])</f>
        <v>0</v>
      </c>
      <c r="AF63" s="42">
        <f>SUM(Term3_Early_Dismissal_6[Assigned Time (Non-Instructional)])</f>
        <v>0</v>
      </c>
      <c r="AG63" s="42">
        <f t="shared" si="14"/>
        <v>0</v>
      </c>
    </row>
    <row r="64" spans="3:33" x14ac:dyDescent="0.3">
      <c r="C64">
        <v>9</v>
      </c>
      <c r="D64" s="37">
        <v>45906</v>
      </c>
      <c r="E64">
        <v>0</v>
      </c>
      <c r="F64">
        <f t="shared" si="4"/>
        <v>0</v>
      </c>
      <c r="K64" s="37"/>
      <c r="L64"/>
      <c r="N64" t="str">
        <f t="shared" si="6"/>
        <v/>
      </c>
      <c r="O64">
        <f t="shared" si="7"/>
        <v>0</v>
      </c>
      <c r="P64">
        <f>IF(IF(ISERROR(MATCH(K64,Rotation_Reset_Dates[Date],0)),0,1)=1,1,IF(ISBLANK(K64),"",IF(OR(rotationDays=1,K64&lt;First_Instructional_Day1),0,IF(AND(rotationDays&gt;1,K64=First_Instructional_Day1),1,IF(P63+IF(OR(N63="Instructional",N63="Not Scheduled"),1,0)&gt;rotationDays,1,P63+IF(OR(N63="Instructional",N63="Not Scheduled"),1,0))))))</f>
        <v>1</v>
      </c>
      <c r="Q64" t="str">
        <f t="shared" si="12"/>
        <v/>
      </c>
      <c r="R64" t="str">
        <f>IF(ISBLANK(K64),"",IF(N64="Operational (no students)",99,IF(N64="Instructional",IF(rotationDays=1,Q64,P64),_xlfn.XLOOKUP(N64,TimeTable_Codes[Description],TimeTable_Codes[TimetableCode]))))</f>
        <v/>
      </c>
      <c r="S64" t="str">
        <f>IF(NOT(ISBLANK(K64)),VLOOKUP(K64,term_lookups[],2),"")</f>
        <v/>
      </c>
      <c r="T64" cm="1">
        <f t="array" ref="T64">IF(ISBLANK(K64),0,_xlfn.XLOOKUP(R64&amp;S64,Daily_Totals[Day]&amp;Daily_Totals[Term],Daily_Totals[Instruction]))</f>
        <v>0</v>
      </c>
      <c r="U64" cm="1">
        <f t="array" ref="U64">IF(ISBLANK(K64),0,_xlfn.XLOOKUP(R64&amp;S64,Daily_Totals[Day]&amp;Daily_Totals[Term],Daily_Totals[Non-Instruction]))</f>
        <v>0</v>
      </c>
      <c r="AC64">
        <v>96</v>
      </c>
      <c r="AD64">
        <v>3</v>
      </c>
      <c r="AE64" s="42">
        <f>SUM(Term3_Special_Day_1[Instructional Time])</f>
        <v>0</v>
      </c>
      <c r="AF64" s="42">
        <f>SUM(Term3_Special_Day_1[Assigned Time (Non-Instructional)])</f>
        <v>0</v>
      </c>
      <c r="AG64" s="42">
        <f t="shared" si="14"/>
        <v>0</v>
      </c>
    </row>
    <row r="65" spans="3:33" x14ac:dyDescent="0.3">
      <c r="C65">
        <v>9</v>
      </c>
      <c r="D65" s="37" cm="1">
        <f t="array" ref="D65:D71">TRANSPOSE(Calendar!B31:H31)</f>
        <v>45907</v>
      </c>
      <c r="E65" cm="1">
        <f t="array" ref="E65:E71">TRANSPOSE(Calendar!B32:H32)</f>
        <v>0</v>
      </c>
      <c r="F65">
        <f t="shared" si="4"/>
        <v>0</v>
      </c>
      <c r="K65" s="37"/>
      <c r="L65"/>
      <c r="N65" t="str">
        <f t="shared" si="6"/>
        <v/>
      </c>
      <c r="O65">
        <f t="shared" si="7"/>
        <v>0</v>
      </c>
      <c r="P65">
        <f>IF(IF(ISERROR(MATCH(K65,Rotation_Reset_Dates[Date],0)),0,1)=1,1,IF(ISBLANK(K65),"",IF(OR(rotationDays=1,K65&lt;First_Instructional_Day1),0,IF(AND(rotationDays&gt;1,K65=First_Instructional_Day1),1,IF(P64+IF(OR(N64="Instructional",N64="Not Scheduled"),1,0)&gt;rotationDays,1,P64+IF(OR(N64="Instructional",N64="Not Scheduled"),1,0))))))</f>
        <v>1</v>
      </c>
      <c r="Q65" t="str">
        <f t="shared" si="12"/>
        <v/>
      </c>
      <c r="R65" t="str">
        <f>IF(ISBLANK(K65),"",IF(N65="Operational (no students)",99,IF(N65="Instructional",IF(rotationDays=1,Q65,P65),_xlfn.XLOOKUP(N65,TimeTable_Codes[Description],TimeTable_Codes[TimetableCode]))))</f>
        <v/>
      </c>
      <c r="S65" t="str">
        <f>IF(NOT(ISBLANK(K65)),VLOOKUP(K65,term_lookups[],2),"")</f>
        <v/>
      </c>
      <c r="T65" cm="1">
        <f t="array" ref="T65">IF(ISBLANK(K65),0,_xlfn.XLOOKUP(R65&amp;S65,Daily_Totals[Day]&amp;Daily_Totals[Term],Daily_Totals[Instruction]))</f>
        <v>0</v>
      </c>
      <c r="U65" cm="1">
        <f t="array" ref="U65">IF(ISBLANK(K65),0,_xlfn.XLOOKUP(R65&amp;S65,Daily_Totals[Day]&amp;Daily_Totals[Term],Daily_Totals[Non-Instruction]))</f>
        <v>0</v>
      </c>
      <c r="AC65">
        <v>97</v>
      </c>
      <c r="AD65">
        <v>3</v>
      </c>
      <c r="AE65" s="42">
        <f>SUM(Term3_Special_Day_2[Instructional Time])</f>
        <v>0</v>
      </c>
      <c r="AF65" s="42">
        <f>SUM(Term3_Special_Day_2[Assigned Time (Non-Instructional)])</f>
        <v>0</v>
      </c>
      <c r="AG65">
        <f t="shared" si="11"/>
        <v>0</v>
      </c>
    </row>
    <row r="66" spans="3:33" x14ac:dyDescent="0.3">
      <c r="C66">
        <v>9</v>
      </c>
      <c r="D66" s="37">
        <v>45908</v>
      </c>
      <c r="E66">
        <v>0</v>
      </c>
      <c r="F66">
        <f t="shared" si="4"/>
        <v>0</v>
      </c>
      <c r="K66" s="37"/>
      <c r="L66"/>
      <c r="N66" t="str">
        <f t="shared" si="6"/>
        <v/>
      </c>
      <c r="O66">
        <f t="shared" si="7"/>
        <v>0</v>
      </c>
      <c r="P66">
        <f>IF(IF(ISERROR(MATCH(K66,Rotation_Reset_Dates[Date],0)),0,1)=1,1,IF(ISBLANK(K66),"",IF(OR(rotationDays=1,K66&lt;First_Instructional_Day1),0,IF(AND(rotationDays&gt;1,K66=First_Instructional_Day1),1,IF(P65+IF(OR(N65="Instructional",N65="Not Scheduled"),1,0)&gt;rotationDays,1,P65+IF(OR(N65="Instructional",N65="Not Scheduled"),1,0))))))</f>
        <v>1</v>
      </c>
      <c r="Q66" t="str">
        <f t="shared" si="12"/>
        <v/>
      </c>
      <c r="R66" t="str">
        <f>IF(ISBLANK(K66),"",IF(N66="Operational (no students)",99,IF(N66="Instructional",IF(rotationDays=1,Q66,P66),_xlfn.XLOOKUP(N66,TimeTable_Codes[Description],TimeTable_Codes[TimetableCode]))))</f>
        <v/>
      </c>
      <c r="S66" t="str">
        <f>IF(NOT(ISBLANK(K66)),VLOOKUP(K66,term_lookups[],2),"")</f>
        <v/>
      </c>
      <c r="T66" cm="1">
        <f t="array" ref="T66">IF(ISBLANK(K66),0,_xlfn.XLOOKUP(R66&amp;S66,Daily_Totals[Day]&amp;Daily_Totals[Term],Daily_Totals[Instruction]))</f>
        <v>0</v>
      </c>
      <c r="U66" cm="1">
        <f t="array" ref="U66">IF(ISBLANK(K66),0,_xlfn.XLOOKUP(R66&amp;S66,Daily_Totals[Day]&amp;Daily_Totals[Term],Daily_Totals[Non-Instruction]))</f>
        <v>0</v>
      </c>
      <c r="AC66">
        <v>98</v>
      </c>
      <c r="AD66">
        <v>3</v>
      </c>
      <c r="AE66" s="42">
        <f>SUM(Term3_Special_Day_3[Instructional Time])</f>
        <v>0</v>
      </c>
      <c r="AF66" s="42">
        <f>SUM(Term3_Special_Day_3[Assigned Time (Non-Instructional)])</f>
        <v>0</v>
      </c>
      <c r="AG66">
        <f t="shared" si="11"/>
        <v>0</v>
      </c>
    </row>
    <row r="67" spans="3:33" x14ac:dyDescent="0.3">
      <c r="C67">
        <v>9</v>
      </c>
      <c r="D67" s="37">
        <v>45909</v>
      </c>
      <c r="E67">
        <v>0</v>
      </c>
      <c r="F67">
        <f t="shared" si="4"/>
        <v>0</v>
      </c>
      <c r="K67" s="37"/>
      <c r="L67"/>
      <c r="N67" t="str">
        <f t="shared" si="6"/>
        <v/>
      </c>
      <c r="O67">
        <f t="shared" si="7"/>
        <v>0</v>
      </c>
      <c r="P67">
        <f>IF(IF(ISERROR(MATCH(K67,Rotation_Reset_Dates[Date],0)),0,1)=1,1,IF(ISBLANK(K67),"",IF(OR(rotationDays=1,K67&lt;First_Instructional_Day1),0,IF(AND(rotationDays&gt;1,K67=First_Instructional_Day1),1,IF(P66+IF(OR(N66="Instructional",N66="Not Scheduled"),1,0)&gt;rotationDays,1,P66+IF(OR(N66="Instructional",N66="Not Scheduled"),1,0))))))</f>
        <v>1</v>
      </c>
      <c r="Q67" t="str">
        <f t="shared" si="12"/>
        <v/>
      </c>
      <c r="R67" t="str">
        <f>IF(ISBLANK(K67),"",IF(N67="Operational (no students)",99,IF(N67="Instructional",IF(rotationDays=1,Q67,P67),_xlfn.XLOOKUP(N67,TimeTable_Codes[Description],TimeTable_Codes[TimetableCode]))))</f>
        <v/>
      </c>
      <c r="S67" t="str">
        <f>IF(NOT(ISBLANK(K67)),VLOOKUP(K67,term_lookups[],2),"")</f>
        <v/>
      </c>
      <c r="T67" cm="1">
        <f t="array" ref="T67">IF(ISBLANK(K67),0,_xlfn.XLOOKUP(R67&amp;S67,Daily_Totals[Day]&amp;Daily_Totals[Term],Daily_Totals[Instruction]))</f>
        <v>0</v>
      </c>
      <c r="U67" cm="1">
        <f t="array" ref="U67">IF(ISBLANK(K67),0,_xlfn.XLOOKUP(R67&amp;S67,Daily_Totals[Day]&amp;Daily_Totals[Term],Daily_Totals[Non-Instruction]))</f>
        <v>0</v>
      </c>
      <c r="AC67">
        <v>99</v>
      </c>
      <c r="AD67">
        <v>3</v>
      </c>
      <c r="AE67">
        <v>0</v>
      </c>
      <c r="AF67">
        <f>IF(ISBLANK(PD_Length),360,PD_Length)</f>
        <v>360</v>
      </c>
      <c r="AG67">
        <f t="shared" si="11"/>
        <v>360</v>
      </c>
    </row>
    <row r="68" spans="3:33" x14ac:dyDescent="0.3">
      <c r="C68">
        <v>9</v>
      </c>
      <c r="D68" s="37">
        <v>45910</v>
      </c>
      <c r="E68">
        <v>0</v>
      </c>
      <c r="F68">
        <f t="shared" si="4"/>
        <v>0</v>
      </c>
      <c r="K68" s="37"/>
      <c r="L68"/>
      <c r="N68" t="str">
        <f t="shared" si="6"/>
        <v/>
      </c>
      <c r="O68">
        <f t="shared" si="7"/>
        <v>0</v>
      </c>
      <c r="P68">
        <f>IF(IF(ISERROR(MATCH(K68,Rotation_Reset_Dates[Date],0)),0,1)=1,1,IF(ISBLANK(K68),"",IF(OR(rotationDays=1,K68&lt;First_Instructional_Day1),0,IF(AND(rotationDays&gt;1,K68=First_Instructional_Day1),1,IF(P67+IF(OR(N67="Instructional",N67="Not Scheduled"),1,0)&gt;rotationDays,1,P67+IF(OR(N67="Instructional",N67="Not Scheduled"),1,0))))))</f>
        <v>1</v>
      </c>
      <c r="Q68" t="str">
        <f t="shared" si="12"/>
        <v/>
      </c>
      <c r="R68" t="str">
        <f>IF(ISBLANK(K68),"",IF(N68="Operational (no students)",99,IF(N68="Instructional",IF(rotationDays=1,Q68,P68),_xlfn.XLOOKUP(N68,TimeTable_Codes[Description],TimeTable_Codes[TimetableCode]))))</f>
        <v/>
      </c>
      <c r="S68" t="str">
        <f>IF(NOT(ISBLANK(K68)),VLOOKUP(K68,term_lookups[],2),"")</f>
        <v/>
      </c>
      <c r="T68" cm="1">
        <f t="array" ref="T68">IF(ISBLANK(K68),0,_xlfn.XLOOKUP(R68&amp;S68,Daily_Totals[Day]&amp;Daily_Totals[Term],Daily_Totals[Instruction]))</f>
        <v>0</v>
      </c>
      <c r="U68" cm="1">
        <f t="array" ref="U68">IF(ISBLANK(K68),0,_xlfn.XLOOKUP(R68&amp;S68,Daily_Totals[Day]&amp;Daily_Totals[Term],Daily_Totals[Non-Instruction]))</f>
        <v>0</v>
      </c>
      <c r="AC68">
        <v>100</v>
      </c>
      <c r="AD68">
        <v>3</v>
      </c>
      <c r="AE68">
        <v>0</v>
      </c>
      <c r="AF68">
        <f>IF(ISBLANK(Planning_Length),360,Planning_Length)</f>
        <v>360</v>
      </c>
      <c r="AG68" s="42">
        <f>+AE68+AF68</f>
        <v>360</v>
      </c>
    </row>
    <row r="69" spans="3:33" x14ac:dyDescent="0.3">
      <c r="C69">
        <v>9</v>
      </c>
      <c r="D69" s="37">
        <v>45911</v>
      </c>
      <c r="E69">
        <v>0</v>
      </c>
      <c r="F69">
        <f t="shared" si="4"/>
        <v>0</v>
      </c>
      <c r="K69" s="37"/>
      <c r="L69"/>
      <c r="N69" t="str">
        <f t="shared" si="6"/>
        <v/>
      </c>
      <c r="O69">
        <f t="shared" si="7"/>
        <v>0</v>
      </c>
      <c r="P69">
        <f>IF(IF(ISERROR(MATCH(K69,Rotation_Reset_Dates[Date],0)),0,1)=1,1,IF(ISBLANK(K69),"",IF(OR(rotationDays=1,K69&lt;First_Instructional_Day1),0,IF(AND(rotationDays&gt;1,K69=First_Instructional_Day1),1,IF(P68+IF(OR(N68="Instructional",N68="Not Scheduled"),1,0)&gt;rotationDays,1,P68+IF(OR(N68="Instructional",N68="Not Scheduled"),1,0))))))</f>
        <v>1</v>
      </c>
      <c r="Q69" t="str">
        <f t="shared" si="12"/>
        <v/>
      </c>
      <c r="R69" t="str">
        <f>IF(ISBLANK(K69),"",IF(N69="Operational (no students)",99,IF(N69="Instructional",IF(rotationDays=1,Q69,P69),_xlfn.XLOOKUP(N69,TimeTable_Codes[Description],TimeTable_Codes[TimetableCode]))))</f>
        <v/>
      </c>
      <c r="S69" t="str">
        <f>IF(NOT(ISBLANK(K69)),VLOOKUP(K69,term_lookups[],2),"")</f>
        <v/>
      </c>
      <c r="T69" cm="1">
        <f t="array" ref="T69">IF(ISBLANK(K69),0,_xlfn.XLOOKUP(R69&amp;S69,Daily_Totals[Day]&amp;Daily_Totals[Term],Daily_Totals[Instruction]))</f>
        <v>0</v>
      </c>
      <c r="U69" cm="1">
        <f t="array" ref="U69">IF(ISBLANK(K69),0,_xlfn.XLOOKUP(R69&amp;S69,Daily_Totals[Day]&amp;Daily_Totals[Term],Daily_Totals[Non-Instruction]))</f>
        <v>0</v>
      </c>
      <c r="AC69">
        <v>101</v>
      </c>
      <c r="AD69">
        <v>3</v>
      </c>
      <c r="AE69">
        <v>0</v>
      </c>
      <c r="AF69">
        <v>0</v>
      </c>
      <c r="AG69" s="42">
        <f>+AE69+AF69</f>
        <v>0</v>
      </c>
    </row>
    <row r="70" spans="3:33" x14ac:dyDescent="0.3">
      <c r="C70">
        <v>9</v>
      </c>
      <c r="D70" s="37">
        <v>45912</v>
      </c>
      <c r="E70">
        <v>0</v>
      </c>
      <c r="F70">
        <f t="shared" si="4"/>
        <v>0</v>
      </c>
      <c r="K70" s="37"/>
      <c r="L70"/>
      <c r="N70" t="str">
        <f t="shared" si="6"/>
        <v/>
      </c>
      <c r="O70">
        <f t="shared" si="7"/>
        <v>0</v>
      </c>
      <c r="P70">
        <f>IF(IF(ISERROR(MATCH(K70,Rotation_Reset_Dates[Date],0)),0,1)=1,1,IF(ISBLANK(K70),"",IF(OR(rotationDays=1,K70&lt;First_Instructional_Day1),0,IF(AND(rotationDays&gt;1,K70=First_Instructional_Day1),1,IF(P69+IF(OR(N69="Instructional",N69="Not Scheduled"),1,0)&gt;rotationDays,1,P69+IF(OR(N69="Instructional",N69="Not Scheduled"),1,0))))))</f>
        <v>1</v>
      </c>
      <c r="Q70" t="str">
        <f t="shared" si="12"/>
        <v/>
      </c>
      <c r="R70" t="str">
        <f>IF(ISBLANK(K70),"",IF(N70="Operational (no students)",99,IF(N70="Instructional",IF(rotationDays=1,Q70,P70),_xlfn.XLOOKUP(N70,TimeTable_Codes[Description],TimeTable_Codes[TimetableCode]))))</f>
        <v/>
      </c>
      <c r="S70" t="str">
        <f>IF(NOT(ISBLANK(K70)),VLOOKUP(K70,term_lookups[],2),"")</f>
        <v/>
      </c>
      <c r="T70" cm="1">
        <f t="array" ref="T70">IF(ISBLANK(K70),0,_xlfn.XLOOKUP(R70&amp;S70,Daily_Totals[Day]&amp;Daily_Totals[Term],Daily_Totals[Instruction]))</f>
        <v>0</v>
      </c>
      <c r="U70" cm="1">
        <f t="array" ref="U70">IF(ISBLANK(K70),0,_xlfn.XLOOKUP(R70&amp;S70,Daily_Totals[Day]&amp;Daily_Totals[Term],Daily_Totals[Non-Instruction]))</f>
        <v>0</v>
      </c>
      <c r="AC70">
        <v>1</v>
      </c>
      <c r="AD70">
        <v>4</v>
      </c>
      <c r="AE70" s="42">
        <f>SUM(Term4_Day_1[Instructional Time])</f>
        <v>0</v>
      </c>
      <c r="AF70" s="42">
        <f>SUM(Term4_Day_1[Assigned Time (Non-Instructional)])</f>
        <v>0</v>
      </c>
      <c r="AG70" s="42">
        <f t="shared" ref="AG70:AG79" si="15">+AE70+AF70</f>
        <v>0</v>
      </c>
    </row>
    <row r="71" spans="3:33" x14ac:dyDescent="0.3">
      <c r="C71">
        <v>9</v>
      </c>
      <c r="D71" s="37">
        <v>45913</v>
      </c>
      <c r="E71">
        <v>0</v>
      </c>
      <c r="F71">
        <f t="shared" si="4"/>
        <v>0</v>
      </c>
      <c r="K71" s="37"/>
      <c r="L71"/>
      <c r="N71" t="str">
        <f t="shared" si="6"/>
        <v/>
      </c>
      <c r="O71">
        <f t="shared" si="7"/>
        <v>0</v>
      </c>
      <c r="P71">
        <f>IF(IF(ISERROR(MATCH(K71,Rotation_Reset_Dates[Date],0)),0,1)=1,1,IF(ISBLANK(K71),"",IF(OR(rotationDays=1,K71&lt;First_Instructional_Day1),0,IF(AND(rotationDays&gt;1,K71=First_Instructional_Day1),1,IF(P70+IF(OR(N70="Instructional",N70="Not Scheduled"),1,0)&gt;rotationDays,1,P70+IF(OR(N70="Instructional",N70="Not Scheduled"),1,0))))))</f>
        <v>1</v>
      </c>
      <c r="Q71" t="str">
        <f t="shared" si="12"/>
        <v/>
      </c>
      <c r="R71" t="str">
        <f>IF(ISBLANK(K71),"",IF(N71="Operational (no students)",99,IF(N71="Instructional",IF(rotationDays=1,Q71,P71),_xlfn.XLOOKUP(N71,TimeTable_Codes[Description],TimeTable_Codes[TimetableCode]))))</f>
        <v/>
      </c>
      <c r="S71" t="str">
        <f>IF(NOT(ISBLANK(K71)),VLOOKUP(K71,term_lookups[],2),"")</f>
        <v/>
      </c>
      <c r="T71" cm="1">
        <f t="array" ref="T71">IF(ISBLANK(K71),0,_xlfn.XLOOKUP(R71&amp;S71,Daily_Totals[Day]&amp;Daily_Totals[Term],Daily_Totals[Instruction]))</f>
        <v>0</v>
      </c>
      <c r="U71" cm="1">
        <f t="array" ref="U71">IF(ISBLANK(K71),0,_xlfn.XLOOKUP(R71&amp;S71,Daily_Totals[Day]&amp;Daily_Totals[Term],Daily_Totals[Non-Instruction]))</f>
        <v>0</v>
      </c>
      <c r="AC71">
        <v>2</v>
      </c>
      <c r="AD71">
        <v>4</v>
      </c>
      <c r="AE71" s="42">
        <f>SUM(Term4_Day_2[Instructional Time])</f>
        <v>0</v>
      </c>
      <c r="AF71" s="42">
        <f>SUM(Term4_Day_2[Assigned Time (Non-Instructional)])</f>
        <v>0</v>
      </c>
      <c r="AG71" s="42">
        <f t="shared" si="15"/>
        <v>0</v>
      </c>
    </row>
    <row r="72" spans="3:33" x14ac:dyDescent="0.3">
      <c r="C72">
        <v>9</v>
      </c>
      <c r="D72" s="37" cm="1">
        <f t="array" ref="D72:D78">TRANSPOSE(Calendar!B33:H33)</f>
        <v>45914</v>
      </c>
      <c r="E72" cm="1">
        <f t="array" ref="E72:E78">TRANSPOSE(Calendar!B34:H34)</f>
        <v>0</v>
      </c>
      <c r="F72">
        <f t="shared" si="4"/>
        <v>0</v>
      </c>
      <c r="K72" s="37"/>
      <c r="L72"/>
      <c r="N72" t="str">
        <f t="shared" si="6"/>
        <v/>
      </c>
      <c r="O72">
        <f t="shared" si="7"/>
        <v>0</v>
      </c>
      <c r="P72">
        <f>IF(IF(ISERROR(MATCH(K72,Rotation_Reset_Dates[Date],0)),0,1)=1,1,IF(ISBLANK(K72),"",IF(OR(rotationDays=1,K72&lt;First_Instructional_Day1),0,IF(AND(rotationDays&gt;1,K72=First_Instructional_Day1),1,IF(P71+IF(OR(N71="Instructional",N71="Not Scheduled"),1,0)&gt;rotationDays,1,P71+IF(OR(N71="Instructional",N71="Not Scheduled"),1,0))))))</f>
        <v>1</v>
      </c>
      <c r="Q72" t="str">
        <f t="shared" si="12"/>
        <v/>
      </c>
      <c r="R72" t="str">
        <f>IF(ISBLANK(K72),"",IF(N72="Operational (no students)",99,IF(N72="Instructional",IF(rotationDays=1,Q72,P72),_xlfn.XLOOKUP(N72,TimeTable_Codes[Description],TimeTable_Codes[TimetableCode]))))</f>
        <v/>
      </c>
      <c r="S72" t="str">
        <f>IF(NOT(ISBLANK(K72)),VLOOKUP(K72,term_lookups[],2),"")</f>
        <v/>
      </c>
      <c r="T72" cm="1">
        <f t="array" ref="T72">IF(ISBLANK(K72),0,_xlfn.XLOOKUP(R72&amp;S72,Daily_Totals[Day]&amp;Daily_Totals[Term],Daily_Totals[Instruction]))</f>
        <v>0</v>
      </c>
      <c r="U72" cm="1">
        <f t="array" ref="U72">IF(ISBLANK(K72),0,_xlfn.XLOOKUP(R72&amp;S72,Daily_Totals[Day]&amp;Daily_Totals[Term],Daily_Totals[Non-Instruction]))</f>
        <v>0</v>
      </c>
      <c r="AC72">
        <v>3</v>
      </c>
      <c r="AD72">
        <v>4</v>
      </c>
      <c r="AE72" s="42">
        <f>SUM(Term4_Day_3[Instructional Time])</f>
        <v>0</v>
      </c>
      <c r="AF72" s="42">
        <f>SUM(Term4_Day_3[Assigned Time (Non-Instructional)])</f>
        <v>0</v>
      </c>
      <c r="AG72" s="42">
        <f t="shared" si="15"/>
        <v>0</v>
      </c>
    </row>
    <row r="73" spans="3:33" x14ac:dyDescent="0.3">
      <c r="C73">
        <v>9</v>
      </c>
      <c r="D73" s="37">
        <v>45915</v>
      </c>
      <c r="E73">
        <v>0</v>
      </c>
      <c r="F73">
        <f t="shared" si="4"/>
        <v>0</v>
      </c>
      <c r="K73" s="37"/>
      <c r="L73"/>
      <c r="N73" t="str">
        <f t="shared" si="6"/>
        <v/>
      </c>
      <c r="O73">
        <f t="shared" si="7"/>
        <v>0</v>
      </c>
      <c r="P73">
        <f>IF(IF(ISERROR(MATCH(K73,Rotation_Reset_Dates[Date],0)),0,1)=1,1,IF(ISBLANK(K73),"",IF(OR(rotationDays=1,K73&lt;First_Instructional_Day1),0,IF(AND(rotationDays&gt;1,K73=First_Instructional_Day1),1,IF(P72+IF(OR(N72="Instructional",N72="Not Scheduled"),1,0)&gt;rotationDays,1,P72+IF(OR(N72="Instructional",N72="Not Scheduled"),1,0))))))</f>
        <v>1</v>
      </c>
      <c r="Q73" t="str">
        <f t="shared" si="12"/>
        <v/>
      </c>
      <c r="R73" t="str">
        <f>IF(ISBLANK(K73),"",IF(N73="Operational (no students)",99,IF(N73="Instructional",IF(rotationDays=1,Q73,P73),_xlfn.XLOOKUP(N73,TimeTable_Codes[Description],TimeTable_Codes[TimetableCode]))))</f>
        <v/>
      </c>
      <c r="S73" t="str">
        <f>IF(NOT(ISBLANK(K73)),VLOOKUP(K73,term_lookups[],2),"")</f>
        <v/>
      </c>
      <c r="T73" cm="1">
        <f t="array" ref="T73">IF(ISBLANK(K73),0,_xlfn.XLOOKUP(R73&amp;S73,Daily_Totals[Day]&amp;Daily_Totals[Term],Daily_Totals[Instruction]))</f>
        <v>0</v>
      </c>
      <c r="U73" cm="1">
        <f t="array" ref="U73">IF(ISBLANK(K73),0,_xlfn.XLOOKUP(R73&amp;S73,Daily_Totals[Day]&amp;Daily_Totals[Term],Daily_Totals[Non-Instruction]))</f>
        <v>0</v>
      </c>
      <c r="AC73">
        <v>4</v>
      </c>
      <c r="AD73">
        <v>4</v>
      </c>
      <c r="AE73" s="42">
        <f>SUM(Term4_Day_4[Instructional Time])</f>
        <v>0</v>
      </c>
      <c r="AF73" s="42">
        <f>SUM(Term4_Day_4[Assigned Time (Non-Instructional)])</f>
        <v>0</v>
      </c>
      <c r="AG73" s="42">
        <f t="shared" si="15"/>
        <v>0</v>
      </c>
    </row>
    <row r="74" spans="3:33" x14ac:dyDescent="0.3">
      <c r="C74">
        <v>9</v>
      </c>
      <c r="D74" s="37">
        <v>45916</v>
      </c>
      <c r="E74">
        <v>0</v>
      </c>
      <c r="F74">
        <f t="shared" si="4"/>
        <v>0</v>
      </c>
      <c r="K74" s="37"/>
      <c r="L74"/>
      <c r="N74" t="str">
        <f t="shared" si="6"/>
        <v/>
      </c>
      <c r="O74">
        <f t="shared" si="7"/>
        <v>0</v>
      </c>
      <c r="P74">
        <f>IF(IF(ISERROR(MATCH(K74,Rotation_Reset_Dates[Date],0)),0,1)=1,1,IF(ISBLANK(K74),"",IF(OR(rotationDays=1,K74&lt;First_Instructional_Day1),0,IF(AND(rotationDays&gt;1,K74=First_Instructional_Day1),1,IF(P73+IF(OR(N73="Instructional",N73="Not Scheduled"),1,0)&gt;rotationDays,1,P73+IF(OR(N73="Instructional",N73="Not Scheduled"),1,0))))))</f>
        <v>1</v>
      </c>
      <c r="Q74" t="str">
        <f t="shared" si="12"/>
        <v/>
      </c>
      <c r="R74" t="str">
        <f>IF(ISBLANK(K74),"",IF(N74="Operational (no students)",99,IF(N74="Instructional",IF(rotationDays=1,Q74,P74),_xlfn.XLOOKUP(N74,TimeTable_Codes[Description],TimeTable_Codes[TimetableCode]))))</f>
        <v/>
      </c>
      <c r="S74" t="str">
        <f>IF(NOT(ISBLANK(K74)),VLOOKUP(K74,term_lookups[],2),"")</f>
        <v/>
      </c>
      <c r="T74" cm="1">
        <f t="array" ref="T74">IF(ISBLANK(K74),0,_xlfn.XLOOKUP(R74&amp;S74,Daily_Totals[Day]&amp;Daily_Totals[Term],Daily_Totals[Instruction]))</f>
        <v>0</v>
      </c>
      <c r="U74" cm="1">
        <f t="array" ref="U74">IF(ISBLANK(K74),0,_xlfn.XLOOKUP(R74&amp;S74,Daily_Totals[Day]&amp;Daily_Totals[Term],Daily_Totals[Non-Instruction]))</f>
        <v>0</v>
      </c>
      <c r="AC74">
        <v>5</v>
      </c>
      <c r="AD74">
        <v>4</v>
      </c>
      <c r="AE74" s="42">
        <f>SUM(Term4_Day_5[Instructional Time])</f>
        <v>0</v>
      </c>
      <c r="AF74" s="42">
        <f>SUM(Term4_Day_5[Assigned Time (Non-Instructional)])</f>
        <v>0</v>
      </c>
      <c r="AG74" s="42">
        <f t="shared" si="15"/>
        <v>0</v>
      </c>
    </row>
    <row r="75" spans="3:33" x14ac:dyDescent="0.3">
      <c r="C75">
        <v>9</v>
      </c>
      <c r="D75" s="37">
        <v>45917</v>
      </c>
      <c r="E75">
        <v>0</v>
      </c>
      <c r="F75">
        <f t="shared" si="4"/>
        <v>0</v>
      </c>
      <c r="K75" s="37"/>
      <c r="L75"/>
      <c r="N75" t="str">
        <f t="shared" si="6"/>
        <v/>
      </c>
      <c r="O75">
        <f t="shared" si="7"/>
        <v>0</v>
      </c>
      <c r="P75">
        <f>IF(IF(ISERROR(MATCH(K75,Rotation_Reset_Dates[Date],0)),0,1)=1,1,IF(ISBLANK(K75),"",IF(OR(rotationDays=1,K75&lt;First_Instructional_Day1),0,IF(AND(rotationDays&gt;1,K75=First_Instructional_Day1),1,IF(P74+IF(OR(N74="Instructional",N74="Not Scheduled"),1,0)&gt;rotationDays,1,P74+IF(OR(N74="Instructional",N74="Not Scheduled"),1,0))))))</f>
        <v>1</v>
      </c>
      <c r="Q75" t="str">
        <f t="shared" si="12"/>
        <v/>
      </c>
      <c r="R75" t="str">
        <f>IF(ISBLANK(K75),"",IF(N75="Operational (no students)",99,IF(N75="Instructional",IF(rotationDays=1,Q75,P75),_xlfn.XLOOKUP(N75,TimeTable_Codes[Description],TimeTable_Codes[TimetableCode]))))</f>
        <v/>
      </c>
      <c r="S75" t="str">
        <f>IF(NOT(ISBLANK(K75)),VLOOKUP(K75,term_lookups[],2),"")</f>
        <v/>
      </c>
      <c r="T75" cm="1">
        <f t="array" ref="T75">IF(ISBLANK(K75),0,_xlfn.XLOOKUP(R75&amp;S75,Daily_Totals[Day]&amp;Daily_Totals[Term],Daily_Totals[Instruction]))</f>
        <v>0</v>
      </c>
      <c r="U75" cm="1">
        <f t="array" ref="U75">IF(ISBLANK(K75),0,_xlfn.XLOOKUP(R75&amp;S75,Daily_Totals[Day]&amp;Daily_Totals[Term],Daily_Totals[Non-Instruction]))</f>
        <v>0</v>
      </c>
      <c r="AC75">
        <v>6</v>
      </c>
      <c r="AD75">
        <v>4</v>
      </c>
      <c r="AE75" s="42">
        <f>SUM(Term4_Day_6[Instructional Time])</f>
        <v>0</v>
      </c>
      <c r="AF75" s="42">
        <f>SUM(Term4_Day_6[Assigned Time (Non-Instructional)])</f>
        <v>0</v>
      </c>
      <c r="AG75" s="42">
        <f t="shared" si="15"/>
        <v>0</v>
      </c>
    </row>
    <row r="76" spans="3:33" x14ac:dyDescent="0.3">
      <c r="C76">
        <v>9</v>
      </c>
      <c r="D76" s="37">
        <v>45918</v>
      </c>
      <c r="E76">
        <v>0</v>
      </c>
      <c r="F76">
        <f t="shared" si="4"/>
        <v>0</v>
      </c>
      <c r="K76" s="37"/>
      <c r="L76"/>
      <c r="N76" t="str">
        <f t="shared" si="6"/>
        <v/>
      </c>
      <c r="O76">
        <f t="shared" si="7"/>
        <v>0</v>
      </c>
      <c r="P76">
        <f>IF(IF(ISERROR(MATCH(K76,Rotation_Reset_Dates[Date],0)),0,1)=1,1,IF(ISBLANK(K76),"",IF(OR(rotationDays=1,K76&lt;First_Instructional_Day1),0,IF(AND(rotationDays&gt;1,K76=First_Instructional_Day1),1,IF(P75+IF(OR(N75="Instructional",N75="Not Scheduled"),1,0)&gt;rotationDays,1,P75+IF(OR(N75="Instructional",N75="Not Scheduled"),1,0))))))</f>
        <v>1</v>
      </c>
      <c r="Q76" t="str">
        <f t="shared" si="12"/>
        <v/>
      </c>
      <c r="R76" t="str">
        <f>IF(ISBLANK(K76),"",IF(N76="Operational (no students)",99,IF(N76="Instructional",IF(rotationDays=1,Q76,P76),_xlfn.XLOOKUP(N76,TimeTable_Codes[Description],TimeTable_Codes[TimetableCode]))))</f>
        <v/>
      </c>
      <c r="S76" t="str">
        <f>IF(NOT(ISBLANK(K76)),VLOOKUP(K76,term_lookups[],2),"")</f>
        <v/>
      </c>
      <c r="T76" cm="1">
        <f t="array" ref="T76">IF(ISBLANK(K76),0,_xlfn.XLOOKUP(R76&amp;S76,Daily_Totals[Day]&amp;Daily_Totals[Term],Daily_Totals[Instruction]))</f>
        <v>0</v>
      </c>
      <c r="U76" cm="1">
        <f t="array" ref="U76">IF(ISBLANK(K76),0,_xlfn.XLOOKUP(R76&amp;S76,Daily_Totals[Day]&amp;Daily_Totals[Term],Daily_Totals[Non-Instruction]))</f>
        <v>0</v>
      </c>
      <c r="AC76">
        <v>7</v>
      </c>
      <c r="AD76">
        <v>4</v>
      </c>
      <c r="AE76" s="42">
        <f>SUM(Term4_Day_7[Instructional Time])</f>
        <v>0</v>
      </c>
      <c r="AF76" s="42">
        <f>SUM(Term4_Day_7[Assigned Time (Non-Instructional)])</f>
        <v>0</v>
      </c>
      <c r="AG76" s="42">
        <f t="shared" ref="AG76:AG78" si="16">+AE76+AF76</f>
        <v>0</v>
      </c>
    </row>
    <row r="77" spans="3:33" x14ac:dyDescent="0.3">
      <c r="C77">
        <v>9</v>
      </c>
      <c r="D77" s="37">
        <v>45919</v>
      </c>
      <c r="E77">
        <v>0</v>
      </c>
      <c r="F77">
        <f t="shared" si="4"/>
        <v>0</v>
      </c>
      <c r="K77" s="37"/>
      <c r="L77"/>
      <c r="N77" t="str">
        <f t="shared" si="6"/>
        <v/>
      </c>
      <c r="O77">
        <f t="shared" si="7"/>
        <v>0</v>
      </c>
      <c r="P77">
        <f>IF(IF(ISERROR(MATCH(K77,Rotation_Reset_Dates[Date],0)),0,1)=1,1,IF(ISBLANK(K77),"",IF(OR(rotationDays=1,K77&lt;First_Instructional_Day1),0,IF(AND(rotationDays&gt;1,K77=First_Instructional_Day1),1,IF(P76+IF(OR(N76="Instructional",N76="Not Scheduled"),1,0)&gt;rotationDays,1,P76+IF(OR(N76="Instructional",N76="Not Scheduled"),1,0))))))</f>
        <v>1</v>
      </c>
      <c r="Q77" t="str">
        <f t="shared" si="12"/>
        <v/>
      </c>
      <c r="R77" t="str">
        <f>IF(ISBLANK(K77),"",IF(N77="Operational (no students)",99,IF(N77="Instructional",IF(rotationDays=1,Q77,P77),_xlfn.XLOOKUP(N77,TimeTable_Codes[Description],TimeTable_Codes[TimetableCode]))))</f>
        <v/>
      </c>
      <c r="S77" t="str">
        <f>IF(NOT(ISBLANK(K77)),VLOOKUP(K77,term_lookups[],2),"")</f>
        <v/>
      </c>
      <c r="T77" cm="1">
        <f t="array" ref="T77">IF(ISBLANK(K77),0,_xlfn.XLOOKUP(R77&amp;S77,Daily_Totals[Day]&amp;Daily_Totals[Term],Daily_Totals[Instruction]))</f>
        <v>0</v>
      </c>
      <c r="U77" cm="1">
        <f t="array" ref="U77">IF(ISBLANK(K77),0,_xlfn.XLOOKUP(R77&amp;S77,Daily_Totals[Day]&amp;Daily_Totals[Term],Daily_Totals[Non-Instruction]))</f>
        <v>0</v>
      </c>
      <c r="AC77">
        <v>8</v>
      </c>
      <c r="AD77">
        <v>4</v>
      </c>
      <c r="AE77" s="42">
        <f>SUM(Term4_Day_8[Instructional Time])</f>
        <v>0</v>
      </c>
      <c r="AF77" s="42">
        <f>SUM(Term4_Day_8[Assigned Time (Non-Instructional)])</f>
        <v>0</v>
      </c>
      <c r="AG77" s="42">
        <f t="shared" si="16"/>
        <v>0</v>
      </c>
    </row>
    <row r="78" spans="3:33" x14ac:dyDescent="0.3">
      <c r="C78">
        <v>9</v>
      </c>
      <c r="D78" s="37">
        <v>45920</v>
      </c>
      <c r="E78">
        <v>0</v>
      </c>
      <c r="F78">
        <f t="shared" si="4"/>
        <v>0</v>
      </c>
      <c r="K78" s="37"/>
      <c r="L78"/>
      <c r="N78" t="str">
        <f t="shared" si="6"/>
        <v/>
      </c>
      <c r="O78">
        <f t="shared" si="7"/>
        <v>0</v>
      </c>
      <c r="P78">
        <f>IF(IF(ISERROR(MATCH(K78,Rotation_Reset_Dates[Date],0)),0,1)=1,1,IF(ISBLANK(K78),"",IF(OR(rotationDays=1,K78&lt;First_Instructional_Day1),0,IF(AND(rotationDays&gt;1,K78=First_Instructional_Day1),1,IF(P77+IF(OR(N77="Instructional",N77="Not Scheduled"),1,0)&gt;rotationDays,1,P77+IF(OR(N77="Instructional",N77="Not Scheduled"),1,0))))))</f>
        <v>1</v>
      </c>
      <c r="Q78" t="str">
        <f t="shared" si="12"/>
        <v/>
      </c>
      <c r="R78" t="str">
        <f>IF(ISBLANK(K78),"",IF(N78="Operational (no students)",99,IF(N78="Instructional",IF(rotationDays=1,Q78,P78),_xlfn.XLOOKUP(N78,TimeTable_Codes[Description],TimeTable_Codes[TimetableCode]))))</f>
        <v/>
      </c>
      <c r="S78" t="str">
        <f>IF(NOT(ISBLANK(K78)),VLOOKUP(K78,term_lookups[],2),"")</f>
        <v/>
      </c>
      <c r="T78" cm="1">
        <f t="array" ref="T78">IF(ISBLANK(K78),0,_xlfn.XLOOKUP(R78&amp;S78,Daily_Totals[Day]&amp;Daily_Totals[Term],Daily_Totals[Instruction]))</f>
        <v>0</v>
      </c>
      <c r="U78" cm="1">
        <f t="array" ref="U78">IF(ISBLANK(K78),0,_xlfn.XLOOKUP(R78&amp;S78,Daily_Totals[Day]&amp;Daily_Totals[Term],Daily_Totals[Non-Instruction]))</f>
        <v>0</v>
      </c>
      <c r="AC78">
        <v>9</v>
      </c>
      <c r="AD78">
        <v>4</v>
      </c>
      <c r="AE78" s="42">
        <f>SUM(Term4_Day_9[Instructional Time])</f>
        <v>0</v>
      </c>
      <c r="AF78" s="42">
        <f>SUM(Term4_Day_9[Assigned Time (Non-Instructional)])</f>
        <v>0</v>
      </c>
      <c r="AG78" s="42">
        <f t="shared" si="16"/>
        <v>0</v>
      </c>
    </row>
    <row r="79" spans="3:33" x14ac:dyDescent="0.3">
      <c r="C79">
        <v>9</v>
      </c>
      <c r="D79" s="37" cm="1">
        <f t="array" ref="D79:D85">TRANSPOSE(Calendar!B35:H35)</f>
        <v>45921</v>
      </c>
      <c r="E79" cm="1">
        <f t="array" ref="E79:E85">TRANSPOSE(Calendar!B36:H36)</f>
        <v>0</v>
      </c>
      <c r="F79">
        <f t="shared" si="4"/>
        <v>0</v>
      </c>
      <c r="K79" s="37"/>
      <c r="L79"/>
      <c r="N79" t="str">
        <f t="shared" si="6"/>
        <v/>
      </c>
      <c r="O79">
        <f t="shared" si="7"/>
        <v>0</v>
      </c>
      <c r="P79">
        <f>IF(IF(ISERROR(MATCH(K79,Rotation_Reset_Dates[Date],0)),0,1)=1,1,IF(ISBLANK(K79),"",IF(OR(rotationDays=1,K79&lt;First_Instructional_Day1),0,IF(AND(rotationDays&gt;1,K79=First_Instructional_Day1),1,IF(P78+IF(OR(N78="Instructional",N78="Not Scheduled"),1,0)&gt;rotationDays,1,P78+IF(OR(N78="Instructional",N78="Not Scheduled"),1,0))))))</f>
        <v>1</v>
      </c>
      <c r="Q79" t="str">
        <f t="shared" si="12"/>
        <v/>
      </c>
      <c r="R79" t="str">
        <f>IF(ISBLANK(K79),"",IF(N79="Operational (no students)",99,IF(N79="Instructional",IF(rotationDays=1,Q79,P79),_xlfn.XLOOKUP(N79,TimeTable_Codes[Description],TimeTable_Codes[TimetableCode]))))</f>
        <v/>
      </c>
      <c r="S79" t="str">
        <f>IF(NOT(ISBLANK(K79)),VLOOKUP(K79,term_lookups[],2),"")</f>
        <v/>
      </c>
      <c r="T79" cm="1">
        <f t="array" ref="T79">IF(ISBLANK(K79),0,_xlfn.XLOOKUP(R79&amp;S79,Daily_Totals[Day]&amp;Daily_Totals[Term],Daily_Totals[Instruction]))</f>
        <v>0</v>
      </c>
      <c r="U79" cm="1">
        <f t="array" ref="U79">IF(ISBLANK(K79),0,_xlfn.XLOOKUP(R79&amp;S79,Daily_Totals[Day]&amp;Daily_Totals[Term],Daily_Totals[Non-Instruction]))</f>
        <v>0</v>
      </c>
      <c r="AC79">
        <v>10</v>
      </c>
      <c r="AD79">
        <v>4</v>
      </c>
      <c r="AE79" s="42">
        <f>SUM(Term4_Day_10[Instructional Time])</f>
        <v>0</v>
      </c>
      <c r="AF79" s="42">
        <f>SUM(Term4_Day_10[Assigned Time (Non-Instructional)])</f>
        <v>0</v>
      </c>
      <c r="AG79" s="42">
        <f t="shared" si="15"/>
        <v>0</v>
      </c>
    </row>
    <row r="80" spans="3:33" x14ac:dyDescent="0.3">
      <c r="C80">
        <v>9</v>
      </c>
      <c r="D80" s="37">
        <v>45922</v>
      </c>
      <c r="E80">
        <v>0</v>
      </c>
      <c r="F80">
        <f t="shared" si="4"/>
        <v>0</v>
      </c>
      <c r="K80" s="37"/>
      <c r="L80"/>
      <c r="N80" t="str">
        <f t="shared" si="6"/>
        <v/>
      </c>
      <c r="O80">
        <f t="shared" si="7"/>
        <v>0</v>
      </c>
      <c r="P80">
        <f>IF(IF(ISERROR(MATCH(K80,Rotation_Reset_Dates[Date],0)),0,1)=1,1,IF(ISBLANK(K80),"",IF(OR(rotationDays=1,K80&lt;First_Instructional_Day1),0,IF(AND(rotationDays&gt;1,K80=First_Instructional_Day1),1,IF(P79+IF(OR(N79="Instructional",N79="Not Scheduled"),1,0)&gt;rotationDays,1,P79+IF(OR(N79="Instructional",N79="Not Scheduled"),1,0))))))</f>
        <v>1</v>
      </c>
      <c r="Q80" t="str">
        <f t="shared" si="12"/>
        <v/>
      </c>
      <c r="R80" t="str">
        <f>IF(ISBLANK(K80),"",IF(N80="Operational (no students)",99,IF(N80="Instructional",IF(rotationDays=1,Q80,P80),_xlfn.XLOOKUP(N80,TimeTable_Codes[Description],TimeTable_Codes[TimetableCode]))))</f>
        <v/>
      </c>
      <c r="S80" t="str">
        <f>IF(NOT(ISBLANK(K80)),VLOOKUP(K80,term_lookups[],2),"")</f>
        <v/>
      </c>
      <c r="T80" cm="1">
        <f t="array" ref="T80">IF(ISBLANK(K80),0,_xlfn.XLOOKUP(R80&amp;S80,Daily_Totals[Day]&amp;Daily_Totals[Term],Daily_Totals[Instruction]))</f>
        <v>0</v>
      </c>
      <c r="U80" cm="1">
        <f t="array" ref="U80">IF(ISBLANK(K80),0,_xlfn.XLOOKUP(R80&amp;S80,Daily_Totals[Day]&amp;Daily_Totals[Term],Daily_Totals[Non-Instruction]))</f>
        <v>0</v>
      </c>
      <c r="AC80">
        <v>90</v>
      </c>
      <c r="AD80">
        <v>4</v>
      </c>
      <c r="AE80" s="42">
        <f>SUM(Term4_Early_Dismissal_1[Instructional Time])</f>
        <v>0</v>
      </c>
      <c r="AF80" s="42">
        <f>SUM(Term4_Early_Dismissal_1[Assigned Time (Non-Instructional)])</f>
        <v>0</v>
      </c>
      <c r="AG80">
        <f t="shared" si="0"/>
        <v>0</v>
      </c>
    </row>
    <row r="81" spans="3:33" x14ac:dyDescent="0.3">
      <c r="C81">
        <v>9</v>
      </c>
      <c r="D81" s="37">
        <v>45923</v>
      </c>
      <c r="E81">
        <v>0</v>
      </c>
      <c r="F81">
        <f t="shared" si="4"/>
        <v>0</v>
      </c>
      <c r="K81" s="37"/>
      <c r="L81"/>
      <c r="N81" t="str">
        <f t="shared" si="6"/>
        <v/>
      </c>
      <c r="O81">
        <f t="shared" si="7"/>
        <v>0</v>
      </c>
      <c r="P81">
        <f>IF(IF(ISERROR(MATCH(K81,Rotation_Reset_Dates[Date],0)),0,1)=1,1,IF(ISBLANK(K81),"",IF(OR(rotationDays=1,K81&lt;First_Instructional_Day1),0,IF(AND(rotationDays&gt;1,K81=First_Instructional_Day1),1,IF(P80+IF(OR(N80="Instructional",N80="Not Scheduled"),1,0)&gt;rotationDays,1,P80+IF(OR(N80="Instructional",N80="Not Scheduled"),1,0))))))</f>
        <v>1</v>
      </c>
      <c r="Q81" t="str">
        <f t="shared" si="12"/>
        <v/>
      </c>
      <c r="R81" t="str">
        <f>IF(ISBLANK(K81),"",IF(N81="Operational (no students)",99,IF(N81="Instructional",IF(rotationDays=1,Q81,P81),_xlfn.XLOOKUP(N81,TimeTable_Codes[Description],TimeTable_Codes[TimetableCode]))))</f>
        <v/>
      </c>
      <c r="S81" t="str">
        <f>IF(NOT(ISBLANK(K81)),VLOOKUP(K81,term_lookups[],2),"")</f>
        <v/>
      </c>
      <c r="T81" cm="1">
        <f t="array" ref="T81">IF(ISBLANK(K81),0,_xlfn.XLOOKUP(R81&amp;S81,Daily_Totals[Day]&amp;Daily_Totals[Term],Daily_Totals[Instruction]))</f>
        <v>0</v>
      </c>
      <c r="U81" cm="1">
        <f t="array" ref="U81">IF(ISBLANK(K81),0,_xlfn.XLOOKUP(R81&amp;S81,Daily_Totals[Day]&amp;Daily_Totals[Term],Daily_Totals[Non-Instruction]))</f>
        <v>0</v>
      </c>
      <c r="AC81">
        <v>91</v>
      </c>
      <c r="AD81">
        <v>4</v>
      </c>
      <c r="AE81" s="42">
        <f>SUM(Term4_Early_Dismissal_2[Instructional Time])</f>
        <v>0</v>
      </c>
      <c r="AF81" s="42">
        <f>SUM(Term4_Early_Dismissal_2[Assigned Time (Non-Instructional)])</f>
        <v>0</v>
      </c>
      <c r="AG81">
        <f t="shared" si="0"/>
        <v>0</v>
      </c>
    </row>
    <row r="82" spans="3:33" x14ac:dyDescent="0.3">
      <c r="C82">
        <v>9</v>
      </c>
      <c r="D82" s="37">
        <v>45924</v>
      </c>
      <c r="E82">
        <v>0</v>
      </c>
      <c r="F82">
        <f t="shared" si="4"/>
        <v>0</v>
      </c>
      <c r="K82" s="37"/>
      <c r="L82"/>
      <c r="N82" t="str">
        <f t="shared" si="6"/>
        <v/>
      </c>
      <c r="O82">
        <f t="shared" si="7"/>
        <v>0</v>
      </c>
      <c r="P82">
        <f>IF(IF(ISERROR(MATCH(K82,Rotation_Reset_Dates[Date],0)),0,1)=1,1,IF(ISBLANK(K82),"",IF(OR(rotationDays=1,K82&lt;First_Instructional_Day1),0,IF(AND(rotationDays&gt;1,K82=First_Instructional_Day1),1,IF(P81+IF(OR(N81="Instructional",N81="Not Scheduled"),1,0)&gt;rotationDays,1,P81+IF(OR(N81="Instructional",N81="Not Scheduled"),1,0))))))</f>
        <v>1</v>
      </c>
      <c r="Q82" t="str">
        <f t="shared" si="12"/>
        <v/>
      </c>
      <c r="R82" t="str">
        <f>IF(ISBLANK(K82),"",IF(N82="Operational (no students)",99,IF(N82="Instructional",IF(rotationDays=1,Q82,P82),_xlfn.XLOOKUP(N82,TimeTable_Codes[Description],TimeTable_Codes[TimetableCode]))))</f>
        <v/>
      </c>
      <c r="S82" t="str">
        <f>IF(NOT(ISBLANK(K82)),VLOOKUP(K82,term_lookups[],2),"")</f>
        <v/>
      </c>
      <c r="T82" cm="1">
        <f t="array" ref="T82">IF(ISBLANK(K82),0,_xlfn.XLOOKUP(R82&amp;S82,Daily_Totals[Day]&amp;Daily_Totals[Term],Daily_Totals[Instruction]))</f>
        <v>0</v>
      </c>
      <c r="U82" cm="1">
        <f t="array" ref="U82">IF(ISBLANK(K82),0,_xlfn.XLOOKUP(R82&amp;S82,Daily_Totals[Day]&amp;Daily_Totals[Term],Daily_Totals[Non-Instruction]))</f>
        <v>0</v>
      </c>
      <c r="AC82">
        <v>92</v>
      </c>
      <c r="AD82">
        <v>4</v>
      </c>
      <c r="AE82" s="42">
        <f>SUM(Term4_Early_Dismissal_3[Instructional Time])</f>
        <v>0</v>
      </c>
      <c r="AF82" s="42">
        <f>SUM(Term4_Early_Dismissal_3[Assigned Time (Non-Instructional)])</f>
        <v>0</v>
      </c>
      <c r="AG82">
        <f t="shared" si="0"/>
        <v>0</v>
      </c>
    </row>
    <row r="83" spans="3:33" x14ac:dyDescent="0.3">
      <c r="C83">
        <v>9</v>
      </c>
      <c r="D83" s="37">
        <v>45925</v>
      </c>
      <c r="E83">
        <v>0</v>
      </c>
      <c r="F83">
        <f t="shared" si="4"/>
        <v>0</v>
      </c>
      <c r="K83" s="37"/>
      <c r="L83"/>
      <c r="N83" t="str">
        <f t="shared" si="6"/>
        <v/>
      </c>
      <c r="O83">
        <f t="shared" si="7"/>
        <v>0</v>
      </c>
      <c r="P83">
        <f>IF(IF(ISERROR(MATCH(K83,Rotation_Reset_Dates[Date],0)),0,1)=1,1,IF(ISBLANK(K83),"",IF(OR(rotationDays=1,K83&lt;First_Instructional_Day1),0,IF(AND(rotationDays&gt;1,K83=First_Instructional_Day1),1,IF(P82+IF(OR(N82="Instructional",N82="Not Scheduled"),1,0)&gt;rotationDays,1,P82+IF(OR(N82="Instructional",N82="Not Scheduled"),1,0))))))</f>
        <v>1</v>
      </c>
      <c r="Q83" t="str">
        <f t="shared" si="12"/>
        <v/>
      </c>
      <c r="R83" t="str">
        <f>IF(ISBLANK(K83),"",IF(N83="Operational (no students)",99,IF(N83="Instructional",IF(rotationDays=1,Q83,P83),_xlfn.XLOOKUP(N83,TimeTable_Codes[Description],TimeTable_Codes[TimetableCode]))))</f>
        <v/>
      </c>
      <c r="S83" t="str">
        <f>IF(NOT(ISBLANK(K83)),VLOOKUP(K83,term_lookups[],2),"")</f>
        <v/>
      </c>
      <c r="T83" cm="1">
        <f t="array" ref="T83">IF(ISBLANK(K83),0,_xlfn.XLOOKUP(R83&amp;S83,Daily_Totals[Day]&amp;Daily_Totals[Term],Daily_Totals[Instruction]))</f>
        <v>0</v>
      </c>
      <c r="U83" cm="1">
        <f t="array" ref="U83">IF(ISBLANK(K83),0,_xlfn.XLOOKUP(R83&amp;S83,Daily_Totals[Day]&amp;Daily_Totals[Term],Daily_Totals[Non-Instruction]))</f>
        <v>0</v>
      </c>
      <c r="AC83">
        <v>93</v>
      </c>
      <c r="AD83">
        <v>4</v>
      </c>
      <c r="AE83" s="42">
        <f>SUM(Term4_Early_Dismissal_4[Instructional Time])</f>
        <v>0</v>
      </c>
      <c r="AF83" s="42">
        <f>SUM(Term4_Early_Dismissal_4[Assigned Time (Non-Instructional)])</f>
        <v>0</v>
      </c>
      <c r="AG83" s="42">
        <f t="shared" ref="AG83:AG85" si="17">+AE83+AF83</f>
        <v>0</v>
      </c>
    </row>
    <row r="84" spans="3:33" x14ac:dyDescent="0.3">
      <c r="C84">
        <v>9</v>
      </c>
      <c r="D84" s="37">
        <v>45926</v>
      </c>
      <c r="E84">
        <v>0</v>
      </c>
      <c r="F84">
        <f t="shared" si="4"/>
        <v>0</v>
      </c>
      <c r="K84" s="37"/>
      <c r="L84"/>
      <c r="N84" t="str">
        <f t="shared" si="6"/>
        <v/>
      </c>
      <c r="O84">
        <f t="shared" si="7"/>
        <v>0</v>
      </c>
      <c r="P84">
        <f>IF(IF(ISERROR(MATCH(K84,Rotation_Reset_Dates[Date],0)),0,1)=1,1,IF(ISBLANK(K84),"",IF(OR(rotationDays=1,K84&lt;First_Instructional_Day1),0,IF(AND(rotationDays&gt;1,K84=First_Instructional_Day1),1,IF(P83+IF(OR(N83="Instructional",N83="Not Scheduled"),1,0)&gt;rotationDays,1,P83+IF(OR(N83="Instructional",N83="Not Scheduled"),1,0))))))</f>
        <v>1</v>
      </c>
      <c r="Q84" t="str">
        <f t="shared" si="12"/>
        <v/>
      </c>
      <c r="R84" t="str">
        <f>IF(ISBLANK(K84),"",IF(N84="Operational (no students)",99,IF(N84="Instructional",IF(rotationDays=1,Q84,P84),_xlfn.XLOOKUP(N84,TimeTable_Codes[Description],TimeTable_Codes[TimetableCode]))))</f>
        <v/>
      </c>
      <c r="S84" t="str">
        <f>IF(NOT(ISBLANK(K84)),VLOOKUP(K84,term_lookups[],2),"")</f>
        <v/>
      </c>
      <c r="T84" cm="1">
        <f t="array" ref="T84">IF(ISBLANK(K84),0,_xlfn.XLOOKUP(R84&amp;S84,Daily_Totals[Day]&amp;Daily_Totals[Term],Daily_Totals[Instruction]))</f>
        <v>0</v>
      </c>
      <c r="U84" cm="1">
        <f t="array" ref="U84">IF(ISBLANK(K84),0,_xlfn.XLOOKUP(R84&amp;S84,Daily_Totals[Day]&amp;Daily_Totals[Term],Daily_Totals[Non-Instruction]))</f>
        <v>0</v>
      </c>
      <c r="AC84">
        <v>94</v>
      </c>
      <c r="AD84">
        <v>4</v>
      </c>
      <c r="AE84" s="42">
        <f>SUM(Term4_Early_Dismissal_5[Instructional Time])</f>
        <v>0</v>
      </c>
      <c r="AF84" s="42">
        <f>SUM(Term4_Early_Dismissal_5[Assigned Time (Non-Instructional)])</f>
        <v>0</v>
      </c>
      <c r="AG84" s="42">
        <f t="shared" si="17"/>
        <v>0</v>
      </c>
    </row>
    <row r="85" spans="3:33" x14ac:dyDescent="0.3">
      <c r="C85">
        <v>9</v>
      </c>
      <c r="D85" s="37">
        <v>45927</v>
      </c>
      <c r="E85">
        <v>0</v>
      </c>
      <c r="F85">
        <f t="shared" ref="F85:F148" si="18">IF(AND(MONTH(D85)=C85,D85&gt;=First_Operational_Day,D85&lt;=Last_Operational_Day,WEEKDAY(D85)&lt;&gt;1,WEEKDAY(D85)&lt;&gt;7,E85&lt;&gt;"Closed (non-operational)"),1,0)</f>
        <v>0</v>
      </c>
      <c r="K85" s="37"/>
      <c r="L85"/>
      <c r="N85" t="str">
        <f t="shared" si="6"/>
        <v/>
      </c>
      <c r="O85">
        <f t="shared" si="7"/>
        <v>0</v>
      </c>
      <c r="P85">
        <f>IF(IF(ISERROR(MATCH(K85,Rotation_Reset_Dates[Date],0)),0,1)=1,1,IF(ISBLANK(K85),"",IF(OR(rotationDays=1,K85&lt;First_Instructional_Day1),0,IF(AND(rotationDays&gt;1,K85=First_Instructional_Day1),1,IF(P84+IF(OR(N84="Instructional",N84="Not Scheduled"),1,0)&gt;rotationDays,1,P84+IF(OR(N84="Instructional",N84="Not Scheduled"),1,0))))))</f>
        <v>1</v>
      </c>
      <c r="Q85" t="str">
        <f t="shared" ref="Q85:Q148" si="19">IF(ISBLANK(K85),"",IF(K85&gt;=First_Instructional_Day1,WEEKDAY(K85)-1,0))</f>
        <v/>
      </c>
      <c r="R85" t="str">
        <f>IF(ISBLANK(K85),"",IF(N85="Operational (no students)",99,IF(N85="Instructional",IF(rotationDays=1,Q85,P85),_xlfn.XLOOKUP(N85,TimeTable_Codes[Description],TimeTable_Codes[TimetableCode]))))</f>
        <v/>
      </c>
      <c r="S85" t="str">
        <f>IF(NOT(ISBLANK(K85)),VLOOKUP(K85,term_lookups[],2),"")</f>
        <v/>
      </c>
      <c r="T85" cm="1">
        <f t="array" ref="T85">IF(ISBLANK(K85),0,_xlfn.XLOOKUP(R85&amp;S85,Daily_Totals[Day]&amp;Daily_Totals[Term],Daily_Totals[Instruction]))</f>
        <v>0</v>
      </c>
      <c r="U85" cm="1">
        <f t="array" ref="U85">IF(ISBLANK(K85),0,_xlfn.XLOOKUP(R85&amp;S85,Daily_Totals[Day]&amp;Daily_Totals[Term],Daily_Totals[Non-Instruction]))</f>
        <v>0</v>
      </c>
      <c r="AC85">
        <v>95</v>
      </c>
      <c r="AD85">
        <v>4</v>
      </c>
      <c r="AE85" s="42">
        <f>SUM(Term4_Early_Dismissal_6[Instructional Time])</f>
        <v>0</v>
      </c>
      <c r="AF85" s="42">
        <f>SUM(Term4_Early_Dismissal_6[Assigned Time (Non-Instructional)])</f>
        <v>0</v>
      </c>
      <c r="AG85" s="42">
        <f t="shared" si="17"/>
        <v>0</v>
      </c>
    </row>
    <row r="86" spans="3:33" x14ac:dyDescent="0.3">
      <c r="C86">
        <v>9</v>
      </c>
      <c r="D86" s="37" cm="1">
        <f t="array" ref="D86:D92">TRANSPOSE(Calendar!B37:H37)</f>
        <v>45928</v>
      </c>
      <c r="E86" cm="1">
        <f t="array" ref="E86:E92">TRANSPOSE(Calendar!B38:H38)</f>
        <v>0</v>
      </c>
      <c r="F86">
        <f t="shared" si="18"/>
        <v>0</v>
      </c>
      <c r="K86" s="37"/>
      <c r="L86"/>
      <c r="N86" t="str">
        <f t="shared" ref="N86:N149" si="20">IF(ISBLANK(K86),"",IF(L86=0,"Instructional",L86))</f>
        <v/>
      </c>
      <c r="O86">
        <f t="shared" ref="O86:O149" si="21">IF(OR(N86="Planning Day",N86="PD/In-Service Day"),1,0)</f>
        <v>0</v>
      </c>
      <c r="P86">
        <f>IF(IF(ISERROR(MATCH(K86,Rotation_Reset_Dates[Date],0)),0,1)=1,1,IF(ISBLANK(K86),"",IF(OR(rotationDays=1,K86&lt;First_Instructional_Day1),0,IF(AND(rotationDays&gt;1,K86=First_Instructional_Day1),1,IF(P85+IF(OR(N85="Instructional",N85="Not Scheduled"),1,0)&gt;rotationDays,1,P85+IF(OR(N85="Instructional",N85="Not Scheduled"),1,0))))))</f>
        <v>1</v>
      </c>
      <c r="Q86" t="str">
        <f t="shared" si="19"/>
        <v/>
      </c>
      <c r="R86" t="str">
        <f>IF(ISBLANK(K86),"",IF(N86="Operational (no students)",99,IF(N86="Instructional",IF(rotationDays=1,Q86,P86),_xlfn.XLOOKUP(N86,TimeTable_Codes[Description],TimeTable_Codes[TimetableCode]))))</f>
        <v/>
      </c>
      <c r="S86" t="str">
        <f>IF(NOT(ISBLANK(K86)),VLOOKUP(K86,term_lookups[],2),"")</f>
        <v/>
      </c>
      <c r="T86" cm="1">
        <f t="array" ref="T86">IF(ISBLANK(K86),0,_xlfn.XLOOKUP(R86&amp;S86,Daily_Totals[Day]&amp;Daily_Totals[Term],Daily_Totals[Instruction]))</f>
        <v>0</v>
      </c>
      <c r="U86" cm="1">
        <f t="array" ref="U86">IF(ISBLANK(K86),0,_xlfn.XLOOKUP(R86&amp;S86,Daily_Totals[Day]&amp;Daily_Totals[Term],Daily_Totals[Non-Instruction]))</f>
        <v>0</v>
      </c>
      <c r="AC86">
        <v>96</v>
      </c>
      <c r="AD86">
        <v>4</v>
      </c>
      <c r="AE86" s="42">
        <f>SUM(Term4_Special_Day_1[Instructional Time])</f>
        <v>0</v>
      </c>
      <c r="AF86" s="42">
        <f>SUM(Term4_Special_Day_1[Assigned Time (Non-Instructional)])</f>
        <v>0</v>
      </c>
      <c r="AG86">
        <f t="shared" si="0"/>
        <v>0</v>
      </c>
    </row>
    <row r="87" spans="3:33" x14ac:dyDescent="0.3">
      <c r="C87">
        <v>9</v>
      </c>
      <c r="D87" s="37">
        <v>45929</v>
      </c>
      <c r="E87">
        <v>0</v>
      </c>
      <c r="F87">
        <f t="shared" si="18"/>
        <v>0</v>
      </c>
      <c r="K87" s="37"/>
      <c r="L87"/>
      <c r="N87" t="str">
        <f t="shared" si="20"/>
        <v/>
      </c>
      <c r="O87">
        <f t="shared" si="21"/>
        <v>0</v>
      </c>
      <c r="P87">
        <f>IF(IF(ISERROR(MATCH(K87,Rotation_Reset_Dates[Date],0)),0,1)=1,1,IF(ISBLANK(K87),"",IF(OR(rotationDays=1,K87&lt;First_Instructional_Day1),0,IF(AND(rotationDays&gt;1,K87=First_Instructional_Day1),1,IF(P86+IF(OR(N86="Instructional",N86="Not Scheduled"),1,0)&gt;rotationDays,1,P86+IF(OR(N86="Instructional",N86="Not Scheduled"),1,0))))))</f>
        <v>1</v>
      </c>
      <c r="Q87" t="str">
        <f t="shared" si="19"/>
        <v/>
      </c>
      <c r="R87" t="str">
        <f>IF(ISBLANK(K87),"",IF(N87="Operational (no students)",99,IF(N87="Instructional",IF(rotationDays=1,Q87,P87),_xlfn.XLOOKUP(N87,TimeTable_Codes[Description],TimeTable_Codes[TimetableCode]))))</f>
        <v/>
      </c>
      <c r="S87" t="str">
        <f>IF(NOT(ISBLANK(K87)),VLOOKUP(K87,term_lookups[],2),"")</f>
        <v/>
      </c>
      <c r="T87" cm="1">
        <f t="array" ref="T87">IF(ISBLANK(K87),0,_xlfn.XLOOKUP(R87&amp;S87,Daily_Totals[Day]&amp;Daily_Totals[Term],Daily_Totals[Instruction]))</f>
        <v>0</v>
      </c>
      <c r="U87" cm="1">
        <f t="array" ref="U87">IF(ISBLANK(K87),0,_xlfn.XLOOKUP(R87&amp;S87,Daily_Totals[Day]&amp;Daily_Totals[Term],Daily_Totals[Non-Instruction]))</f>
        <v>0</v>
      </c>
      <c r="AC87">
        <v>97</v>
      </c>
      <c r="AD87">
        <v>4</v>
      </c>
      <c r="AE87" s="42">
        <f>SUM(Term4_Special_Day_2[Instructional Time])</f>
        <v>0</v>
      </c>
      <c r="AF87" s="42">
        <f>SUM(Term4_Special_Day_2[Assigned Time (Non-Instructional)])</f>
        <v>0</v>
      </c>
      <c r="AG87">
        <f t="shared" si="0"/>
        <v>0</v>
      </c>
    </row>
    <row r="88" spans="3:33" x14ac:dyDescent="0.3">
      <c r="C88">
        <v>9</v>
      </c>
      <c r="D88" s="37">
        <v>45930</v>
      </c>
      <c r="E88">
        <v>0</v>
      </c>
      <c r="F88">
        <f t="shared" si="18"/>
        <v>0</v>
      </c>
      <c r="K88" s="37"/>
      <c r="L88"/>
      <c r="N88" t="str">
        <f t="shared" si="20"/>
        <v/>
      </c>
      <c r="O88">
        <f t="shared" si="21"/>
        <v>0</v>
      </c>
      <c r="P88">
        <f>IF(IF(ISERROR(MATCH(K88,Rotation_Reset_Dates[Date],0)),0,1)=1,1,IF(ISBLANK(K88),"",IF(OR(rotationDays=1,K88&lt;First_Instructional_Day1),0,IF(AND(rotationDays&gt;1,K88=First_Instructional_Day1),1,IF(P87+IF(OR(N87="Instructional",N87="Not Scheduled"),1,0)&gt;rotationDays,1,P87+IF(OR(N87="Instructional",N87="Not Scheduled"),1,0))))))</f>
        <v>1</v>
      </c>
      <c r="Q88" t="str">
        <f t="shared" si="19"/>
        <v/>
      </c>
      <c r="R88" t="str">
        <f>IF(ISBLANK(K88),"",IF(N88="Operational (no students)",99,IF(N88="Instructional",IF(rotationDays=1,Q88,P88),_xlfn.XLOOKUP(N88,TimeTable_Codes[Description],TimeTable_Codes[TimetableCode]))))</f>
        <v/>
      </c>
      <c r="S88" t="str">
        <f>IF(NOT(ISBLANK(K88)),VLOOKUP(K88,term_lookups[],2),"")</f>
        <v/>
      </c>
      <c r="T88" cm="1">
        <f t="array" ref="T88">IF(ISBLANK(K88),0,_xlfn.XLOOKUP(R88&amp;S88,Daily_Totals[Day]&amp;Daily_Totals[Term],Daily_Totals[Instruction]))</f>
        <v>0</v>
      </c>
      <c r="U88" cm="1">
        <f t="array" ref="U88">IF(ISBLANK(K88),0,_xlfn.XLOOKUP(R88&amp;S88,Daily_Totals[Day]&amp;Daily_Totals[Term],Daily_Totals[Non-Instruction]))</f>
        <v>0</v>
      </c>
      <c r="AC88">
        <v>98</v>
      </c>
      <c r="AD88">
        <v>4</v>
      </c>
      <c r="AE88" s="42">
        <f>SUM(Term4_Special_Day_3[Instructional Time])</f>
        <v>0</v>
      </c>
      <c r="AF88" s="42">
        <f>SUM(Term4_Special_Day_3[Assigned Time (Non-Instructional)])</f>
        <v>0</v>
      </c>
      <c r="AG88">
        <f t="shared" si="0"/>
        <v>0</v>
      </c>
    </row>
    <row r="89" spans="3:33" x14ac:dyDescent="0.3">
      <c r="C89">
        <v>9</v>
      </c>
      <c r="D89" s="37">
        <v>45931</v>
      </c>
      <c r="E89">
        <v>0</v>
      </c>
      <c r="F89">
        <f t="shared" si="18"/>
        <v>0</v>
      </c>
      <c r="K89" s="37"/>
      <c r="L89"/>
      <c r="N89" t="str">
        <f t="shared" si="20"/>
        <v/>
      </c>
      <c r="O89">
        <f t="shared" si="21"/>
        <v>0</v>
      </c>
      <c r="P89">
        <f>IF(IF(ISERROR(MATCH(K89,Rotation_Reset_Dates[Date],0)),0,1)=1,1,IF(ISBLANK(K89),"",IF(OR(rotationDays=1,K89&lt;First_Instructional_Day1),0,IF(AND(rotationDays&gt;1,K89=First_Instructional_Day1),1,IF(P88+IF(OR(N88="Instructional",N88="Not Scheduled"),1,0)&gt;rotationDays,1,P88+IF(OR(N88="Instructional",N88="Not Scheduled"),1,0))))))</f>
        <v>1</v>
      </c>
      <c r="Q89" t="str">
        <f t="shared" si="19"/>
        <v/>
      </c>
      <c r="R89" t="str">
        <f>IF(ISBLANK(K89),"",IF(N89="Operational (no students)",99,IF(N89="Instructional",IF(rotationDays=1,Q89,P89),_xlfn.XLOOKUP(N89,TimeTable_Codes[Description],TimeTable_Codes[TimetableCode]))))</f>
        <v/>
      </c>
      <c r="S89" t="str">
        <f>IF(NOT(ISBLANK(K89)),VLOOKUP(K89,term_lookups[],2),"")</f>
        <v/>
      </c>
      <c r="T89" cm="1">
        <f t="array" ref="T89">IF(ISBLANK(K89),0,_xlfn.XLOOKUP(R89&amp;S89,Daily_Totals[Day]&amp;Daily_Totals[Term],Daily_Totals[Instruction]))</f>
        <v>0</v>
      </c>
      <c r="U89" cm="1">
        <f t="array" ref="U89">IF(ISBLANK(K89),0,_xlfn.XLOOKUP(R89&amp;S89,Daily_Totals[Day]&amp;Daily_Totals[Term],Daily_Totals[Non-Instruction]))</f>
        <v>0</v>
      </c>
      <c r="AC89">
        <v>99</v>
      </c>
      <c r="AD89">
        <v>4</v>
      </c>
      <c r="AE89">
        <v>0</v>
      </c>
      <c r="AF89">
        <f>IF(ISBLANK(PD_Length),360,PD_Length)</f>
        <v>360</v>
      </c>
      <c r="AG89">
        <f t="shared" si="0"/>
        <v>360</v>
      </c>
    </row>
    <row r="90" spans="3:33" x14ac:dyDescent="0.3">
      <c r="C90">
        <v>9</v>
      </c>
      <c r="D90" s="37">
        <v>45932</v>
      </c>
      <c r="E90">
        <v>0</v>
      </c>
      <c r="F90">
        <f t="shared" si="18"/>
        <v>0</v>
      </c>
      <c r="K90" s="37"/>
      <c r="L90"/>
      <c r="N90" t="str">
        <f t="shared" si="20"/>
        <v/>
      </c>
      <c r="O90">
        <f t="shared" si="21"/>
        <v>0</v>
      </c>
      <c r="P90">
        <f>IF(IF(ISERROR(MATCH(K90,Rotation_Reset_Dates[Date],0)),0,1)=1,1,IF(ISBLANK(K90),"",IF(OR(rotationDays=1,K90&lt;First_Instructional_Day1),0,IF(AND(rotationDays&gt;1,K90=First_Instructional_Day1),1,IF(P89+IF(OR(N89="Instructional",N89="Not Scheduled"),1,0)&gt;rotationDays,1,P89+IF(OR(N89="Instructional",N89="Not Scheduled"),1,0))))))</f>
        <v>1</v>
      </c>
      <c r="Q90" t="str">
        <f t="shared" si="19"/>
        <v/>
      </c>
      <c r="R90" t="str">
        <f>IF(ISBLANK(K90),"",IF(N90="Operational (no students)",99,IF(N90="Instructional",IF(rotationDays=1,Q90,P90),_xlfn.XLOOKUP(N90,TimeTable_Codes[Description],TimeTable_Codes[TimetableCode]))))</f>
        <v/>
      </c>
      <c r="S90" t="str">
        <f>IF(NOT(ISBLANK(K90)),VLOOKUP(K90,term_lookups[],2),"")</f>
        <v/>
      </c>
      <c r="T90" cm="1">
        <f t="array" ref="T90">IF(ISBLANK(K90),0,_xlfn.XLOOKUP(R90&amp;S90,Daily_Totals[Day]&amp;Daily_Totals[Term],Daily_Totals[Instruction]))</f>
        <v>0</v>
      </c>
      <c r="U90" cm="1">
        <f t="array" ref="U90">IF(ISBLANK(K90),0,_xlfn.XLOOKUP(R90&amp;S90,Daily_Totals[Day]&amp;Daily_Totals[Term],Daily_Totals[Non-Instruction]))</f>
        <v>0</v>
      </c>
      <c r="AC90">
        <v>100</v>
      </c>
      <c r="AD90">
        <v>4</v>
      </c>
      <c r="AE90">
        <v>0</v>
      </c>
      <c r="AF90">
        <f>IF(ISBLANK(Planning_Length),360,Planning_Length)</f>
        <v>360</v>
      </c>
      <c r="AG90" s="42">
        <f>+AE90+AF90</f>
        <v>360</v>
      </c>
    </row>
    <row r="91" spans="3:33" x14ac:dyDescent="0.3">
      <c r="C91">
        <v>9</v>
      </c>
      <c r="D91" s="37">
        <v>45933</v>
      </c>
      <c r="E91">
        <v>0</v>
      </c>
      <c r="F91">
        <f t="shared" si="18"/>
        <v>0</v>
      </c>
      <c r="K91" s="37"/>
      <c r="L91"/>
      <c r="N91" t="str">
        <f t="shared" si="20"/>
        <v/>
      </c>
      <c r="O91">
        <f t="shared" si="21"/>
        <v>0</v>
      </c>
      <c r="P91">
        <f>IF(IF(ISERROR(MATCH(K91,Rotation_Reset_Dates[Date],0)),0,1)=1,1,IF(ISBLANK(K91),"",IF(OR(rotationDays=1,K91&lt;First_Instructional_Day1),0,IF(AND(rotationDays&gt;1,K91=First_Instructional_Day1),1,IF(P90+IF(OR(N90="Instructional",N90="Not Scheduled"),1,0)&gt;rotationDays,1,P90+IF(OR(N90="Instructional",N90="Not Scheduled"),1,0))))))</f>
        <v>1</v>
      </c>
      <c r="Q91" t="str">
        <f t="shared" si="19"/>
        <v/>
      </c>
      <c r="R91" t="str">
        <f>IF(ISBLANK(K91),"",IF(N91="Operational (no students)",99,IF(N91="Instructional",IF(rotationDays=1,Q91,P91),_xlfn.XLOOKUP(N91,TimeTable_Codes[Description],TimeTable_Codes[TimetableCode]))))</f>
        <v/>
      </c>
      <c r="S91" t="str">
        <f>IF(NOT(ISBLANK(K91)),VLOOKUP(K91,term_lookups[],2),"")</f>
        <v/>
      </c>
      <c r="T91" cm="1">
        <f t="array" ref="T91">IF(ISBLANK(K91),0,_xlfn.XLOOKUP(R91&amp;S91,Daily_Totals[Day]&amp;Daily_Totals[Term],Daily_Totals[Instruction]))</f>
        <v>0</v>
      </c>
      <c r="U91" cm="1">
        <f t="array" ref="U91">IF(ISBLANK(K91),0,_xlfn.XLOOKUP(R91&amp;S91,Daily_Totals[Day]&amp;Daily_Totals[Term],Daily_Totals[Non-Instruction]))</f>
        <v>0</v>
      </c>
      <c r="AC91">
        <v>101</v>
      </c>
      <c r="AD91">
        <v>4</v>
      </c>
      <c r="AE91">
        <v>0</v>
      </c>
      <c r="AF91">
        <v>0</v>
      </c>
      <c r="AG91" s="42">
        <f>+AE91+AF91</f>
        <v>0</v>
      </c>
    </row>
    <row r="92" spans="3:33" x14ac:dyDescent="0.3">
      <c r="C92">
        <v>9</v>
      </c>
      <c r="D92" s="37">
        <v>45934</v>
      </c>
      <c r="E92">
        <v>0</v>
      </c>
      <c r="F92">
        <f t="shared" si="18"/>
        <v>0</v>
      </c>
      <c r="K92" s="37"/>
      <c r="L92"/>
      <c r="N92" t="str">
        <f t="shared" si="20"/>
        <v/>
      </c>
      <c r="O92">
        <f t="shared" si="21"/>
        <v>0</v>
      </c>
      <c r="P92">
        <f>IF(IF(ISERROR(MATCH(K92,Rotation_Reset_Dates[Date],0)),0,1)=1,1,IF(ISBLANK(K92),"",IF(OR(rotationDays=1,K92&lt;First_Instructional_Day1),0,IF(AND(rotationDays&gt;1,K92=First_Instructional_Day1),1,IF(P91+IF(OR(N91="Instructional",N91="Not Scheduled"),1,0)&gt;rotationDays,1,P91+IF(OR(N91="Instructional",N91="Not Scheduled"),1,0))))))</f>
        <v>1</v>
      </c>
      <c r="Q92" t="str">
        <f t="shared" si="19"/>
        <v/>
      </c>
      <c r="R92" t="str">
        <f>IF(ISBLANK(K92),"",IF(N92="Operational (no students)",99,IF(N92="Instructional",IF(rotationDays=1,Q92,P92),_xlfn.XLOOKUP(N92,TimeTable_Codes[Description],TimeTable_Codes[TimetableCode]))))</f>
        <v/>
      </c>
      <c r="S92" t="str">
        <f>IF(NOT(ISBLANK(K92)),VLOOKUP(K92,term_lookups[],2),"")</f>
        <v/>
      </c>
      <c r="T92" cm="1">
        <f t="array" ref="T92">IF(ISBLANK(K92),0,_xlfn.XLOOKUP(R92&amp;S92,Daily_Totals[Day]&amp;Daily_Totals[Term],Daily_Totals[Instruction]))</f>
        <v>0</v>
      </c>
      <c r="U92" cm="1">
        <f t="array" ref="U92">IF(ISBLANK(K92),0,_xlfn.XLOOKUP(R92&amp;S92,Daily_Totals[Day]&amp;Daily_Totals[Term],Daily_Totals[Non-Instruction]))</f>
        <v>0</v>
      </c>
    </row>
    <row r="93" spans="3:33" x14ac:dyDescent="0.3">
      <c r="C93">
        <v>9</v>
      </c>
      <c r="D93" s="37" cm="1">
        <f t="array" ref="D93:D94">TRANSPOSE(Calendar!B39:C39)</f>
        <v>45935</v>
      </c>
      <c r="E93" cm="1">
        <f t="array" ref="E93:E94">TRANSPOSE(Calendar!B40:C40)</f>
        <v>0</v>
      </c>
      <c r="F93">
        <f t="shared" si="18"/>
        <v>0</v>
      </c>
      <c r="K93" s="37"/>
      <c r="L93"/>
      <c r="N93" t="str">
        <f t="shared" si="20"/>
        <v/>
      </c>
      <c r="O93">
        <f t="shared" si="21"/>
        <v>0</v>
      </c>
      <c r="P93">
        <f>IF(IF(ISERROR(MATCH(K93,Rotation_Reset_Dates[Date],0)),0,1)=1,1,IF(ISBLANK(K93),"",IF(OR(rotationDays=1,K93&lt;First_Instructional_Day1),0,IF(AND(rotationDays&gt;1,K93=First_Instructional_Day1),1,IF(P92+IF(OR(N92="Instructional",N92="Not Scheduled"),1,0)&gt;rotationDays,1,P92+IF(OR(N92="Instructional",N92="Not Scheduled"),1,0))))))</f>
        <v>1</v>
      </c>
      <c r="Q93" t="str">
        <f t="shared" si="19"/>
        <v/>
      </c>
      <c r="R93" t="str">
        <f>IF(ISBLANK(K93),"",IF(N93="Operational (no students)",99,IF(N93="Instructional",IF(rotationDays=1,Q93,P93),_xlfn.XLOOKUP(N93,TimeTable_Codes[Description],TimeTable_Codes[TimetableCode]))))</f>
        <v/>
      </c>
      <c r="S93" t="str">
        <f>IF(NOT(ISBLANK(K93)),VLOOKUP(K93,term_lookups[],2),"")</f>
        <v/>
      </c>
      <c r="T93" cm="1">
        <f t="array" ref="T93">IF(ISBLANK(K93),0,_xlfn.XLOOKUP(R93&amp;S93,Daily_Totals[Day]&amp;Daily_Totals[Term],Daily_Totals[Instruction]))</f>
        <v>0</v>
      </c>
      <c r="U93" cm="1">
        <f t="array" ref="U93">IF(ISBLANK(K93),0,_xlfn.XLOOKUP(R93&amp;S93,Daily_Totals[Day]&amp;Daily_Totals[Term],Daily_Totals[Non-Instruction]))</f>
        <v>0</v>
      </c>
    </row>
    <row r="94" spans="3:33" x14ac:dyDescent="0.3">
      <c r="C94">
        <v>9</v>
      </c>
      <c r="D94" s="37">
        <v>45936</v>
      </c>
      <c r="E94">
        <v>0</v>
      </c>
      <c r="F94">
        <f t="shared" si="18"/>
        <v>0</v>
      </c>
      <c r="K94" s="37"/>
      <c r="L94"/>
      <c r="N94" t="str">
        <f t="shared" si="20"/>
        <v/>
      </c>
      <c r="O94">
        <f t="shared" si="21"/>
        <v>0</v>
      </c>
      <c r="P94">
        <f>IF(IF(ISERROR(MATCH(K94,Rotation_Reset_Dates[Date],0)),0,1)=1,1,IF(ISBLANK(K94),"",IF(OR(rotationDays=1,K94&lt;First_Instructional_Day1),0,IF(AND(rotationDays&gt;1,K94=First_Instructional_Day1),1,IF(P93+IF(OR(N93="Instructional",N93="Not Scheduled"),1,0)&gt;rotationDays,1,P93+IF(OR(N93="Instructional",N93="Not Scheduled"),1,0))))))</f>
        <v>1</v>
      </c>
      <c r="Q94" t="str">
        <f t="shared" si="19"/>
        <v/>
      </c>
      <c r="R94" t="str">
        <f>IF(ISBLANK(K94),"",IF(N94="Operational (no students)",99,IF(N94="Instructional",IF(rotationDays=1,Q94,P94),_xlfn.XLOOKUP(N94,TimeTable_Codes[Description],TimeTable_Codes[TimetableCode]))))</f>
        <v/>
      </c>
      <c r="S94" t="str">
        <f>IF(NOT(ISBLANK(K94)),VLOOKUP(K94,term_lookups[],2),"")</f>
        <v/>
      </c>
      <c r="T94" cm="1">
        <f t="array" ref="T94">IF(ISBLANK(K94),0,_xlfn.XLOOKUP(R94&amp;S94,Daily_Totals[Day]&amp;Daily_Totals[Term],Daily_Totals[Instruction]))</f>
        <v>0</v>
      </c>
      <c r="U94" cm="1">
        <f t="array" ref="U94">IF(ISBLANK(K94),0,_xlfn.XLOOKUP(R94&amp;S94,Daily_Totals[Day]&amp;Daily_Totals[Term],Daily_Totals[Non-Instruction]))</f>
        <v>0</v>
      </c>
    </row>
    <row r="95" spans="3:33" x14ac:dyDescent="0.3">
      <c r="C95">
        <f>+C58+1</f>
        <v>10</v>
      </c>
      <c r="D95" s="37" cm="1">
        <f t="array" ref="D95:D101">TRANSPOSE(Calendar!B45:H45)</f>
        <v>45928</v>
      </c>
      <c r="E95" cm="1">
        <f t="array" ref="E95:E101">TRANSPOSE(Calendar!B46:H46)</f>
        <v>0</v>
      </c>
      <c r="F95">
        <f t="shared" si="18"/>
        <v>0</v>
      </c>
      <c r="K95" s="37"/>
      <c r="L95"/>
      <c r="N95" t="str">
        <f t="shared" si="20"/>
        <v/>
      </c>
      <c r="O95">
        <f t="shared" si="21"/>
        <v>0</v>
      </c>
      <c r="P95">
        <f>IF(IF(ISERROR(MATCH(K95,Rotation_Reset_Dates[Date],0)),0,1)=1,1,IF(ISBLANK(K95),"",IF(OR(rotationDays=1,K95&lt;First_Instructional_Day1),0,IF(AND(rotationDays&gt;1,K95=First_Instructional_Day1),1,IF(P94+IF(OR(N94="Instructional",N94="Not Scheduled"),1,0)&gt;rotationDays,1,P94+IF(OR(N94="Instructional",N94="Not Scheduled"),1,0))))))</f>
        <v>1</v>
      </c>
      <c r="Q95" t="str">
        <f t="shared" si="19"/>
        <v/>
      </c>
      <c r="R95" t="str">
        <f>IF(ISBLANK(K95),"",IF(N95="Operational (no students)",99,IF(N95="Instructional",IF(rotationDays=1,Q95,P95),_xlfn.XLOOKUP(N95,TimeTable_Codes[Description],TimeTable_Codes[TimetableCode]))))</f>
        <v/>
      </c>
      <c r="S95" t="str">
        <f>IF(NOT(ISBLANK(K95)),VLOOKUP(K95,term_lookups[],2),"")</f>
        <v/>
      </c>
      <c r="T95" cm="1">
        <f t="array" ref="T95">IF(ISBLANK(K95),0,_xlfn.XLOOKUP(R95&amp;S95,Daily_Totals[Day]&amp;Daily_Totals[Term],Daily_Totals[Instruction]))</f>
        <v>0</v>
      </c>
      <c r="U95" cm="1">
        <f t="array" ref="U95">IF(ISBLANK(K95),0,_xlfn.XLOOKUP(R95&amp;S95,Daily_Totals[Day]&amp;Daily_Totals[Term],Daily_Totals[Non-Instruction]))</f>
        <v>0</v>
      </c>
    </row>
    <row r="96" spans="3:33" x14ac:dyDescent="0.3">
      <c r="C96">
        <f t="shared" ref="C96:C159" si="22">+C59+1</f>
        <v>10</v>
      </c>
      <c r="D96" s="37">
        <v>45929</v>
      </c>
      <c r="E96">
        <v>0</v>
      </c>
      <c r="F96">
        <f t="shared" si="18"/>
        <v>0</v>
      </c>
      <c r="K96" s="37"/>
      <c r="L96"/>
      <c r="N96" t="str">
        <f t="shared" si="20"/>
        <v/>
      </c>
      <c r="O96">
        <f t="shared" si="21"/>
        <v>0</v>
      </c>
      <c r="P96">
        <f>IF(IF(ISERROR(MATCH(K96,Rotation_Reset_Dates[Date],0)),0,1)=1,1,IF(ISBLANK(K96),"",IF(OR(rotationDays=1,K96&lt;First_Instructional_Day1),0,IF(AND(rotationDays&gt;1,K96=First_Instructional_Day1),1,IF(P95+IF(OR(N95="Instructional",N95="Not Scheduled"),1,0)&gt;rotationDays,1,P95+IF(OR(N95="Instructional",N95="Not Scheduled"),1,0))))))</f>
        <v>1</v>
      </c>
      <c r="Q96" t="str">
        <f t="shared" si="19"/>
        <v/>
      </c>
      <c r="R96" t="str">
        <f>IF(ISBLANK(K96),"",IF(N96="Operational (no students)",99,IF(N96="Instructional",IF(rotationDays=1,Q96,P96),_xlfn.XLOOKUP(N96,TimeTable_Codes[Description],TimeTable_Codes[TimetableCode]))))</f>
        <v/>
      </c>
      <c r="S96" t="str">
        <f>IF(NOT(ISBLANK(K96)),VLOOKUP(K96,term_lookups[],2),"")</f>
        <v/>
      </c>
      <c r="T96" cm="1">
        <f t="array" ref="T96">IF(ISBLANK(K96),0,_xlfn.XLOOKUP(R96&amp;S96,Daily_Totals[Day]&amp;Daily_Totals[Term],Daily_Totals[Instruction]))</f>
        <v>0</v>
      </c>
      <c r="U96" cm="1">
        <f t="array" ref="U96">IF(ISBLANK(K96),0,_xlfn.XLOOKUP(R96&amp;S96,Daily_Totals[Day]&amp;Daily_Totals[Term],Daily_Totals[Non-Instruction]))</f>
        <v>0</v>
      </c>
    </row>
    <row r="97" spans="3:30" x14ac:dyDescent="0.3">
      <c r="C97">
        <f t="shared" si="22"/>
        <v>10</v>
      </c>
      <c r="D97" s="37">
        <v>45930</v>
      </c>
      <c r="E97">
        <v>0</v>
      </c>
      <c r="F97">
        <f t="shared" si="18"/>
        <v>0</v>
      </c>
      <c r="K97" s="37"/>
      <c r="L97"/>
      <c r="N97" t="str">
        <f t="shared" si="20"/>
        <v/>
      </c>
      <c r="O97">
        <f t="shared" si="21"/>
        <v>0</v>
      </c>
      <c r="P97">
        <f>IF(IF(ISERROR(MATCH(K97,Rotation_Reset_Dates[Date],0)),0,1)=1,1,IF(ISBLANK(K97),"",IF(OR(rotationDays=1,K97&lt;First_Instructional_Day1),0,IF(AND(rotationDays&gt;1,K97=First_Instructional_Day1),1,IF(P96+IF(OR(N96="Instructional",N96="Not Scheduled"),1,0)&gt;rotationDays,1,P96+IF(OR(N96="Instructional",N96="Not Scheduled"),1,0))))))</f>
        <v>1</v>
      </c>
      <c r="Q97" t="str">
        <f t="shared" si="19"/>
        <v/>
      </c>
      <c r="R97" t="str">
        <f>IF(ISBLANK(K97),"",IF(N97="Operational (no students)",99,IF(N97="Instructional",IF(rotationDays=1,Q97,P97),_xlfn.XLOOKUP(N97,TimeTable_Codes[Description],TimeTable_Codes[TimetableCode]))))</f>
        <v/>
      </c>
      <c r="S97" t="str">
        <f>IF(NOT(ISBLANK(K97)),VLOOKUP(K97,term_lookups[],2),"")</f>
        <v/>
      </c>
      <c r="T97" cm="1">
        <f t="array" ref="T97">IF(ISBLANK(K97),0,_xlfn.XLOOKUP(R97&amp;S97,Daily_Totals[Day]&amp;Daily_Totals[Term],Daily_Totals[Instruction]))</f>
        <v>0</v>
      </c>
      <c r="U97" cm="1">
        <f t="array" ref="U97">IF(ISBLANK(K97),0,_xlfn.XLOOKUP(R97&amp;S97,Daily_Totals[Day]&amp;Daily_Totals[Term],Daily_Totals[Non-Instruction]))</f>
        <v>0</v>
      </c>
    </row>
    <row r="98" spans="3:30" x14ac:dyDescent="0.3">
      <c r="C98">
        <f t="shared" si="22"/>
        <v>10</v>
      </c>
      <c r="D98" s="37">
        <v>45931</v>
      </c>
      <c r="E98">
        <v>0</v>
      </c>
      <c r="F98">
        <f t="shared" si="18"/>
        <v>0</v>
      </c>
      <c r="K98" s="37"/>
      <c r="L98"/>
      <c r="N98" t="str">
        <f t="shared" si="20"/>
        <v/>
      </c>
      <c r="O98">
        <f t="shared" si="21"/>
        <v>0</v>
      </c>
      <c r="P98">
        <f>IF(IF(ISERROR(MATCH(K98,Rotation_Reset_Dates[Date],0)),0,1)=1,1,IF(ISBLANK(K98),"",IF(OR(rotationDays=1,K98&lt;First_Instructional_Day1),0,IF(AND(rotationDays&gt;1,K98=First_Instructional_Day1),1,IF(P97+IF(OR(N97="Instructional",N97="Not Scheduled"),1,0)&gt;rotationDays,1,P97+IF(OR(N97="Instructional",N97="Not Scheduled"),1,0))))))</f>
        <v>1</v>
      </c>
      <c r="Q98" t="str">
        <f t="shared" si="19"/>
        <v/>
      </c>
      <c r="R98" t="str">
        <f>IF(ISBLANK(K98),"",IF(N98="Operational (no students)",99,IF(N98="Instructional",IF(rotationDays=1,Q98,P98),_xlfn.XLOOKUP(N98,TimeTable_Codes[Description],TimeTable_Codes[TimetableCode]))))</f>
        <v/>
      </c>
      <c r="S98" t="str">
        <f>IF(NOT(ISBLANK(K98)),VLOOKUP(K98,term_lookups[],2),"")</f>
        <v/>
      </c>
      <c r="T98" cm="1">
        <f t="array" ref="T98">IF(ISBLANK(K98),0,_xlfn.XLOOKUP(R98&amp;S98,Daily_Totals[Day]&amp;Daily_Totals[Term],Daily_Totals[Instruction]))</f>
        <v>0</v>
      </c>
      <c r="U98" cm="1">
        <f t="array" ref="U98">IF(ISBLANK(K98),0,_xlfn.XLOOKUP(R98&amp;S98,Daily_Totals[Day]&amp;Daily_Totals[Term],Daily_Totals[Non-Instruction]))</f>
        <v>0</v>
      </c>
    </row>
    <row r="99" spans="3:30" x14ac:dyDescent="0.3">
      <c r="C99">
        <f t="shared" si="22"/>
        <v>10</v>
      </c>
      <c r="D99" s="37">
        <v>45932</v>
      </c>
      <c r="E99">
        <v>0</v>
      </c>
      <c r="F99">
        <f t="shared" si="18"/>
        <v>0</v>
      </c>
      <c r="K99" s="37"/>
      <c r="L99"/>
      <c r="N99" t="str">
        <f t="shared" si="20"/>
        <v/>
      </c>
      <c r="O99">
        <f t="shared" si="21"/>
        <v>0</v>
      </c>
      <c r="P99">
        <f>IF(IF(ISERROR(MATCH(K99,Rotation_Reset_Dates[Date],0)),0,1)=1,1,IF(ISBLANK(K99),"",IF(OR(rotationDays=1,K99&lt;First_Instructional_Day1),0,IF(AND(rotationDays&gt;1,K99=First_Instructional_Day1),1,IF(P98+IF(OR(N98="Instructional",N98="Not Scheduled"),1,0)&gt;rotationDays,1,P98+IF(OR(N98="Instructional",N98="Not Scheduled"),1,0))))))</f>
        <v>1</v>
      </c>
      <c r="Q99" t="str">
        <f t="shared" si="19"/>
        <v/>
      </c>
      <c r="R99" t="str">
        <f>IF(ISBLANK(K99),"",IF(N99="Operational (no students)",99,IF(N99="Instructional",IF(rotationDays=1,Q99,P99),_xlfn.XLOOKUP(N99,TimeTable_Codes[Description],TimeTable_Codes[TimetableCode]))))</f>
        <v/>
      </c>
      <c r="S99" t="str">
        <f>IF(NOT(ISBLANK(K99)),VLOOKUP(K99,term_lookups[],2),"")</f>
        <v/>
      </c>
      <c r="T99" cm="1">
        <f t="array" ref="T99">IF(ISBLANK(K99),0,_xlfn.XLOOKUP(R99&amp;S99,Daily_Totals[Day]&amp;Daily_Totals[Term],Daily_Totals[Instruction]))</f>
        <v>0</v>
      </c>
      <c r="U99" cm="1">
        <f t="array" ref="U99">IF(ISBLANK(K99),0,_xlfn.XLOOKUP(R99&amp;S99,Daily_Totals[Day]&amp;Daily_Totals[Term],Daily_Totals[Non-Instruction]))</f>
        <v>0</v>
      </c>
    </row>
    <row r="100" spans="3:30" x14ac:dyDescent="0.3">
      <c r="C100">
        <f t="shared" si="22"/>
        <v>10</v>
      </c>
      <c r="D100" s="37">
        <v>45933</v>
      </c>
      <c r="E100">
        <v>0</v>
      </c>
      <c r="F100">
        <f t="shared" si="18"/>
        <v>0</v>
      </c>
      <c r="K100" s="37"/>
      <c r="L100"/>
      <c r="N100" t="str">
        <f t="shared" si="20"/>
        <v/>
      </c>
      <c r="O100">
        <f t="shared" si="21"/>
        <v>0</v>
      </c>
      <c r="P100">
        <f>IF(IF(ISERROR(MATCH(K100,Rotation_Reset_Dates[Date],0)),0,1)=1,1,IF(ISBLANK(K100),"",IF(OR(rotationDays=1,K100&lt;First_Instructional_Day1),0,IF(AND(rotationDays&gt;1,K100=First_Instructional_Day1),1,IF(P99+IF(OR(N99="Instructional",N99="Not Scheduled"),1,0)&gt;rotationDays,1,P99+IF(OR(N99="Instructional",N99="Not Scheduled"),1,0))))))</f>
        <v>1</v>
      </c>
      <c r="Q100" t="str">
        <f t="shared" si="19"/>
        <v/>
      </c>
      <c r="R100" t="str">
        <f>IF(ISBLANK(K100),"",IF(N100="Operational (no students)",99,IF(N100="Instructional",IF(rotationDays=1,Q100,P100),_xlfn.XLOOKUP(N100,TimeTable_Codes[Description],TimeTable_Codes[TimetableCode]))))</f>
        <v/>
      </c>
      <c r="S100" t="str">
        <f>IF(NOT(ISBLANK(K100)),VLOOKUP(K100,term_lookups[],2),"")</f>
        <v/>
      </c>
      <c r="T100" cm="1">
        <f t="array" ref="T100">IF(ISBLANK(K100),0,_xlfn.XLOOKUP(R100&amp;S100,Daily_Totals[Day]&amp;Daily_Totals[Term],Daily_Totals[Instruction]))</f>
        <v>0</v>
      </c>
      <c r="U100" cm="1">
        <f t="array" ref="U100">IF(ISBLANK(K100),0,_xlfn.XLOOKUP(R100&amp;S100,Daily_Totals[Day]&amp;Daily_Totals[Term],Daily_Totals[Non-Instruction]))</f>
        <v>0</v>
      </c>
    </row>
    <row r="101" spans="3:30" x14ac:dyDescent="0.3">
      <c r="C101">
        <f t="shared" si="22"/>
        <v>10</v>
      </c>
      <c r="D101" s="37">
        <v>45934</v>
      </c>
      <c r="E101">
        <v>0</v>
      </c>
      <c r="F101">
        <f t="shared" si="18"/>
        <v>0</v>
      </c>
      <c r="K101" s="37"/>
      <c r="L101"/>
      <c r="N101" t="str">
        <f t="shared" si="20"/>
        <v/>
      </c>
      <c r="O101">
        <f t="shared" si="21"/>
        <v>0</v>
      </c>
      <c r="P101">
        <f>IF(IF(ISERROR(MATCH(K101,Rotation_Reset_Dates[Date],0)),0,1)=1,1,IF(ISBLANK(K101),"",IF(OR(rotationDays=1,K101&lt;First_Instructional_Day1),0,IF(AND(rotationDays&gt;1,K101=First_Instructional_Day1),1,IF(P100+IF(OR(N100="Instructional",N100="Not Scheduled"),1,0)&gt;rotationDays,1,P100+IF(OR(N100="Instructional",N100="Not Scheduled"),1,0))))))</f>
        <v>1</v>
      </c>
      <c r="Q101" t="str">
        <f t="shared" si="19"/>
        <v/>
      </c>
      <c r="R101" t="str">
        <f>IF(ISBLANK(K101),"",IF(N101="Operational (no students)",99,IF(N101="Instructional",IF(rotationDays=1,Q101,P101),_xlfn.XLOOKUP(N101,TimeTable_Codes[Description],TimeTable_Codes[TimetableCode]))))</f>
        <v/>
      </c>
      <c r="S101" t="str">
        <f>IF(NOT(ISBLANK(K101)),VLOOKUP(K101,term_lookups[],2),"")</f>
        <v/>
      </c>
      <c r="T101" cm="1">
        <f t="array" ref="T101">IF(ISBLANK(K101),0,_xlfn.XLOOKUP(R101&amp;S101,Daily_Totals[Day]&amp;Daily_Totals[Term],Daily_Totals[Instruction]))</f>
        <v>0</v>
      </c>
      <c r="U101" cm="1">
        <f t="array" ref="U101">IF(ISBLANK(K101),0,_xlfn.XLOOKUP(R101&amp;S101,Daily_Totals[Day]&amp;Daily_Totals[Term],Daily_Totals[Non-Instruction]))</f>
        <v>0</v>
      </c>
      <c r="AC101" t="s">
        <v>4066</v>
      </c>
      <c r="AD101" t="s">
        <v>4067</v>
      </c>
    </row>
    <row r="102" spans="3:30" x14ac:dyDescent="0.3">
      <c r="C102">
        <f t="shared" si="22"/>
        <v>10</v>
      </c>
      <c r="D102" s="37" cm="1">
        <f t="array" ref="D102:D108">TRANSPOSE(Calendar!B47:H47)</f>
        <v>45935</v>
      </c>
      <c r="E102" cm="1">
        <f t="array" ref="E102:E108">TRANSPOSE(Calendar!B48:H48)</f>
        <v>0</v>
      </c>
      <c r="F102">
        <f t="shared" si="18"/>
        <v>0</v>
      </c>
      <c r="K102" s="37"/>
      <c r="L102"/>
      <c r="N102" t="str">
        <f t="shared" si="20"/>
        <v/>
      </c>
      <c r="O102">
        <f t="shared" si="21"/>
        <v>0</v>
      </c>
      <c r="P102">
        <f>IF(IF(ISERROR(MATCH(K102,Rotation_Reset_Dates[Date],0)),0,1)=1,1,IF(ISBLANK(K102),"",IF(OR(rotationDays=1,K102&lt;First_Instructional_Day1),0,IF(AND(rotationDays&gt;1,K102=First_Instructional_Day1),1,IF(P101+IF(OR(N101="Instructional",N101="Not Scheduled"),1,0)&gt;rotationDays,1,P101+IF(OR(N101="Instructional",N101="Not Scheduled"),1,0))))))</f>
        <v>1</v>
      </c>
      <c r="Q102" t="str">
        <f t="shared" si="19"/>
        <v/>
      </c>
      <c r="R102" t="str">
        <f>IF(ISBLANK(K102),"",IF(N102="Operational (no students)",99,IF(N102="Instructional",IF(rotationDays=1,Q102,P102),_xlfn.XLOOKUP(N102,TimeTable_Codes[Description],TimeTable_Codes[TimetableCode]))))</f>
        <v/>
      </c>
      <c r="S102" t="str">
        <f>IF(NOT(ISBLANK(K102)),VLOOKUP(K102,term_lookups[],2),"")</f>
        <v/>
      </c>
      <c r="T102" cm="1">
        <f t="array" ref="T102">IF(ISBLANK(K102),0,_xlfn.XLOOKUP(R102&amp;S102,Daily_Totals[Day]&amp;Daily_Totals[Term],Daily_Totals[Instruction]))</f>
        <v>0</v>
      </c>
      <c r="U102" cm="1">
        <f t="array" ref="U102">IF(ISBLANK(K102),0,_xlfn.XLOOKUP(R102&amp;S102,Daily_Totals[Day]&amp;Daily_Totals[Term],Daily_Totals[Non-Instruction]))</f>
        <v>0</v>
      </c>
      <c r="AC102" t="s">
        <v>22</v>
      </c>
      <c r="AD102">
        <v>90</v>
      </c>
    </row>
    <row r="103" spans="3:30" x14ac:dyDescent="0.3">
      <c r="C103">
        <f t="shared" si="22"/>
        <v>10</v>
      </c>
      <c r="D103" s="37">
        <v>45936</v>
      </c>
      <c r="E103">
        <v>0</v>
      </c>
      <c r="F103">
        <f t="shared" si="18"/>
        <v>0</v>
      </c>
      <c r="K103" s="37"/>
      <c r="L103"/>
      <c r="N103" t="str">
        <f t="shared" si="20"/>
        <v/>
      </c>
      <c r="O103">
        <f t="shared" si="21"/>
        <v>0</v>
      </c>
      <c r="P103">
        <f>IF(IF(ISERROR(MATCH(K103,Rotation_Reset_Dates[Date],0)),0,1)=1,1,IF(ISBLANK(K103),"",IF(OR(rotationDays=1,K103&lt;First_Instructional_Day1),0,IF(AND(rotationDays&gt;1,K103=First_Instructional_Day1),1,IF(P102+IF(OR(N102="Instructional",N102="Not Scheduled"),1,0)&gt;rotationDays,1,P102+IF(OR(N102="Instructional",N102="Not Scheduled"),1,0))))))</f>
        <v>1</v>
      </c>
      <c r="Q103" t="str">
        <f t="shared" si="19"/>
        <v/>
      </c>
      <c r="R103" t="str">
        <f>IF(ISBLANK(K103),"",IF(N103="Operational (no students)",99,IF(N103="Instructional",IF(rotationDays=1,Q103,P103),_xlfn.XLOOKUP(N103,TimeTable_Codes[Description],TimeTable_Codes[TimetableCode]))))</f>
        <v/>
      </c>
      <c r="S103" t="str">
        <f>IF(NOT(ISBLANK(K103)),VLOOKUP(K103,term_lookups[],2),"")</f>
        <v/>
      </c>
      <c r="T103" cm="1">
        <f t="array" ref="T103">IF(ISBLANK(K103),0,_xlfn.XLOOKUP(R103&amp;S103,Daily_Totals[Day]&amp;Daily_Totals[Term],Daily_Totals[Instruction]))</f>
        <v>0</v>
      </c>
      <c r="U103" cm="1">
        <f t="array" ref="U103">IF(ISBLANK(K103),0,_xlfn.XLOOKUP(R103&amp;S103,Daily_Totals[Day]&amp;Daily_Totals[Term],Daily_Totals[Non-Instruction]))</f>
        <v>0</v>
      </c>
      <c r="AC103" t="s">
        <v>23</v>
      </c>
      <c r="AD103">
        <v>91</v>
      </c>
    </row>
    <row r="104" spans="3:30" x14ac:dyDescent="0.3">
      <c r="C104">
        <f t="shared" si="22"/>
        <v>10</v>
      </c>
      <c r="D104" s="37">
        <v>45937</v>
      </c>
      <c r="E104">
        <v>0</v>
      </c>
      <c r="F104">
        <f t="shared" si="18"/>
        <v>0</v>
      </c>
      <c r="K104" s="37"/>
      <c r="L104"/>
      <c r="N104" t="str">
        <f t="shared" si="20"/>
        <v/>
      </c>
      <c r="O104">
        <f t="shared" si="21"/>
        <v>0</v>
      </c>
      <c r="P104">
        <f>IF(IF(ISERROR(MATCH(K104,Rotation_Reset_Dates[Date],0)),0,1)=1,1,IF(ISBLANK(K104),"",IF(OR(rotationDays=1,K104&lt;First_Instructional_Day1),0,IF(AND(rotationDays&gt;1,K104=First_Instructional_Day1),1,IF(P103+IF(OR(N103="Instructional",N103="Not Scheduled"),1,0)&gt;rotationDays,1,P103+IF(OR(N103="Instructional",N103="Not Scheduled"),1,0))))))</f>
        <v>1</v>
      </c>
      <c r="Q104" t="str">
        <f t="shared" si="19"/>
        <v/>
      </c>
      <c r="R104" t="str">
        <f>IF(ISBLANK(K104),"",IF(N104="Operational (no students)",99,IF(N104="Instructional",IF(rotationDays=1,Q104,P104),_xlfn.XLOOKUP(N104,TimeTable_Codes[Description],TimeTable_Codes[TimetableCode]))))</f>
        <v/>
      </c>
      <c r="S104" t="str">
        <f>IF(NOT(ISBLANK(K104)),VLOOKUP(K104,term_lookups[],2),"")</f>
        <v/>
      </c>
      <c r="T104" cm="1">
        <f t="array" ref="T104">IF(ISBLANK(K104),0,_xlfn.XLOOKUP(R104&amp;S104,Daily_Totals[Day]&amp;Daily_Totals[Term],Daily_Totals[Instruction]))</f>
        <v>0</v>
      </c>
      <c r="U104" cm="1">
        <f t="array" ref="U104">IF(ISBLANK(K104),0,_xlfn.XLOOKUP(R104&amp;S104,Daily_Totals[Day]&amp;Daily_Totals[Term],Daily_Totals[Non-Instruction]))</f>
        <v>0</v>
      </c>
      <c r="AC104" t="s">
        <v>24</v>
      </c>
      <c r="AD104">
        <v>92</v>
      </c>
    </row>
    <row r="105" spans="3:30" x14ac:dyDescent="0.3">
      <c r="C105">
        <f t="shared" si="22"/>
        <v>10</v>
      </c>
      <c r="D105" s="37">
        <v>45938</v>
      </c>
      <c r="E105">
        <v>0</v>
      </c>
      <c r="F105">
        <f t="shared" si="18"/>
        <v>0</v>
      </c>
      <c r="K105" s="37"/>
      <c r="L105"/>
      <c r="N105" t="str">
        <f t="shared" si="20"/>
        <v/>
      </c>
      <c r="O105">
        <f t="shared" si="21"/>
        <v>0</v>
      </c>
      <c r="P105">
        <f>IF(IF(ISERROR(MATCH(K105,Rotation_Reset_Dates[Date],0)),0,1)=1,1,IF(ISBLANK(K105),"",IF(OR(rotationDays=1,K105&lt;First_Instructional_Day1),0,IF(AND(rotationDays&gt;1,K105=First_Instructional_Day1),1,IF(P104+IF(OR(N104="Instructional",N104="Not Scheduled"),1,0)&gt;rotationDays,1,P104+IF(OR(N104="Instructional",N104="Not Scheduled"),1,0))))))</f>
        <v>1</v>
      </c>
      <c r="Q105" t="str">
        <f t="shared" si="19"/>
        <v/>
      </c>
      <c r="R105" t="str">
        <f>IF(ISBLANK(K105),"",IF(N105="Operational (no students)",99,IF(N105="Instructional",IF(rotationDays=1,Q105,P105),_xlfn.XLOOKUP(N105,TimeTable_Codes[Description],TimeTable_Codes[TimetableCode]))))</f>
        <v/>
      </c>
      <c r="S105" t="str">
        <f>IF(NOT(ISBLANK(K105)),VLOOKUP(K105,term_lookups[],2),"")</f>
        <v/>
      </c>
      <c r="T105" cm="1">
        <f t="array" ref="T105">IF(ISBLANK(K105),0,_xlfn.XLOOKUP(R105&amp;S105,Daily_Totals[Day]&amp;Daily_Totals[Term],Daily_Totals[Instruction]))</f>
        <v>0</v>
      </c>
      <c r="U105" cm="1">
        <f t="array" ref="U105">IF(ISBLANK(K105),0,_xlfn.XLOOKUP(R105&amp;S105,Daily_Totals[Day]&amp;Daily_Totals[Term],Daily_Totals[Non-Instruction]))</f>
        <v>0</v>
      </c>
      <c r="AC105" t="s">
        <v>4133</v>
      </c>
      <c r="AD105">
        <v>93</v>
      </c>
    </row>
    <row r="106" spans="3:30" x14ac:dyDescent="0.3">
      <c r="C106">
        <f t="shared" si="22"/>
        <v>10</v>
      </c>
      <c r="D106" s="37">
        <v>45939</v>
      </c>
      <c r="E106">
        <v>0</v>
      </c>
      <c r="F106">
        <f t="shared" si="18"/>
        <v>0</v>
      </c>
      <c r="K106" s="37"/>
      <c r="L106"/>
      <c r="N106" t="str">
        <f t="shared" si="20"/>
        <v/>
      </c>
      <c r="O106">
        <f t="shared" si="21"/>
        <v>0</v>
      </c>
      <c r="P106">
        <f>IF(IF(ISERROR(MATCH(K106,Rotation_Reset_Dates[Date],0)),0,1)=1,1,IF(ISBLANK(K106),"",IF(OR(rotationDays=1,K106&lt;First_Instructional_Day1),0,IF(AND(rotationDays&gt;1,K106=First_Instructional_Day1),1,IF(P105+IF(OR(N105="Instructional",N105="Not Scheduled"),1,0)&gt;rotationDays,1,P105+IF(OR(N105="Instructional",N105="Not Scheduled"),1,0))))))</f>
        <v>1</v>
      </c>
      <c r="Q106" t="str">
        <f t="shared" si="19"/>
        <v/>
      </c>
      <c r="R106" t="str">
        <f>IF(ISBLANK(K106),"",IF(N106="Operational (no students)",99,IF(N106="Instructional",IF(rotationDays=1,Q106,P106),_xlfn.XLOOKUP(N106,TimeTable_Codes[Description],TimeTable_Codes[TimetableCode]))))</f>
        <v/>
      </c>
      <c r="S106" t="str">
        <f>IF(NOT(ISBLANK(K106)),VLOOKUP(K106,term_lookups[],2),"")</f>
        <v/>
      </c>
      <c r="T106" cm="1">
        <f t="array" ref="T106">IF(ISBLANK(K106),0,_xlfn.XLOOKUP(R106&amp;S106,Daily_Totals[Day]&amp;Daily_Totals[Term],Daily_Totals[Instruction]))</f>
        <v>0</v>
      </c>
      <c r="U106" cm="1">
        <f t="array" ref="U106">IF(ISBLANK(K106),0,_xlfn.XLOOKUP(R106&amp;S106,Daily_Totals[Day]&amp;Daily_Totals[Term],Daily_Totals[Non-Instruction]))</f>
        <v>0</v>
      </c>
      <c r="AC106" t="s">
        <v>4134</v>
      </c>
      <c r="AD106">
        <v>94</v>
      </c>
    </row>
    <row r="107" spans="3:30" x14ac:dyDescent="0.3">
      <c r="C107">
        <f t="shared" si="22"/>
        <v>10</v>
      </c>
      <c r="D107" s="37">
        <v>45940</v>
      </c>
      <c r="E107">
        <v>0</v>
      </c>
      <c r="F107">
        <f t="shared" si="18"/>
        <v>0</v>
      </c>
      <c r="K107" s="37"/>
      <c r="L107"/>
      <c r="N107" t="str">
        <f t="shared" si="20"/>
        <v/>
      </c>
      <c r="O107">
        <f t="shared" si="21"/>
        <v>0</v>
      </c>
      <c r="P107">
        <f>IF(IF(ISERROR(MATCH(K107,Rotation_Reset_Dates[Date],0)),0,1)=1,1,IF(ISBLANK(K107),"",IF(OR(rotationDays=1,K107&lt;First_Instructional_Day1),0,IF(AND(rotationDays&gt;1,K107=First_Instructional_Day1),1,IF(P106+IF(OR(N106="Instructional",N106="Not Scheduled"),1,0)&gt;rotationDays,1,P106+IF(OR(N106="Instructional",N106="Not Scheduled"),1,0))))))</f>
        <v>1</v>
      </c>
      <c r="Q107" t="str">
        <f t="shared" si="19"/>
        <v/>
      </c>
      <c r="R107" t="str">
        <f>IF(ISBLANK(K107),"",IF(N107="Operational (no students)",99,IF(N107="Instructional",IF(rotationDays=1,Q107,P107),_xlfn.XLOOKUP(N107,TimeTable_Codes[Description],TimeTable_Codes[TimetableCode]))))</f>
        <v/>
      </c>
      <c r="S107" t="str">
        <f>IF(NOT(ISBLANK(K107)),VLOOKUP(K107,term_lookups[],2),"")</f>
        <v/>
      </c>
      <c r="T107" cm="1">
        <f t="array" ref="T107">IF(ISBLANK(K107),0,_xlfn.XLOOKUP(R107&amp;S107,Daily_Totals[Day]&amp;Daily_Totals[Term],Daily_Totals[Instruction]))</f>
        <v>0</v>
      </c>
      <c r="U107" cm="1">
        <f t="array" ref="U107">IF(ISBLANK(K107),0,_xlfn.XLOOKUP(R107&amp;S107,Daily_Totals[Day]&amp;Daily_Totals[Term],Daily_Totals[Non-Instruction]))</f>
        <v>0</v>
      </c>
      <c r="AC107" t="s">
        <v>4135</v>
      </c>
      <c r="AD107">
        <v>95</v>
      </c>
    </row>
    <row r="108" spans="3:30" x14ac:dyDescent="0.3">
      <c r="C108">
        <f t="shared" si="22"/>
        <v>10</v>
      </c>
      <c r="D108" s="37">
        <v>45941</v>
      </c>
      <c r="E108">
        <v>0</v>
      </c>
      <c r="F108">
        <f t="shared" si="18"/>
        <v>0</v>
      </c>
      <c r="K108" s="37"/>
      <c r="L108"/>
      <c r="N108" t="str">
        <f t="shared" si="20"/>
        <v/>
      </c>
      <c r="O108">
        <f t="shared" si="21"/>
        <v>0</v>
      </c>
      <c r="P108">
        <f>IF(IF(ISERROR(MATCH(K108,Rotation_Reset_Dates[Date],0)),0,1)=1,1,IF(ISBLANK(K108),"",IF(OR(rotationDays=1,K108&lt;First_Instructional_Day1),0,IF(AND(rotationDays&gt;1,K108=First_Instructional_Day1),1,IF(P107+IF(OR(N107="Instructional",N107="Not Scheduled"),1,0)&gt;rotationDays,1,P107+IF(OR(N107="Instructional",N107="Not Scheduled"),1,0))))))</f>
        <v>1</v>
      </c>
      <c r="Q108" t="str">
        <f t="shared" si="19"/>
        <v/>
      </c>
      <c r="R108" t="str">
        <f>IF(ISBLANK(K108),"",IF(N108="Operational (no students)",99,IF(N108="Instructional",IF(rotationDays=1,Q108,P108),_xlfn.XLOOKUP(N108,TimeTable_Codes[Description],TimeTable_Codes[TimetableCode]))))</f>
        <v/>
      </c>
      <c r="S108" t="str">
        <f>IF(NOT(ISBLANK(K108)),VLOOKUP(K108,term_lookups[],2),"")</f>
        <v/>
      </c>
      <c r="T108" cm="1">
        <f t="array" ref="T108">IF(ISBLANK(K108),0,_xlfn.XLOOKUP(R108&amp;S108,Daily_Totals[Day]&amp;Daily_Totals[Term],Daily_Totals[Instruction]))</f>
        <v>0</v>
      </c>
      <c r="U108" cm="1">
        <f t="array" ref="U108">IF(ISBLANK(K108),0,_xlfn.XLOOKUP(R108&amp;S108,Daily_Totals[Day]&amp;Daily_Totals[Term],Daily_Totals[Non-Instruction]))</f>
        <v>0</v>
      </c>
      <c r="AC108" t="s">
        <v>25</v>
      </c>
      <c r="AD108">
        <v>96</v>
      </c>
    </row>
    <row r="109" spans="3:30" x14ac:dyDescent="0.3">
      <c r="C109">
        <f t="shared" si="22"/>
        <v>10</v>
      </c>
      <c r="D109" s="37" cm="1">
        <f t="array" ref="D109:D115">TRANSPOSE(Calendar!B49:H49)</f>
        <v>45942</v>
      </c>
      <c r="E109" cm="1">
        <f t="array" ref="E109:E115">TRANSPOSE(Calendar!B50:H50)</f>
        <v>0</v>
      </c>
      <c r="F109">
        <f t="shared" si="18"/>
        <v>0</v>
      </c>
      <c r="K109" s="37"/>
      <c r="L109"/>
      <c r="N109" t="str">
        <f t="shared" si="20"/>
        <v/>
      </c>
      <c r="O109">
        <f t="shared" si="21"/>
        <v>0</v>
      </c>
      <c r="P109">
        <f>IF(IF(ISERROR(MATCH(K109,Rotation_Reset_Dates[Date],0)),0,1)=1,1,IF(ISBLANK(K109),"",IF(OR(rotationDays=1,K109&lt;First_Instructional_Day1),0,IF(AND(rotationDays&gt;1,K109=First_Instructional_Day1),1,IF(P108+IF(OR(N108="Instructional",N108="Not Scheduled"),1,0)&gt;rotationDays,1,P108+IF(OR(N108="Instructional",N108="Not Scheduled"),1,0))))))</f>
        <v>1</v>
      </c>
      <c r="Q109" t="str">
        <f t="shared" si="19"/>
        <v/>
      </c>
      <c r="R109" t="str">
        <f>IF(ISBLANK(K109),"",IF(N109="Operational (no students)",99,IF(N109="Instructional",IF(rotationDays=1,Q109,P109),_xlfn.XLOOKUP(N109,TimeTable_Codes[Description],TimeTable_Codes[TimetableCode]))))</f>
        <v/>
      </c>
      <c r="S109" t="str">
        <f>IF(NOT(ISBLANK(K109)),VLOOKUP(K109,term_lookups[],2),"")</f>
        <v/>
      </c>
      <c r="T109" cm="1">
        <f t="array" ref="T109">IF(ISBLANK(K109),0,_xlfn.XLOOKUP(R109&amp;S109,Daily_Totals[Day]&amp;Daily_Totals[Term],Daily_Totals[Instruction]))</f>
        <v>0</v>
      </c>
      <c r="U109" cm="1">
        <f t="array" ref="U109">IF(ISBLANK(K109),0,_xlfn.XLOOKUP(R109&amp;S109,Daily_Totals[Day]&amp;Daily_Totals[Term],Daily_Totals[Non-Instruction]))</f>
        <v>0</v>
      </c>
      <c r="AC109" t="s">
        <v>26</v>
      </c>
      <c r="AD109">
        <v>97</v>
      </c>
    </row>
    <row r="110" spans="3:30" x14ac:dyDescent="0.3">
      <c r="C110">
        <f t="shared" si="22"/>
        <v>10</v>
      </c>
      <c r="D110" s="37">
        <v>45943</v>
      </c>
      <c r="E110" t="str">
        <v>Closed (non-operational)</v>
      </c>
      <c r="F110">
        <f t="shared" si="18"/>
        <v>0</v>
      </c>
      <c r="K110" s="37"/>
      <c r="L110"/>
      <c r="N110" t="str">
        <f t="shared" si="20"/>
        <v/>
      </c>
      <c r="O110">
        <f t="shared" si="21"/>
        <v>0</v>
      </c>
      <c r="P110">
        <f>IF(IF(ISERROR(MATCH(K110,Rotation_Reset_Dates[Date],0)),0,1)=1,1,IF(ISBLANK(K110),"",IF(OR(rotationDays=1,K110&lt;First_Instructional_Day1),0,IF(AND(rotationDays&gt;1,K110=First_Instructional_Day1),1,IF(P109+IF(OR(N109="Instructional",N109="Not Scheduled"),1,0)&gt;rotationDays,1,P109+IF(OR(N109="Instructional",N109="Not Scheduled"),1,0))))))</f>
        <v>1</v>
      </c>
      <c r="Q110" t="str">
        <f t="shared" si="19"/>
        <v/>
      </c>
      <c r="R110" t="str">
        <f>IF(ISBLANK(K110),"",IF(N110="Operational (no students)",99,IF(N110="Instructional",IF(rotationDays=1,Q110,P110),_xlfn.XLOOKUP(N110,TimeTable_Codes[Description],TimeTable_Codes[TimetableCode]))))</f>
        <v/>
      </c>
      <c r="S110" t="str">
        <f>IF(NOT(ISBLANK(K110)),VLOOKUP(K110,term_lookups[],2),"")</f>
        <v/>
      </c>
      <c r="T110" cm="1">
        <f t="array" ref="T110">IF(ISBLANK(K110),0,_xlfn.XLOOKUP(R110&amp;S110,Daily_Totals[Day]&amp;Daily_Totals[Term],Daily_Totals[Instruction]))</f>
        <v>0</v>
      </c>
      <c r="U110" cm="1">
        <f t="array" ref="U110">IF(ISBLANK(K110),0,_xlfn.XLOOKUP(R110&amp;S110,Daily_Totals[Day]&amp;Daily_Totals[Term],Daily_Totals[Non-Instruction]))</f>
        <v>0</v>
      </c>
      <c r="AC110" t="s">
        <v>27</v>
      </c>
      <c r="AD110">
        <v>98</v>
      </c>
    </row>
    <row r="111" spans="3:30" x14ac:dyDescent="0.3">
      <c r="C111">
        <f t="shared" si="22"/>
        <v>10</v>
      </c>
      <c r="D111" s="37">
        <v>45944</v>
      </c>
      <c r="E111">
        <v>0</v>
      </c>
      <c r="F111">
        <f t="shared" si="18"/>
        <v>0</v>
      </c>
      <c r="K111" s="37"/>
      <c r="L111"/>
      <c r="N111" t="str">
        <f t="shared" si="20"/>
        <v/>
      </c>
      <c r="O111">
        <f t="shared" si="21"/>
        <v>0</v>
      </c>
      <c r="P111">
        <f>IF(IF(ISERROR(MATCH(K111,Rotation_Reset_Dates[Date],0)),0,1)=1,1,IF(ISBLANK(K111),"",IF(OR(rotationDays=1,K111&lt;First_Instructional_Day1),0,IF(AND(rotationDays&gt;1,K111=First_Instructional_Day1),1,IF(P110+IF(OR(N110="Instructional",N110="Not Scheduled"),1,0)&gt;rotationDays,1,P110+IF(OR(N110="Instructional",N110="Not Scheduled"),1,0))))))</f>
        <v>1</v>
      </c>
      <c r="Q111" t="str">
        <f t="shared" si="19"/>
        <v/>
      </c>
      <c r="R111" t="str">
        <f>IF(ISBLANK(K111),"",IF(N111="Operational (no students)",99,IF(N111="Instructional",IF(rotationDays=1,Q111,P111),_xlfn.XLOOKUP(N111,TimeTable_Codes[Description],TimeTable_Codes[TimetableCode]))))</f>
        <v/>
      </c>
      <c r="S111" t="str">
        <f>IF(NOT(ISBLANK(K111)),VLOOKUP(K111,term_lookups[],2),"")</f>
        <v/>
      </c>
      <c r="T111" cm="1">
        <f t="array" ref="T111">IF(ISBLANK(K111),0,_xlfn.XLOOKUP(R111&amp;S111,Daily_Totals[Day]&amp;Daily_Totals[Term],Daily_Totals[Instruction]))</f>
        <v>0</v>
      </c>
      <c r="U111" cm="1">
        <f t="array" ref="U111">IF(ISBLANK(K111),0,_xlfn.XLOOKUP(R111&amp;S111,Daily_Totals[Day]&amp;Daily_Totals[Term],Daily_Totals[Non-Instruction]))</f>
        <v>0</v>
      </c>
      <c r="AC111" t="s">
        <v>4139</v>
      </c>
      <c r="AD111">
        <v>99</v>
      </c>
    </row>
    <row r="112" spans="3:30" x14ac:dyDescent="0.3">
      <c r="C112">
        <f t="shared" si="22"/>
        <v>10</v>
      </c>
      <c r="D112" s="37">
        <v>45945</v>
      </c>
      <c r="E112">
        <v>0</v>
      </c>
      <c r="F112">
        <f t="shared" si="18"/>
        <v>0</v>
      </c>
      <c r="K112" s="37"/>
      <c r="L112"/>
      <c r="N112" t="str">
        <f t="shared" si="20"/>
        <v/>
      </c>
      <c r="O112">
        <f t="shared" si="21"/>
        <v>0</v>
      </c>
      <c r="P112">
        <f>IF(IF(ISERROR(MATCH(K112,Rotation_Reset_Dates[Date],0)),0,1)=1,1,IF(ISBLANK(K112),"",IF(OR(rotationDays=1,K112&lt;First_Instructional_Day1),0,IF(AND(rotationDays&gt;1,K112=First_Instructional_Day1),1,IF(P111+IF(OR(N111="Instructional",N111="Not Scheduled"),1,0)&gt;rotationDays,1,P111+IF(OR(N111="Instructional",N111="Not Scheduled"),1,0))))))</f>
        <v>1</v>
      </c>
      <c r="Q112" t="str">
        <f t="shared" si="19"/>
        <v/>
      </c>
      <c r="R112" t="str">
        <f>IF(ISBLANK(K112),"",IF(N112="Operational (no students)",99,IF(N112="Instructional",IF(rotationDays=1,Q112,P112),_xlfn.XLOOKUP(N112,TimeTable_Codes[Description],TimeTable_Codes[TimetableCode]))))</f>
        <v/>
      </c>
      <c r="S112" t="str">
        <f>IF(NOT(ISBLANK(K112)),VLOOKUP(K112,term_lookups[],2),"")</f>
        <v/>
      </c>
      <c r="T112" cm="1">
        <f t="array" ref="T112">IF(ISBLANK(K112),0,_xlfn.XLOOKUP(R112&amp;S112,Daily_Totals[Day]&amp;Daily_Totals[Term],Daily_Totals[Instruction]))</f>
        <v>0</v>
      </c>
      <c r="U112" cm="1">
        <f t="array" ref="U112">IF(ISBLANK(K112),0,_xlfn.XLOOKUP(R112&amp;S112,Daily_Totals[Day]&amp;Daily_Totals[Term],Daily_Totals[Non-Instruction]))</f>
        <v>0</v>
      </c>
      <c r="AC112" t="s">
        <v>4136</v>
      </c>
      <c r="AD112">
        <v>100</v>
      </c>
    </row>
    <row r="113" spans="3:32" x14ac:dyDescent="0.3">
      <c r="C113">
        <f t="shared" si="22"/>
        <v>10</v>
      </c>
      <c r="D113" s="37">
        <v>45946</v>
      </c>
      <c r="E113">
        <v>0</v>
      </c>
      <c r="F113">
        <f t="shared" si="18"/>
        <v>0</v>
      </c>
      <c r="K113" s="37"/>
      <c r="L113"/>
      <c r="N113" t="str">
        <f t="shared" si="20"/>
        <v/>
      </c>
      <c r="O113">
        <f t="shared" si="21"/>
        <v>0</v>
      </c>
      <c r="P113">
        <f>IF(IF(ISERROR(MATCH(K113,Rotation_Reset_Dates[Date],0)),0,1)=1,1,IF(ISBLANK(K113),"",IF(OR(rotationDays=1,K113&lt;First_Instructional_Day1),0,IF(AND(rotationDays&gt;1,K113=First_Instructional_Day1),1,IF(P112+IF(OR(N112="Instructional",N112="Not Scheduled"),1,0)&gt;rotationDays,1,P112+IF(OR(N112="Instructional",N112="Not Scheduled"),1,0))))))</f>
        <v>1</v>
      </c>
      <c r="Q113" t="str">
        <f t="shared" si="19"/>
        <v/>
      </c>
      <c r="R113" t="str">
        <f>IF(ISBLANK(K113),"",IF(N113="Operational (no students)",99,IF(N113="Instructional",IF(rotationDays=1,Q113,P113),_xlfn.XLOOKUP(N113,TimeTable_Codes[Description],TimeTable_Codes[TimetableCode]))))</f>
        <v/>
      </c>
      <c r="S113" t="str">
        <f>IF(NOT(ISBLANK(K113)),VLOOKUP(K113,term_lookups[],2),"")</f>
        <v/>
      </c>
      <c r="T113" cm="1">
        <f t="array" ref="T113">IF(ISBLANK(K113),0,_xlfn.XLOOKUP(R113&amp;S113,Daily_Totals[Day]&amp;Daily_Totals[Term],Daily_Totals[Instruction]))</f>
        <v>0</v>
      </c>
      <c r="U113" cm="1">
        <f t="array" ref="U113">IF(ISBLANK(K113),0,_xlfn.XLOOKUP(R113&amp;S113,Daily_Totals[Day]&amp;Daily_Totals[Term],Daily_Totals[Non-Instruction]))</f>
        <v>0</v>
      </c>
      <c r="AC113" t="s">
        <v>4104</v>
      </c>
      <c r="AD113">
        <v>101</v>
      </c>
    </row>
    <row r="114" spans="3:32" x14ac:dyDescent="0.3">
      <c r="C114">
        <f t="shared" si="22"/>
        <v>10</v>
      </c>
      <c r="D114" s="37">
        <v>45947</v>
      </c>
      <c r="E114">
        <v>0</v>
      </c>
      <c r="F114">
        <f t="shared" si="18"/>
        <v>0</v>
      </c>
      <c r="K114" s="37"/>
      <c r="L114"/>
      <c r="N114" t="str">
        <f t="shared" si="20"/>
        <v/>
      </c>
      <c r="O114">
        <f t="shared" si="21"/>
        <v>0</v>
      </c>
      <c r="P114">
        <f>IF(IF(ISERROR(MATCH(K114,Rotation_Reset_Dates[Date],0)),0,1)=1,1,IF(ISBLANK(K114),"",IF(OR(rotationDays=1,K114&lt;First_Instructional_Day1),0,IF(AND(rotationDays&gt;1,K114=First_Instructional_Day1),1,IF(P113+IF(OR(N113="Instructional",N113="Not Scheduled"),1,0)&gt;rotationDays,1,P113+IF(OR(N113="Instructional",N113="Not Scheduled"),1,0))))))</f>
        <v>1</v>
      </c>
      <c r="Q114" t="str">
        <f t="shared" si="19"/>
        <v/>
      </c>
      <c r="R114" t="str">
        <f>IF(ISBLANK(K114),"",IF(N114="Operational (no students)",99,IF(N114="Instructional",IF(rotationDays=1,Q114,P114),_xlfn.XLOOKUP(N114,TimeTable_Codes[Description],TimeTable_Codes[TimetableCode]))))</f>
        <v/>
      </c>
      <c r="S114" t="str">
        <f>IF(NOT(ISBLANK(K114)),VLOOKUP(K114,term_lookups[],2),"")</f>
        <v/>
      </c>
      <c r="T114" cm="1">
        <f t="array" ref="T114">IF(ISBLANK(K114),0,_xlfn.XLOOKUP(R114&amp;S114,Daily_Totals[Day]&amp;Daily_Totals[Term],Daily_Totals[Instruction]))</f>
        <v>0</v>
      </c>
      <c r="U114" cm="1">
        <f t="array" ref="U114">IF(ISBLANK(K114),0,_xlfn.XLOOKUP(R114&amp;S114,Daily_Totals[Day]&amp;Daily_Totals[Term],Daily_Totals[Non-Instruction]))</f>
        <v>0</v>
      </c>
    </row>
    <row r="115" spans="3:32" x14ac:dyDescent="0.3">
      <c r="C115">
        <f t="shared" si="22"/>
        <v>10</v>
      </c>
      <c r="D115" s="37">
        <v>45948</v>
      </c>
      <c r="E115">
        <v>0</v>
      </c>
      <c r="F115">
        <f t="shared" si="18"/>
        <v>0</v>
      </c>
      <c r="K115" s="37"/>
      <c r="L115"/>
      <c r="N115" t="str">
        <f t="shared" si="20"/>
        <v/>
      </c>
      <c r="O115">
        <f t="shared" si="21"/>
        <v>0</v>
      </c>
      <c r="P115">
        <f>IF(IF(ISERROR(MATCH(K115,Rotation_Reset_Dates[Date],0)),0,1)=1,1,IF(ISBLANK(K115),"",IF(OR(rotationDays=1,K115&lt;First_Instructional_Day1),0,IF(AND(rotationDays&gt;1,K115=First_Instructional_Day1),1,IF(P114+IF(OR(N114="Instructional",N114="Not Scheduled"),1,0)&gt;rotationDays,1,P114+IF(OR(N114="Instructional",N114="Not Scheduled"),1,0))))))</f>
        <v>1</v>
      </c>
      <c r="Q115" t="str">
        <f t="shared" si="19"/>
        <v/>
      </c>
      <c r="R115" t="str">
        <f>IF(ISBLANK(K115),"",IF(N115="Operational (no students)",99,IF(N115="Instructional",IF(rotationDays=1,Q115,P115),_xlfn.XLOOKUP(N115,TimeTable_Codes[Description],TimeTable_Codes[TimetableCode]))))</f>
        <v/>
      </c>
      <c r="S115" t="str">
        <f>IF(NOT(ISBLANK(K115)),VLOOKUP(K115,term_lookups[],2),"")</f>
        <v/>
      </c>
      <c r="T115" cm="1">
        <f t="array" ref="T115">IF(ISBLANK(K115),0,_xlfn.XLOOKUP(R115&amp;S115,Daily_Totals[Day]&amp;Daily_Totals[Term],Daily_Totals[Instruction]))</f>
        <v>0</v>
      </c>
      <c r="U115" cm="1">
        <f t="array" ref="U115">IF(ISBLANK(K115),0,_xlfn.XLOOKUP(R115&amp;S115,Daily_Totals[Day]&amp;Daily_Totals[Term],Daily_Totals[Non-Instruction]))</f>
        <v>0</v>
      </c>
    </row>
    <row r="116" spans="3:32" x14ac:dyDescent="0.3">
      <c r="C116">
        <f t="shared" si="22"/>
        <v>10</v>
      </c>
      <c r="D116" s="37" cm="1">
        <f t="array" ref="D116:D122">TRANSPOSE(Calendar!B51:H51)</f>
        <v>45949</v>
      </c>
      <c r="E116" cm="1">
        <f t="array" ref="E116:E122">TRANSPOSE(Calendar!B52:H52)</f>
        <v>0</v>
      </c>
      <c r="F116">
        <f t="shared" si="18"/>
        <v>0</v>
      </c>
      <c r="K116" s="37"/>
      <c r="L116"/>
      <c r="N116" t="str">
        <f t="shared" si="20"/>
        <v/>
      </c>
      <c r="O116">
        <f t="shared" si="21"/>
        <v>0</v>
      </c>
      <c r="P116">
        <f>IF(IF(ISERROR(MATCH(K116,Rotation_Reset_Dates[Date],0)),0,1)=1,1,IF(ISBLANK(K116),"",IF(OR(rotationDays=1,K116&lt;First_Instructional_Day1),0,IF(AND(rotationDays&gt;1,K116=First_Instructional_Day1),1,IF(P115+IF(OR(N115="Instructional",N115="Not Scheduled"),1,0)&gt;rotationDays,1,P115+IF(OR(N115="Instructional",N115="Not Scheduled"),1,0))))))</f>
        <v>1</v>
      </c>
      <c r="Q116" t="str">
        <f t="shared" si="19"/>
        <v/>
      </c>
      <c r="R116" t="str">
        <f>IF(ISBLANK(K116),"",IF(N116="Operational (no students)",99,IF(N116="Instructional",IF(rotationDays=1,Q116,P116),_xlfn.XLOOKUP(N116,TimeTable_Codes[Description],TimeTable_Codes[TimetableCode]))))</f>
        <v/>
      </c>
      <c r="S116" t="str">
        <f>IF(NOT(ISBLANK(K116)),VLOOKUP(K116,term_lookups[],2),"")</f>
        <v/>
      </c>
      <c r="T116" cm="1">
        <f t="array" ref="T116">IF(ISBLANK(K116),0,_xlfn.XLOOKUP(R116&amp;S116,Daily_Totals[Day]&amp;Daily_Totals[Term],Daily_Totals[Instruction]))</f>
        <v>0</v>
      </c>
      <c r="U116" cm="1">
        <f t="array" ref="U116">IF(ISBLANK(K116),0,_xlfn.XLOOKUP(R116&amp;S116,Daily_Totals[Day]&amp;Daily_Totals[Term],Daily_Totals[Non-Instruction]))</f>
        <v>0</v>
      </c>
    </row>
    <row r="117" spans="3:32" x14ac:dyDescent="0.3">
      <c r="C117">
        <f t="shared" si="22"/>
        <v>10</v>
      </c>
      <c r="D117" s="37">
        <v>45950</v>
      </c>
      <c r="E117">
        <v>0</v>
      </c>
      <c r="F117">
        <f t="shared" si="18"/>
        <v>0</v>
      </c>
      <c r="K117" s="37"/>
      <c r="L117"/>
      <c r="N117" t="str">
        <f t="shared" si="20"/>
        <v/>
      </c>
      <c r="O117">
        <f t="shared" si="21"/>
        <v>0</v>
      </c>
      <c r="P117">
        <f>IF(IF(ISERROR(MATCH(K117,Rotation_Reset_Dates[Date],0)),0,1)=1,1,IF(ISBLANK(K117),"",IF(OR(rotationDays=1,K117&lt;First_Instructional_Day1),0,IF(AND(rotationDays&gt;1,K117=First_Instructional_Day1),1,IF(P116+IF(OR(N116="Instructional",N116="Not Scheduled"),1,0)&gt;rotationDays,1,P116+IF(OR(N116="Instructional",N116="Not Scheduled"),1,0))))))</f>
        <v>1</v>
      </c>
      <c r="Q117" t="str">
        <f t="shared" si="19"/>
        <v/>
      </c>
      <c r="R117" t="str">
        <f>IF(ISBLANK(K117),"",IF(N117="Operational (no students)",99,IF(N117="Instructional",IF(rotationDays=1,Q117,P117),_xlfn.XLOOKUP(N117,TimeTable_Codes[Description],TimeTable_Codes[TimetableCode]))))</f>
        <v/>
      </c>
      <c r="S117" t="str">
        <f>IF(NOT(ISBLANK(K117)),VLOOKUP(K117,term_lookups[],2),"")</f>
        <v/>
      </c>
      <c r="T117" cm="1">
        <f t="array" ref="T117">IF(ISBLANK(K117),0,_xlfn.XLOOKUP(R117&amp;S117,Daily_Totals[Day]&amp;Daily_Totals[Term],Daily_Totals[Instruction]))</f>
        <v>0</v>
      </c>
      <c r="U117" cm="1">
        <f t="array" ref="U117">IF(ISBLANK(K117),0,_xlfn.XLOOKUP(R117&amp;S117,Daily_Totals[Day]&amp;Daily_Totals[Term],Daily_Totals[Non-Instruction]))</f>
        <v>0</v>
      </c>
    </row>
    <row r="118" spans="3:32" x14ac:dyDescent="0.3">
      <c r="C118">
        <f t="shared" si="22"/>
        <v>10</v>
      </c>
      <c r="D118" s="37">
        <v>45951</v>
      </c>
      <c r="E118">
        <v>0</v>
      </c>
      <c r="F118">
        <f t="shared" si="18"/>
        <v>0</v>
      </c>
      <c r="K118" s="37"/>
      <c r="L118"/>
      <c r="N118" t="str">
        <f t="shared" si="20"/>
        <v/>
      </c>
      <c r="O118">
        <f t="shared" si="21"/>
        <v>0</v>
      </c>
      <c r="P118">
        <f>IF(IF(ISERROR(MATCH(K118,Rotation_Reset_Dates[Date],0)),0,1)=1,1,IF(ISBLANK(K118),"",IF(OR(rotationDays=1,K118&lt;First_Instructional_Day1),0,IF(AND(rotationDays&gt;1,K118=First_Instructional_Day1),1,IF(P117+IF(OR(N117="Instructional",N117="Not Scheduled"),1,0)&gt;rotationDays,1,P117+IF(OR(N117="Instructional",N117="Not Scheduled"),1,0))))))</f>
        <v>1</v>
      </c>
      <c r="Q118" t="str">
        <f t="shared" si="19"/>
        <v/>
      </c>
      <c r="R118" t="str">
        <f>IF(ISBLANK(K118),"",IF(N118="Operational (no students)",99,IF(N118="Instructional",IF(rotationDays=1,Q118,P118),_xlfn.XLOOKUP(N118,TimeTable_Codes[Description],TimeTable_Codes[TimetableCode]))))</f>
        <v/>
      </c>
      <c r="S118" t="str">
        <f>IF(NOT(ISBLANK(K118)),VLOOKUP(K118,term_lookups[],2),"")</f>
        <v/>
      </c>
      <c r="T118" cm="1">
        <f t="array" ref="T118">IF(ISBLANK(K118),0,_xlfn.XLOOKUP(R118&amp;S118,Daily_Totals[Day]&amp;Daily_Totals[Term],Daily_Totals[Instruction]))</f>
        <v>0</v>
      </c>
      <c r="U118" cm="1">
        <f t="array" ref="U118">IF(ISBLANK(K118),0,_xlfn.XLOOKUP(R118&amp;S118,Daily_Totals[Day]&amp;Daily_Totals[Term],Daily_Totals[Non-Instruction]))</f>
        <v>0</v>
      </c>
    </row>
    <row r="119" spans="3:32" x14ac:dyDescent="0.3">
      <c r="C119">
        <f t="shared" si="22"/>
        <v>10</v>
      </c>
      <c r="D119" s="37">
        <v>45952</v>
      </c>
      <c r="E119">
        <v>0</v>
      </c>
      <c r="F119">
        <f t="shared" si="18"/>
        <v>0</v>
      </c>
      <c r="K119" s="37"/>
      <c r="L119"/>
      <c r="N119" t="str">
        <f t="shared" si="20"/>
        <v/>
      </c>
      <c r="O119">
        <f t="shared" si="21"/>
        <v>0</v>
      </c>
      <c r="P119">
        <f>IF(IF(ISERROR(MATCH(K119,Rotation_Reset_Dates[Date],0)),0,1)=1,1,IF(ISBLANK(K119),"",IF(OR(rotationDays=1,K119&lt;First_Instructional_Day1),0,IF(AND(rotationDays&gt;1,K119=First_Instructional_Day1),1,IF(P118+IF(OR(N118="Instructional",N118="Not Scheduled"),1,0)&gt;rotationDays,1,P118+IF(OR(N118="Instructional",N118="Not Scheduled"),1,0))))))</f>
        <v>1</v>
      </c>
      <c r="Q119" t="str">
        <f t="shared" si="19"/>
        <v/>
      </c>
      <c r="R119" t="str">
        <f>IF(ISBLANK(K119),"",IF(N119="Operational (no students)",99,IF(N119="Instructional",IF(rotationDays=1,Q119,P119),_xlfn.XLOOKUP(N119,TimeTable_Codes[Description],TimeTable_Codes[TimetableCode]))))</f>
        <v/>
      </c>
      <c r="S119" t="str">
        <f>IF(NOT(ISBLANK(K119)),VLOOKUP(K119,term_lookups[],2),"")</f>
        <v/>
      </c>
      <c r="T119" cm="1">
        <f t="array" ref="T119">IF(ISBLANK(K119),0,_xlfn.XLOOKUP(R119&amp;S119,Daily_Totals[Day]&amp;Daily_Totals[Term],Daily_Totals[Instruction]))</f>
        <v>0</v>
      </c>
      <c r="U119" cm="1">
        <f t="array" ref="U119">IF(ISBLANK(K119),0,_xlfn.XLOOKUP(R119&amp;S119,Daily_Totals[Day]&amp;Daily_Totals[Term],Daily_Totals[Non-Instruction]))</f>
        <v>0</v>
      </c>
    </row>
    <row r="120" spans="3:32" x14ac:dyDescent="0.3">
      <c r="C120">
        <f t="shared" si="22"/>
        <v>10</v>
      </c>
      <c r="D120" s="37">
        <v>45953</v>
      </c>
      <c r="E120">
        <v>0</v>
      </c>
      <c r="F120">
        <f t="shared" si="18"/>
        <v>0</v>
      </c>
      <c r="K120" s="37"/>
      <c r="L120"/>
      <c r="N120" t="str">
        <f t="shared" si="20"/>
        <v/>
      </c>
      <c r="O120">
        <f t="shared" si="21"/>
        <v>0</v>
      </c>
      <c r="P120">
        <f>IF(IF(ISERROR(MATCH(K120,Rotation_Reset_Dates[Date],0)),0,1)=1,1,IF(ISBLANK(K120),"",IF(OR(rotationDays=1,K120&lt;First_Instructional_Day1),0,IF(AND(rotationDays&gt;1,K120=First_Instructional_Day1),1,IF(P119+IF(OR(N119="Instructional",N119="Not Scheduled"),1,0)&gt;rotationDays,1,P119+IF(OR(N119="Instructional",N119="Not Scheduled"),1,0))))))</f>
        <v>1</v>
      </c>
      <c r="Q120" t="str">
        <f t="shared" si="19"/>
        <v/>
      </c>
      <c r="R120" t="str">
        <f>IF(ISBLANK(K120),"",IF(N120="Operational (no students)",99,IF(N120="Instructional",IF(rotationDays=1,Q120,P120),_xlfn.XLOOKUP(N120,TimeTable_Codes[Description],TimeTable_Codes[TimetableCode]))))</f>
        <v/>
      </c>
      <c r="S120" t="str">
        <f>IF(NOT(ISBLANK(K120)),VLOOKUP(K120,term_lookups[],2),"")</f>
        <v/>
      </c>
      <c r="T120" cm="1">
        <f t="array" ref="T120">IF(ISBLANK(K120),0,_xlfn.XLOOKUP(R120&amp;S120,Daily_Totals[Day]&amp;Daily_Totals[Term],Daily_Totals[Instruction]))</f>
        <v>0</v>
      </c>
      <c r="U120" cm="1">
        <f t="array" ref="U120">IF(ISBLANK(K120),0,_xlfn.XLOOKUP(R120&amp;S120,Daily_Totals[Day]&amp;Daily_Totals[Term],Daily_Totals[Non-Instruction]))</f>
        <v>0</v>
      </c>
    </row>
    <row r="121" spans="3:32" x14ac:dyDescent="0.3">
      <c r="C121">
        <f t="shared" si="22"/>
        <v>10</v>
      </c>
      <c r="D121" s="37">
        <v>45954</v>
      </c>
      <c r="E121">
        <v>0</v>
      </c>
      <c r="F121">
        <f t="shared" si="18"/>
        <v>0</v>
      </c>
      <c r="K121" s="37"/>
      <c r="L121"/>
      <c r="N121" t="str">
        <f t="shared" si="20"/>
        <v/>
      </c>
      <c r="O121">
        <f t="shared" si="21"/>
        <v>0</v>
      </c>
      <c r="P121">
        <f>IF(IF(ISERROR(MATCH(K121,Rotation_Reset_Dates[Date],0)),0,1)=1,1,IF(ISBLANK(K121),"",IF(OR(rotationDays=1,K121&lt;First_Instructional_Day1),0,IF(AND(rotationDays&gt;1,K121=First_Instructional_Day1),1,IF(P120+IF(OR(N120="Instructional",N120="Not Scheduled"),1,0)&gt;rotationDays,1,P120+IF(OR(N120="Instructional",N120="Not Scheduled"),1,0))))))</f>
        <v>1</v>
      </c>
      <c r="Q121" t="str">
        <f t="shared" si="19"/>
        <v/>
      </c>
      <c r="R121" t="str">
        <f>IF(ISBLANK(K121),"",IF(N121="Operational (no students)",99,IF(N121="Instructional",IF(rotationDays=1,Q121,P121),_xlfn.XLOOKUP(N121,TimeTable_Codes[Description],TimeTable_Codes[TimetableCode]))))</f>
        <v/>
      </c>
      <c r="S121" t="str">
        <f>IF(NOT(ISBLANK(K121)),VLOOKUP(K121,term_lookups[],2),"")</f>
        <v/>
      </c>
      <c r="T121" cm="1">
        <f t="array" ref="T121">IF(ISBLANK(K121),0,_xlfn.XLOOKUP(R121&amp;S121,Daily_Totals[Day]&amp;Daily_Totals[Term],Daily_Totals[Instruction]))</f>
        <v>0</v>
      </c>
      <c r="U121" cm="1">
        <f t="array" ref="U121">IF(ISBLANK(K121),0,_xlfn.XLOOKUP(R121&amp;S121,Daily_Totals[Day]&amp;Daily_Totals[Term],Daily_Totals[Non-Instruction]))</f>
        <v>0</v>
      </c>
      <c r="AC121" t="s">
        <v>28</v>
      </c>
      <c r="AD121" t="s">
        <v>4072</v>
      </c>
      <c r="AE121" t="s">
        <v>4064</v>
      </c>
      <c r="AF121" t="s">
        <v>4073</v>
      </c>
    </row>
    <row r="122" spans="3:32" x14ac:dyDescent="0.3">
      <c r="C122">
        <f t="shared" si="22"/>
        <v>10</v>
      </c>
      <c r="D122" s="37">
        <v>45955</v>
      </c>
      <c r="E122">
        <v>0</v>
      </c>
      <c r="F122">
        <f t="shared" si="18"/>
        <v>0</v>
      </c>
      <c r="K122" s="37"/>
      <c r="L122"/>
      <c r="N122" t="str">
        <f t="shared" si="20"/>
        <v/>
      </c>
      <c r="O122">
        <f t="shared" si="21"/>
        <v>0</v>
      </c>
      <c r="P122">
        <f>IF(IF(ISERROR(MATCH(K122,Rotation_Reset_Dates[Date],0)),0,1)=1,1,IF(ISBLANK(K122),"",IF(OR(rotationDays=1,K122&lt;First_Instructional_Day1),0,IF(AND(rotationDays&gt;1,K122=First_Instructional_Day1),1,IF(P121+IF(OR(N121="Instructional",N121="Not Scheduled"),1,0)&gt;rotationDays,1,P121+IF(OR(N121="Instructional",N121="Not Scheduled"),1,0))))))</f>
        <v>1</v>
      </c>
      <c r="Q122" t="str">
        <f t="shared" si="19"/>
        <v/>
      </c>
      <c r="R122" t="str">
        <f>IF(ISBLANK(K122),"",IF(N122="Operational (no students)",99,IF(N122="Instructional",IF(rotationDays=1,Q122,P122),_xlfn.XLOOKUP(N122,TimeTable_Codes[Description],TimeTable_Codes[TimetableCode]))))</f>
        <v/>
      </c>
      <c r="S122" t="str">
        <f>IF(NOT(ISBLANK(K122)),VLOOKUP(K122,term_lookups[],2),"")</f>
        <v/>
      </c>
      <c r="T122" cm="1">
        <f t="array" ref="T122">IF(ISBLANK(K122),0,_xlfn.XLOOKUP(R122&amp;S122,Daily_Totals[Day]&amp;Daily_Totals[Term],Daily_Totals[Instruction]))</f>
        <v>0</v>
      </c>
      <c r="U122" cm="1">
        <f t="array" ref="U122">IF(ISBLANK(K122),0,_xlfn.XLOOKUP(R122&amp;S122,Daily_Totals[Day]&amp;Daily_Totals[Term],Daily_Totals[Non-Instruction]))</f>
        <v>0</v>
      </c>
      <c r="AC122" t="s">
        <v>5</v>
      </c>
      <c r="AD122">
        <v>8</v>
      </c>
      <c r="AE122">
        <f>SUMIFS($T$21:$T$226,$J$21:$J$226,"="&amp;AD122)</f>
        <v>0</v>
      </c>
      <c r="AF122">
        <f>SUMIFS($U$21:$U$226,$J$21:$J$226,"="&amp;AD122)</f>
        <v>0</v>
      </c>
    </row>
    <row r="123" spans="3:32" x14ac:dyDescent="0.3">
      <c r="C123">
        <f t="shared" si="22"/>
        <v>10</v>
      </c>
      <c r="D123" s="37" cm="1">
        <f t="array" ref="D123:D129">TRANSPOSE(Calendar!B53:H53)</f>
        <v>45956</v>
      </c>
      <c r="E123" cm="1">
        <f t="array" ref="E123:E129">TRANSPOSE(Calendar!B54:H54)</f>
        <v>0</v>
      </c>
      <c r="F123">
        <f t="shared" si="18"/>
        <v>0</v>
      </c>
      <c r="K123" s="37"/>
      <c r="L123"/>
      <c r="N123" t="str">
        <f t="shared" si="20"/>
        <v/>
      </c>
      <c r="O123">
        <f t="shared" si="21"/>
        <v>0</v>
      </c>
      <c r="P123">
        <f>IF(IF(ISERROR(MATCH(K123,Rotation_Reset_Dates[Date],0)),0,1)=1,1,IF(ISBLANK(K123),"",IF(OR(rotationDays=1,K123&lt;First_Instructional_Day1),0,IF(AND(rotationDays&gt;1,K123=First_Instructional_Day1),1,IF(P122+IF(OR(N122="Instructional",N122="Not Scheduled"),1,0)&gt;rotationDays,1,P122+IF(OR(N122="Instructional",N122="Not Scheduled"),1,0))))))</f>
        <v>1</v>
      </c>
      <c r="Q123" t="str">
        <f t="shared" si="19"/>
        <v/>
      </c>
      <c r="R123" t="str">
        <f>IF(ISBLANK(K123),"",IF(N123="Operational (no students)",99,IF(N123="Instructional",IF(rotationDays=1,Q123,P123),_xlfn.XLOOKUP(N123,TimeTable_Codes[Description],TimeTable_Codes[TimetableCode]))))</f>
        <v/>
      </c>
      <c r="S123" t="str">
        <f>IF(NOT(ISBLANK(K123)),VLOOKUP(K123,term_lookups[],2),"")</f>
        <v/>
      </c>
      <c r="T123" cm="1">
        <f t="array" ref="T123">IF(ISBLANK(K123),0,_xlfn.XLOOKUP(R123&amp;S123,Daily_Totals[Day]&amp;Daily_Totals[Term],Daily_Totals[Instruction]))</f>
        <v>0</v>
      </c>
      <c r="U123" cm="1">
        <f t="array" ref="U123">IF(ISBLANK(K123),0,_xlfn.XLOOKUP(R123&amp;S123,Daily_Totals[Day]&amp;Daily_Totals[Term],Daily_Totals[Non-Instruction]))</f>
        <v>0</v>
      </c>
      <c r="AC123" t="s">
        <v>35</v>
      </c>
      <c r="AD123">
        <v>9</v>
      </c>
      <c r="AE123">
        <f t="shared" ref="AE123:AE133" si="23">SUMIFS($T$21:$T$226,$J$21:$J$226,"="&amp;AD123)</f>
        <v>0</v>
      </c>
      <c r="AF123">
        <f t="shared" ref="AF123:AF133" si="24">SUMIFS($U$21:$U$226,$J$21:$J$226,"="&amp;AD123)</f>
        <v>0</v>
      </c>
    </row>
    <row r="124" spans="3:32" x14ac:dyDescent="0.3">
      <c r="C124">
        <f t="shared" si="22"/>
        <v>10</v>
      </c>
      <c r="D124" s="37">
        <v>45957</v>
      </c>
      <c r="E124">
        <v>0</v>
      </c>
      <c r="F124">
        <f t="shared" si="18"/>
        <v>0</v>
      </c>
      <c r="K124" s="37"/>
      <c r="L124"/>
      <c r="N124" t="str">
        <f t="shared" si="20"/>
        <v/>
      </c>
      <c r="O124">
        <f t="shared" si="21"/>
        <v>0</v>
      </c>
      <c r="P124">
        <f>IF(IF(ISERROR(MATCH(K124,Rotation_Reset_Dates[Date],0)),0,1)=1,1,IF(ISBLANK(K124),"",IF(OR(rotationDays=1,K124&lt;First_Instructional_Day1),0,IF(AND(rotationDays&gt;1,K124=First_Instructional_Day1),1,IF(P123+IF(OR(N123="Instructional",N123="Not Scheduled"),1,0)&gt;rotationDays,1,P123+IF(OR(N123="Instructional",N123="Not Scheduled"),1,0))))))</f>
        <v>1</v>
      </c>
      <c r="Q124" t="str">
        <f t="shared" si="19"/>
        <v/>
      </c>
      <c r="R124" t="str">
        <f>IF(ISBLANK(K124),"",IF(N124="Operational (no students)",99,IF(N124="Instructional",IF(rotationDays=1,Q124,P124),_xlfn.XLOOKUP(N124,TimeTable_Codes[Description],TimeTable_Codes[TimetableCode]))))</f>
        <v/>
      </c>
      <c r="S124" t="str">
        <f>IF(NOT(ISBLANK(K124)),VLOOKUP(K124,term_lookups[],2),"")</f>
        <v/>
      </c>
      <c r="T124" cm="1">
        <f t="array" ref="T124">IF(ISBLANK(K124),0,_xlfn.XLOOKUP(R124&amp;S124,Daily_Totals[Day]&amp;Daily_Totals[Term],Daily_Totals[Instruction]))</f>
        <v>0</v>
      </c>
      <c r="U124" cm="1">
        <f t="array" ref="U124">IF(ISBLANK(K124),0,_xlfn.XLOOKUP(R124&amp;S124,Daily_Totals[Day]&amp;Daily_Totals[Term],Daily_Totals[Non-Instruction]))</f>
        <v>0</v>
      </c>
      <c r="AC124" t="s">
        <v>36</v>
      </c>
      <c r="AD124">
        <v>10</v>
      </c>
      <c r="AE124">
        <f t="shared" si="23"/>
        <v>0</v>
      </c>
      <c r="AF124">
        <f t="shared" si="24"/>
        <v>0</v>
      </c>
    </row>
    <row r="125" spans="3:32" x14ac:dyDescent="0.3">
      <c r="C125">
        <f t="shared" si="22"/>
        <v>10</v>
      </c>
      <c r="D125" s="37">
        <v>45958</v>
      </c>
      <c r="E125">
        <v>0</v>
      </c>
      <c r="F125">
        <f t="shared" si="18"/>
        <v>0</v>
      </c>
      <c r="K125" s="37"/>
      <c r="L125"/>
      <c r="N125" t="str">
        <f t="shared" si="20"/>
        <v/>
      </c>
      <c r="O125">
        <f t="shared" si="21"/>
        <v>0</v>
      </c>
      <c r="P125">
        <f>IF(IF(ISERROR(MATCH(K125,Rotation_Reset_Dates[Date],0)),0,1)=1,1,IF(ISBLANK(K125),"",IF(OR(rotationDays=1,K125&lt;First_Instructional_Day1),0,IF(AND(rotationDays&gt;1,K125=First_Instructional_Day1),1,IF(P124+IF(OR(N124="Instructional",N124="Not Scheduled"),1,0)&gt;rotationDays,1,P124+IF(OR(N124="Instructional",N124="Not Scheduled"),1,0))))))</f>
        <v>1</v>
      </c>
      <c r="Q125" t="str">
        <f t="shared" si="19"/>
        <v/>
      </c>
      <c r="R125" t="str">
        <f>IF(ISBLANK(K125),"",IF(N125="Operational (no students)",99,IF(N125="Instructional",IF(rotationDays=1,Q125,P125),_xlfn.XLOOKUP(N125,TimeTable_Codes[Description],TimeTable_Codes[TimetableCode]))))</f>
        <v/>
      </c>
      <c r="S125" t="str">
        <f>IF(NOT(ISBLANK(K125)),VLOOKUP(K125,term_lookups[],2),"")</f>
        <v/>
      </c>
      <c r="T125" cm="1">
        <f t="array" ref="T125">IF(ISBLANK(K125),0,_xlfn.XLOOKUP(R125&amp;S125,Daily_Totals[Day]&amp;Daily_Totals[Term],Daily_Totals[Instruction]))</f>
        <v>0</v>
      </c>
      <c r="U125" cm="1">
        <f t="array" ref="U125">IF(ISBLANK(K125),0,_xlfn.XLOOKUP(R125&amp;S125,Daily_Totals[Day]&amp;Daily_Totals[Term],Daily_Totals[Non-Instruction]))</f>
        <v>0</v>
      </c>
      <c r="AC125" t="s">
        <v>37</v>
      </c>
      <c r="AD125">
        <v>11</v>
      </c>
      <c r="AE125">
        <f t="shared" si="23"/>
        <v>0</v>
      </c>
      <c r="AF125">
        <f t="shared" si="24"/>
        <v>0</v>
      </c>
    </row>
    <row r="126" spans="3:32" x14ac:dyDescent="0.3">
      <c r="C126">
        <f t="shared" si="22"/>
        <v>10</v>
      </c>
      <c r="D126" s="37">
        <v>45959</v>
      </c>
      <c r="E126">
        <v>0</v>
      </c>
      <c r="F126">
        <f t="shared" si="18"/>
        <v>0</v>
      </c>
      <c r="K126" s="37"/>
      <c r="L126"/>
      <c r="N126" t="str">
        <f t="shared" si="20"/>
        <v/>
      </c>
      <c r="O126">
        <f t="shared" si="21"/>
        <v>0</v>
      </c>
      <c r="P126">
        <f>IF(IF(ISERROR(MATCH(K126,Rotation_Reset_Dates[Date],0)),0,1)=1,1,IF(ISBLANK(K126),"",IF(OR(rotationDays=1,K126&lt;First_Instructional_Day1),0,IF(AND(rotationDays&gt;1,K126=First_Instructional_Day1),1,IF(P125+IF(OR(N125="Instructional",N125="Not Scheduled"),1,0)&gt;rotationDays,1,P125+IF(OR(N125="Instructional",N125="Not Scheduled"),1,0))))))</f>
        <v>1</v>
      </c>
      <c r="Q126" t="str">
        <f t="shared" si="19"/>
        <v/>
      </c>
      <c r="R126" t="str">
        <f>IF(ISBLANK(K126),"",IF(N126="Operational (no students)",99,IF(N126="Instructional",IF(rotationDays=1,Q126,P126),_xlfn.XLOOKUP(N126,TimeTable_Codes[Description],TimeTable_Codes[TimetableCode]))))</f>
        <v/>
      </c>
      <c r="S126" t="str">
        <f>IF(NOT(ISBLANK(K126)),VLOOKUP(K126,term_lookups[],2),"")</f>
        <v/>
      </c>
      <c r="T126" cm="1">
        <f t="array" ref="T126">IF(ISBLANK(K126),0,_xlfn.XLOOKUP(R126&amp;S126,Daily_Totals[Day]&amp;Daily_Totals[Term],Daily_Totals[Instruction]))</f>
        <v>0</v>
      </c>
      <c r="U126" cm="1">
        <f t="array" ref="U126">IF(ISBLANK(K126),0,_xlfn.XLOOKUP(R126&amp;S126,Daily_Totals[Day]&amp;Daily_Totals[Term],Daily_Totals[Non-Instruction]))</f>
        <v>0</v>
      </c>
      <c r="AC126" t="s">
        <v>38</v>
      </c>
      <c r="AD126">
        <v>12</v>
      </c>
      <c r="AE126">
        <f t="shared" si="23"/>
        <v>0</v>
      </c>
      <c r="AF126">
        <f t="shared" si="24"/>
        <v>0</v>
      </c>
    </row>
    <row r="127" spans="3:32" x14ac:dyDescent="0.3">
      <c r="C127">
        <f t="shared" si="22"/>
        <v>10</v>
      </c>
      <c r="D127" s="37">
        <v>45960</v>
      </c>
      <c r="E127">
        <v>0</v>
      </c>
      <c r="F127">
        <f t="shared" si="18"/>
        <v>0</v>
      </c>
      <c r="K127" s="37"/>
      <c r="L127"/>
      <c r="N127" t="str">
        <f t="shared" si="20"/>
        <v/>
      </c>
      <c r="O127">
        <f t="shared" si="21"/>
        <v>0</v>
      </c>
      <c r="P127">
        <f>IF(IF(ISERROR(MATCH(K127,Rotation_Reset_Dates[Date],0)),0,1)=1,1,IF(ISBLANK(K127),"",IF(OR(rotationDays=1,K127&lt;First_Instructional_Day1),0,IF(AND(rotationDays&gt;1,K127=First_Instructional_Day1),1,IF(P126+IF(OR(N126="Instructional",N126="Not Scheduled"),1,0)&gt;rotationDays,1,P126+IF(OR(N126="Instructional",N126="Not Scheduled"),1,0))))))</f>
        <v>1</v>
      </c>
      <c r="Q127" t="str">
        <f t="shared" si="19"/>
        <v/>
      </c>
      <c r="R127" t="str">
        <f>IF(ISBLANK(K127),"",IF(N127="Operational (no students)",99,IF(N127="Instructional",IF(rotationDays=1,Q127,P127),_xlfn.XLOOKUP(N127,TimeTable_Codes[Description],TimeTable_Codes[TimetableCode]))))</f>
        <v/>
      </c>
      <c r="S127" t="str">
        <f>IF(NOT(ISBLANK(K127)),VLOOKUP(K127,term_lookups[],2),"")</f>
        <v/>
      </c>
      <c r="T127" cm="1">
        <f t="array" ref="T127">IF(ISBLANK(K127),0,_xlfn.XLOOKUP(R127&amp;S127,Daily_Totals[Day]&amp;Daily_Totals[Term],Daily_Totals[Instruction]))</f>
        <v>0</v>
      </c>
      <c r="U127" cm="1">
        <f t="array" ref="U127">IF(ISBLANK(K127),0,_xlfn.XLOOKUP(R127&amp;S127,Daily_Totals[Day]&amp;Daily_Totals[Term],Daily_Totals[Non-Instruction]))</f>
        <v>0</v>
      </c>
      <c r="AC127" t="s">
        <v>39</v>
      </c>
      <c r="AD127">
        <v>1</v>
      </c>
      <c r="AE127">
        <f t="shared" si="23"/>
        <v>0</v>
      </c>
      <c r="AF127">
        <f t="shared" si="24"/>
        <v>0</v>
      </c>
    </row>
    <row r="128" spans="3:32" x14ac:dyDescent="0.3">
      <c r="C128">
        <f t="shared" si="22"/>
        <v>10</v>
      </c>
      <c r="D128" s="37">
        <v>45961</v>
      </c>
      <c r="E128">
        <v>0</v>
      </c>
      <c r="F128">
        <f t="shared" si="18"/>
        <v>0</v>
      </c>
      <c r="K128" s="37"/>
      <c r="L128"/>
      <c r="N128" t="str">
        <f t="shared" si="20"/>
        <v/>
      </c>
      <c r="O128">
        <f t="shared" si="21"/>
        <v>0</v>
      </c>
      <c r="P128">
        <f>IF(IF(ISERROR(MATCH(K128,Rotation_Reset_Dates[Date],0)),0,1)=1,1,IF(ISBLANK(K128),"",IF(OR(rotationDays=1,K128&lt;First_Instructional_Day1),0,IF(AND(rotationDays&gt;1,K128=First_Instructional_Day1),1,IF(P127+IF(OR(N127="Instructional",N127="Not Scheduled"),1,0)&gt;rotationDays,1,P127+IF(OR(N127="Instructional",N127="Not Scheduled"),1,0))))))</f>
        <v>1</v>
      </c>
      <c r="Q128" t="str">
        <f t="shared" si="19"/>
        <v/>
      </c>
      <c r="R128" t="str">
        <f>IF(ISBLANK(K128),"",IF(N128="Operational (no students)",99,IF(N128="Instructional",IF(rotationDays=1,Q128,P128),_xlfn.XLOOKUP(N128,TimeTable_Codes[Description],TimeTable_Codes[TimetableCode]))))</f>
        <v/>
      </c>
      <c r="S128" t="str">
        <f>IF(NOT(ISBLANK(K128)),VLOOKUP(K128,term_lookups[],2),"")</f>
        <v/>
      </c>
      <c r="T128" cm="1">
        <f t="array" ref="T128">IF(ISBLANK(K128),0,_xlfn.XLOOKUP(R128&amp;S128,Daily_Totals[Day]&amp;Daily_Totals[Term],Daily_Totals[Instruction]))</f>
        <v>0</v>
      </c>
      <c r="U128" cm="1">
        <f t="array" ref="U128">IF(ISBLANK(K128),0,_xlfn.XLOOKUP(R128&amp;S128,Daily_Totals[Day]&amp;Daily_Totals[Term],Daily_Totals[Non-Instruction]))</f>
        <v>0</v>
      </c>
      <c r="AC128" t="s">
        <v>40</v>
      </c>
      <c r="AD128">
        <v>2</v>
      </c>
      <c r="AE128">
        <f t="shared" si="23"/>
        <v>0</v>
      </c>
      <c r="AF128">
        <f t="shared" si="24"/>
        <v>0</v>
      </c>
    </row>
    <row r="129" spans="3:32" x14ac:dyDescent="0.3">
      <c r="C129">
        <f t="shared" si="22"/>
        <v>10</v>
      </c>
      <c r="D129" s="37">
        <v>45962</v>
      </c>
      <c r="E129">
        <v>0</v>
      </c>
      <c r="F129">
        <f t="shared" si="18"/>
        <v>0</v>
      </c>
      <c r="K129" s="37"/>
      <c r="L129"/>
      <c r="N129" t="str">
        <f t="shared" si="20"/>
        <v/>
      </c>
      <c r="O129">
        <f t="shared" si="21"/>
        <v>0</v>
      </c>
      <c r="P129">
        <f>IF(IF(ISERROR(MATCH(K129,Rotation_Reset_Dates[Date],0)),0,1)=1,1,IF(ISBLANK(K129),"",IF(OR(rotationDays=1,K129&lt;First_Instructional_Day1),0,IF(AND(rotationDays&gt;1,K129=First_Instructional_Day1),1,IF(P128+IF(OR(N128="Instructional",N128="Not Scheduled"),1,0)&gt;rotationDays,1,P128+IF(OR(N128="Instructional",N128="Not Scheduled"),1,0))))))</f>
        <v>1</v>
      </c>
      <c r="Q129" t="str">
        <f t="shared" si="19"/>
        <v/>
      </c>
      <c r="R129" t="str">
        <f>IF(ISBLANK(K129),"",IF(N129="Operational (no students)",99,IF(N129="Instructional",IF(rotationDays=1,Q129,P129),_xlfn.XLOOKUP(N129,TimeTable_Codes[Description],TimeTable_Codes[TimetableCode]))))</f>
        <v/>
      </c>
      <c r="S129" t="str">
        <f>IF(NOT(ISBLANK(K129)),VLOOKUP(K129,term_lookups[],2),"")</f>
        <v/>
      </c>
      <c r="T129" cm="1">
        <f t="array" ref="T129">IF(ISBLANK(K129),0,_xlfn.XLOOKUP(R129&amp;S129,Daily_Totals[Day]&amp;Daily_Totals[Term],Daily_Totals[Instruction]))</f>
        <v>0</v>
      </c>
      <c r="U129" cm="1">
        <f t="array" ref="U129">IF(ISBLANK(K129),0,_xlfn.XLOOKUP(R129&amp;S129,Daily_Totals[Day]&amp;Daily_Totals[Term],Daily_Totals[Non-Instruction]))</f>
        <v>0</v>
      </c>
      <c r="AC129" t="s">
        <v>41</v>
      </c>
      <c r="AD129">
        <v>3</v>
      </c>
      <c r="AE129">
        <f t="shared" si="23"/>
        <v>0</v>
      </c>
      <c r="AF129">
        <f t="shared" si="24"/>
        <v>0</v>
      </c>
    </row>
    <row r="130" spans="3:32" x14ac:dyDescent="0.3">
      <c r="C130">
        <f t="shared" si="22"/>
        <v>10</v>
      </c>
      <c r="D130" s="37" cm="1">
        <f t="array" ref="D130:D131">TRANSPOSE(Calendar!B55:C55)</f>
        <v>45963</v>
      </c>
      <c r="E130" cm="1">
        <f t="array" ref="E130">TRANSPOSE(Calendar!B56:B56)</f>
        <v>0</v>
      </c>
      <c r="F130">
        <f t="shared" si="18"/>
        <v>0</v>
      </c>
      <c r="K130" s="37"/>
      <c r="L130"/>
      <c r="N130" t="str">
        <f t="shared" si="20"/>
        <v/>
      </c>
      <c r="O130">
        <f t="shared" si="21"/>
        <v>0</v>
      </c>
      <c r="P130">
        <f>IF(IF(ISERROR(MATCH(K130,Rotation_Reset_Dates[Date],0)),0,1)=1,1,IF(ISBLANK(K130),"",IF(OR(rotationDays=1,K130&lt;First_Instructional_Day1),0,IF(AND(rotationDays&gt;1,K130=First_Instructional_Day1),1,IF(P129+IF(OR(N129="Instructional",N129="Not Scheduled"),1,0)&gt;rotationDays,1,P129+IF(OR(N129="Instructional",N129="Not Scheduled"),1,0))))))</f>
        <v>1</v>
      </c>
      <c r="Q130" t="str">
        <f t="shared" si="19"/>
        <v/>
      </c>
      <c r="R130" t="str">
        <f>IF(ISBLANK(K130),"",IF(N130="Operational (no students)",99,IF(N130="Instructional",IF(rotationDays=1,Q130,P130),_xlfn.XLOOKUP(N130,TimeTable_Codes[Description],TimeTable_Codes[TimetableCode]))))</f>
        <v/>
      </c>
      <c r="S130" t="str">
        <f>IF(NOT(ISBLANK(K130)),VLOOKUP(K130,term_lookups[],2),"")</f>
        <v/>
      </c>
      <c r="T130" cm="1">
        <f t="array" ref="T130">IF(ISBLANK(K130),0,_xlfn.XLOOKUP(R130&amp;S130,Daily_Totals[Day]&amp;Daily_Totals[Term],Daily_Totals[Instruction]))</f>
        <v>0</v>
      </c>
      <c r="U130" cm="1">
        <f t="array" ref="U130">IF(ISBLANK(K130),0,_xlfn.XLOOKUP(R130&amp;S130,Daily_Totals[Day]&amp;Daily_Totals[Term],Daily_Totals[Non-Instruction]))</f>
        <v>0</v>
      </c>
      <c r="AC130" t="s">
        <v>42</v>
      </c>
      <c r="AD130">
        <v>4</v>
      </c>
      <c r="AE130">
        <f t="shared" si="23"/>
        <v>0</v>
      </c>
      <c r="AF130">
        <f t="shared" si="24"/>
        <v>0</v>
      </c>
    </row>
    <row r="131" spans="3:32" x14ac:dyDescent="0.3">
      <c r="C131">
        <f t="shared" si="22"/>
        <v>10</v>
      </c>
      <c r="D131" s="37">
        <v>45964</v>
      </c>
      <c r="E131"/>
      <c r="F131">
        <f t="shared" si="18"/>
        <v>0</v>
      </c>
      <c r="K131" s="37"/>
      <c r="L131"/>
      <c r="N131" t="str">
        <f t="shared" si="20"/>
        <v/>
      </c>
      <c r="O131">
        <f t="shared" si="21"/>
        <v>0</v>
      </c>
      <c r="P131">
        <f>IF(IF(ISERROR(MATCH(K131,Rotation_Reset_Dates[Date],0)),0,1)=1,1,IF(ISBLANK(K131),"",IF(OR(rotationDays=1,K131&lt;First_Instructional_Day1),0,IF(AND(rotationDays&gt;1,K131=First_Instructional_Day1),1,IF(P130+IF(OR(N130="Instructional",N130="Not Scheduled"),1,0)&gt;rotationDays,1,P130+IF(OR(N130="Instructional",N130="Not Scheduled"),1,0))))))</f>
        <v>1</v>
      </c>
      <c r="Q131" t="str">
        <f t="shared" si="19"/>
        <v/>
      </c>
      <c r="R131" t="str">
        <f>IF(ISBLANK(K131),"",IF(N131="Operational (no students)",99,IF(N131="Instructional",IF(rotationDays=1,Q131,P131),_xlfn.XLOOKUP(N131,TimeTable_Codes[Description],TimeTable_Codes[TimetableCode]))))</f>
        <v/>
      </c>
      <c r="S131" t="str">
        <f>IF(NOT(ISBLANK(K131)),VLOOKUP(K131,term_lookups[],2),"")</f>
        <v/>
      </c>
      <c r="T131" cm="1">
        <f t="array" ref="T131">IF(ISBLANK(K131),0,_xlfn.XLOOKUP(R131&amp;S131,Daily_Totals[Day]&amp;Daily_Totals[Term],Daily_Totals[Instruction]))</f>
        <v>0</v>
      </c>
      <c r="U131" cm="1">
        <f t="array" ref="U131">IF(ISBLANK(K131),0,_xlfn.XLOOKUP(R131&amp;S131,Daily_Totals[Day]&amp;Daily_Totals[Term],Daily_Totals[Non-Instruction]))</f>
        <v>0</v>
      </c>
      <c r="AC131" t="s">
        <v>43</v>
      </c>
      <c r="AD131">
        <v>5</v>
      </c>
      <c r="AE131">
        <f t="shared" si="23"/>
        <v>0</v>
      </c>
      <c r="AF131">
        <f t="shared" si="24"/>
        <v>0</v>
      </c>
    </row>
    <row r="132" spans="3:32" x14ac:dyDescent="0.3">
      <c r="C132">
        <f t="shared" si="22"/>
        <v>11</v>
      </c>
      <c r="D132" s="37" cm="1">
        <f t="array" ref="D132:D138">TRANSPOSE(Calendar!B61:H61)</f>
        <v>45956</v>
      </c>
      <c r="E132" cm="1">
        <f t="array" ref="E132:E138">TRANSPOSE(Calendar!B62:H62)</f>
        <v>0</v>
      </c>
      <c r="F132">
        <f t="shared" si="18"/>
        <v>0</v>
      </c>
      <c r="K132" s="37"/>
      <c r="L132"/>
      <c r="N132" t="str">
        <f t="shared" si="20"/>
        <v/>
      </c>
      <c r="O132">
        <f t="shared" si="21"/>
        <v>0</v>
      </c>
      <c r="P132">
        <f>IF(IF(ISERROR(MATCH(K132,Rotation_Reset_Dates[Date],0)),0,1)=1,1,IF(ISBLANK(K132),"",IF(OR(rotationDays=1,K132&lt;First_Instructional_Day1),0,IF(AND(rotationDays&gt;1,K132=First_Instructional_Day1),1,IF(P131+IF(OR(N131="Instructional",N131="Not Scheduled"),1,0)&gt;rotationDays,1,P131+IF(OR(N131="Instructional",N131="Not Scheduled"),1,0))))))</f>
        <v>1</v>
      </c>
      <c r="Q132" t="str">
        <f t="shared" si="19"/>
        <v/>
      </c>
      <c r="R132" t="str">
        <f>IF(ISBLANK(K132),"",IF(N132="Operational (no students)",99,IF(N132="Instructional",IF(rotationDays=1,Q132,P132),_xlfn.XLOOKUP(N132,TimeTable_Codes[Description],TimeTable_Codes[TimetableCode]))))</f>
        <v/>
      </c>
      <c r="S132" t="str">
        <f>IF(NOT(ISBLANK(K132)),VLOOKUP(K132,term_lookups[],2),"")</f>
        <v/>
      </c>
      <c r="T132" cm="1">
        <f t="array" ref="T132">IF(ISBLANK(K132),0,_xlfn.XLOOKUP(R132&amp;S132,Daily_Totals[Day]&amp;Daily_Totals[Term],Daily_Totals[Instruction]))</f>
        <v>0</v>
      </c>
      <c r="U132" cm="1">
        <f t="array" ref="U132">IF(ISBLANK(K132),0,_xlfn.XLOOKUP(R132&amp;S132,Daily_Totals[Day]&amp;Daily_Totals[Term],Daily_Totals[Non-Instruction]))</f>
        <v>0</v>
      </c>
      <c r="AC132" t="s">
        <v>44</v>
      </c>
      <c r="AD132">
        <v>6</v>
      </c>
      <c r="AE132">
        <f t="shared" si="23"/>
        <v>0</v>
      </c>
      <c r="AF132">
        <f t="shared" si="24"/>
        <v>0</v>
      </c>
    </row>
    <row r="133" spans="3:32" x14ac:dyDescent="0.3">
      <c r="C133">
        <f t="shared" si="22"/>
        <v>11</v>
      </c>
      <c r="D133" s="37">
        <v>45957</v>
      </c>
      <c r="E133">
        <v>0</v>
      </c>
      <c r="F133">
        <f t="shared" si="18"/>
        <v>0</v>
      </c>
      <c r="K133" s="37"/>
      <c r="L133"/>
      <c r="N133" t="str">
        <f t="shared" si="20"/>
        <v/>
      </c>
      <c r="O133">
        <f t="shared" si="21"/>
        <v>0</v>
      </c>
      <c r="P133">
        <f>IF(IF(ISERROR(MATCH(K133,Rotation_Reset_Dates[Date],0)),0,1)=1,1,IF(ISBLANK(K133),"",IF(OR(rotationDays=1,K133&lt;First_Instructional_Day1),0,IF(AND(rotationDays&gt;1,K133=First_Instructional_Day1),1,IF(P132+IF(OR(N132="Instructional",N132="Not Scheduled"),1,0)&gt;rotationDays,1,P132+IF(OR(N132="Instructional",N132="Not Scheduled"),1,0))))))</f>
        <v>1</v>
      </c>
      <c r="Q133" t="str">
        <f t="shared" si="19"/>
        <v/>
      </c>
      <c r="R133" t="str">
        <f>IF(ISBLANK(K133),"",IF(N133="Operational (no students)",99,IF(N133="Instructional",IF(rotationDays=1,Q133,P133),_xlfn.XLOOKUP(N133,TimeTable_Codes[Description],TimeTable_Codes[TimetableCode]))))</f>
        <v/>
      </c>
      <c r="S133" t="str">
        <f>IF(NOT(ISBLANK(K133)),VLOOKUP(K133,term_lookups[],2),"")</f>
        <v/>
      </c>
      <c r="T133" cm="1">
        <f t="array" ref="T133">IF(ISBLANK(K133),0,_xlfn.XLOOKUP(R133&amp;S133,Daily_Totals[Day]&amp;Daily_Totals[Term],Daily_Totals[Instruction]))</f>
        <v>0</v>
      </c>
      <c r="U133" cm="1">
        <f t="array" ref="U133">IF(ISBLANK(K133),0,_xlfn.XLOOKUP(R133&amp;S133,Daily_Totals[Day]&amp;Daily_Totals[Term],Daily_Totals[Non-Instruction]))</f>
        <v>0</v>
      </c>
      <c r="AC133" t="s">
        <v>45</v>
      </c>
      <c r="AD133">
        <v>7</v>
      </c>
      <c r="AE133">
        <f t="shared" si="23"/>
        <v>0</v>
      </c>
      <c r="AF133">
        <f t="shared" si="24"/>
        <v>0</v>
      </c>
    </row>
    <row r="134" spans="3:32" x14ac:dyDescent="0.3">
      <c r="C134">
        <f t="shared" si="22"/>
        <v>11</v>
      </c>
      <c r="D134" s="37">
        <v>45958</v>
      </c>
      <c r="E134">
        <v>0</v>
      </c>
      <c r="F134">
        <f t="shared" si="18"/>
        <v>0</v>
      </c>
      <c r="K134" s="37"/>
      <c r="L134"/>
      <c r="N134" t="str">
        <f t="shared" si="20"/>
        <v/>
      </c>
      <c r="O134">
        <f t="shared" si="21"/>
        <v>0</v>
      </c>
      <c r="P134">
        <f>IF(IF(ISERROR(MATCH(K134,Rotation_Reset_Dates[Date],0)),0,1)=1,1,IF(ISBLANK(K134),"",IF(OR(rotationDays=1,K134&lt;First_Instructional_Day1),0,IF(AND(rotationDays&gt;1,K134=First_Instructional_Day1),1,IF(P133+IF(OR(N133="Instructional",N133="Not Scheduled"),1,0)&gt;rotationDays,1,P133+IF(OR(N133="Instructional",N133="Not Scheduled"),1,0))))))</f>
        <v>1</v>
      </c>
      <c r="Q134" t="str">
        <f t="shared" si="19"/>
        <v/>
      </c>
      <c r="R134" t="str">
        <f>IF(ISBLANK(K134),"",IF(N134="Operational (no students)",99,IF(N134="Instructional",IF(rotationDays=1,Q134,P134),_xlfn.XLOOKUP(N134,TimeTable_Codes[Description],TimeTable_Codes[TimetableCode]))))</f>
        <v/>
      </c>
      <c r="S134" t="str">
        <f>IF(NOT(ISBLANK(K134)),VLOOKUP(K134,term_lookups[],2),"")</f>
        <v/>
      </c>
      <c r="T134" cm="1">
        <f t="array" ref="T134">IF(ISBLANK(K134),0,_xlfn.XLOOKUP(R134&amp;S134,Daily_Totals[Day]&amp;Daily_Totals[Term],Daily_Totals[Instruction]))</f>
        <v>0</v>
      </c>
      <c r="U134" cm="1">
        <f t="array" ref="U134">IF(ISBLANK(K134),0,_xlfn.XLOOKUP(R134&amp;S134,Daily_Totals[Day]&amp;Daily_Totals[Term],Daily_Totals[Non-Instruction]))</f>
        <v>0</v>
      </c>
    </row>
    <row r="135" spans="3:32" x14ac:dyDescent="0.3">
      <c r="C135">
        <f t="shared" si="22"/>
        <v>11</v>
      </c>
      <c r="D135" s="37">
        <v>45959</v>
      </c>
      <c r="E135">
        <v>0</v>
      </c>
      <c r="F135">
        <f t="shared" si="18"/>
        <v>0</v>
      </c>
      <c r="K135" s="37"/>
      <c r="L135"/>
      <c r="N135" t="str">
        <f t="shared" si="20"/>
        <v/>
      </c>
      <c r="O135">
        <f t="shared" si="21"/>
        <v>0</v>
      </c>
      <c r="P135">
        <f>IF(IF(ISERROR(MATCH(K135,Rotation_Reset_Dates[Date],0)),0,1)=1,1,IF(ISBLANK(K135),"",IF(OR(rotationDays=1,K135&lt;First_Instructional_Day1),0,IF(AND(rotationDays&gt;1,K135=First_Instructional_Day1),1,IF(P134+IF(OR(N134="Instructional",N134="Not Scheduled"),1,0)&gt;rotationDays,1,P134+IF(OR(N134="Instructional",N134="Not Scheduled"),1,0))))))</f>
        <v>1</v>
      </c>
      <c r="Q135" t="str">
        <f t="shared" si="19"/>
        <v/>
      </c>
      <c r="R135" t="str">
        <f>IF(ISBLANK(K135),"",IF(N135="Operational (no students)",99,IF(N135="Instructional",IF(rotationDays=1,Q135,P135),_xlfn.XLOOKUP(N135,TimeTable_Codes[Description],TimeTable_Codes[TimetableCode]))))</f>
        <v/>
      </c>
      <c r="S135" t="str">
        <f>IF(NOT(ISBLANK(K135)),VLOOKUP(K135,term_lookups[],2),"")</f>
        <v/>
      </c>
      <c r="T135" cm="1">
        <f t="array" ref="T135">IF(ISBLANK(K135),0,_xlfn.XLOOKUP(R135&amp;S135,Daily_Totals[Day]&amp;Daily_Totals[Term],Daily_Totals[Instruction]))</f>
        <v>0</v>
      </c>
      <c r="U135" cm="1">
        <f t="array" ref="U135">IF(ISBLANK(K135),0,_xlfn.XLOOKUP(R135&amp;S135,Daily_Totals[Day]&amp;Daily_Totals[Term],Daily_Totals[Non-Instruction]))</f>
        <v>0</v>
      </c>
    </row>
    <row r="136" spans="3:32" x14ac:dyDescent="0.3">
      <c r="C136">
        <f t="shared" si="22"/>
        <v>11</v>
      </c>
      <c r="D136" s="37">
        <v>45960</v>
      </c>
      <c r="E136">
        <v>0</v>
      </c>
      <c r="F136">
        <f t="shared" si="18"/>
        <v>0</v>
      </c>
      <c r="K136" s="37"/>
      <c r="L136"/>
      <c r="N136" t="str">
        <f t="shared" si="20"/>
        <v/>
      </c>
      <c r="O136">
        <f t="shared" si="21"/>
        <v>0</v>
      </c>
      <c r="P136">
        <f>IF(IF(ISERROR(MATCH(K136,Rotation_Reset_Dates[Date],0)),0,1)=1,1,IF(ISBLANK(K136),"",IF(OR(rotationDays=1,K136&lt;First_Instructional_Day1),0,IF(AND(rotationDays&gt;1,K136=First_Instructional_Day1),1,IF(P135+IF(OR(N135="Instructional",N135="Not Scheduled"),1,0)&gt;rotationDays,1,P135+IF(OR(N135="Instructional",N135="Not Scheduled"),1,0))))))</f>
        <v>1</v>
      </c>
      <c r="Q136" t="str">
        <f t="shared" si="19"/>
        <v/>
      </c>
      <c r="R136" t="str">
        <f>IF(ISBLANK(K136),"",IF(N136="Operational (no students)",99,IF(N136="Instructional",IF(rotationDays=1,Q136,P136),_xlfn.XLOOKUP(N136,TimeTable_Codes[Description],TimeTable_Codes[TimetableCode]))))</f>
        <v/>
      </c>
      <c r="S136" t="str">
        <f>IF(NOT(ISBLANK(K136)),VLOOKUP(K136,term_lookups[],2),"")</f>
        <v/>
      </c>
      <c r="T136" cm="1">
        <f t="array" ref="T136">IF(ISBLANK(K136),0,_xlfn.XLOOKUP(R136&amp;S136,Daily_Totals[Day]&amp;Daily_Totals[Term],Daily_Totals[Instruction]))</f>
        <v>0</v>
      </c>
      <c r="U136" cm="1">
        <f t="array" ref="U136">IF(ISBLANK(K136),0,_xlfn.XLOOKUP(R136&amp;S136,Daily_Totals[Day]&amp;Daily_Totals[Term],Daily_Totals[Non-Instruction]))</f>
        <v>0</v>
      </c>
      <c r="AC136" t="s">
        <v>4074</v>
      </c>
    </row>
    <row r="137" spans="3:32" x14ac:dyDescent="0.3">
      <c r="C137">
        <f t="shared" si="22"/>
        <v>11</v>
      </c>
      <c r="D137" s="37">
        <v>45961</v>
      </c>
      <c r="E137">
        <v>0</v>
      </c>
      <c r="F137">
        <f t="shared" si="18"/>
        <v>0</v>
      </c>
      <c r="K137" s="37"/>
      <c r="L137"/>
      <c r="N137" t="str">
        <f t="shared" si="20"/>
        <v/>
      </c>
      <c r="O137">
        <f t="shared" si="21"/>
        <v>0</v>
      </c>
      <c r="P137">
        <f>IF(IF(ISERROR(MATCH(K137,Rotation_Reset_Dates[Date],0)),0,1)=1,1,IF(ISBLANK(K137),"",IF(OR(rotationDays=1,K137&lt;First_Instructional_Day1),0,IF(AND(rotationDays&gt;1,K137=First_Instructional_Day1),1,IF(P136+IF(OR(N136="Instructional",N136="Not Scheduled"),1,0)&gt;rotationDays,1,P136+IF(OR(N136="Instructional",N136="Not Scheduled"),1,0))))))</f>
        <v>1</v>
      </c>
      <c r="Q137" t="str">
        <f t="shared" si="19"/>
        <v/>
      </c>
      <c r="R137" t="str">
        <f>IF(ISBLANK(K137),"",IF(N137="Operational (no students)",99,IF(N137="Instructional",IF(rotationDays=1,Q137,P137),_xlfn.XLOOKUP(N137,TimeTable_Codes[Description],TimeTable_Codes[TimetableCode]))))</f>
        <v/>
      </c>
      <c r="S137" t="str">
        <f>IF(NOT(ISBLANK(K137)),VLOOKUP(K137,term_lookups[],2),"")</f>
        <v/>
      </c>
      <c r="T137" cm="1">
        <f t="array" ref="T137">IF(ISBLANK(K137),0,_xlfn.XLOOKUP(R137&amp;S137,Daily_Totals[Day]&amp;Daily_Totals[Term],Daily_Totals[Instruction]))</f>
        <v>0</v>
      </c>
      <c r="U137" cm="1">
        <f t="array" ref="U137">IF(ISBLANK(K137),0,_xlfn.XLOOKUP(R137&amp;S137,Daily_Totals[Day]&amp;Daily_Totals[Term],Daily_Totals[Non-Instruction]))</f>
        <v>0</v>
      </c>
      <c r="AC137" t="s">
        <v>28</v>
      </c>
      <c r="AD137" t="s">
        <v>30</v>
      </c>
      <c r="AE137" t="s">
        <v>21</v>
      </c>
      <c r="AF137" t="s">
        <v>53</v>
      </c>
    </row>
    <row r="138" spans="3:32" x14ac:dyDescent="0.3">
      <c r="C138">
        <f t="shared" si="22"/>
        <v>11</v>
      </c>
      <c r="D138" s="37">
        <v>45962</v>
      </c>
      <c r="E138">
        <v>0</v>
      </c>
      <c r="F138">
        <f t="shared" si="18"/>
        <v>0</v>
      </c>
      <c r="K138" s="37"/>
      <c r="L138"/>
      <c r="N138" t="str">
        <f t="shared" si="20"/>
        <v/>
      </c>
      <c r="O138">
        <f t="shared" si="21"/>
        <v>0</v>
      </c>
      <c r="P138">
        <f>IF(IF(ISERROR(MATCH(K138,Rotation_Reset_Dates[Date],0)),0,1)=1,1,IF(ISBLANK(K138),"",IF(OR(rotationDays=1,K138&lt;First_Instructional_Day1),0,IF(AND(rotationDays&gt;1,K138=First_Instructional_Day1),1,IF(P137+IF(OR(N137="Instructional",N137="Not Scheduled"),1,0)&gt;rotationDays,1,P137+IF(OR(N137="Instructional",N137="Not Scheduled"),1,0))))))</f>
        <v>1</v>
      </c>
      <c r="Q138" t="str">
        <f t="shared" si="19"/>
        <v/>
      </c>
      <c r="R138" t="str">
        <f>IF(ISBLANK(K138),"",IF(N138="Operational (no students)",99,IF(N138="Instructional",IF(rotationDays=1,Q138,P138),_xlfn.XLOOKUP(N138,TimeTable_Codes[Description],TimeTable_Codes[TimetableCode]))))</f>
        <v/>
      </c>
      <c r="S138" t="str">
        <f>IF(NOT(ISBLANK(K138)),VLOOKUP(K138,term_lookups[],2),"")</f>
        <v/>
      </c>
      <c r="T138" cm="1">
        <f t="array" ref="T138">IF(ISBLANK(K138),0,_xlfn.XLOOKUP(R138&amp;S138,Daily_Totals[Day]&amp;Daily_Totals[Term],Daily_Totals[Instruction]))</f>
        <v>0</v>
      </c>
      <c r="U138" cm="1">
        <f t="array" ref="U138">IF(ISBLANK(K138),0,_xlfn.XLOOKUP(R138&amp;S138,Daily_Totals[Day]&amp;Daily_Totals[Term],Daily_Totals[Non-Instruction]))</f>
        <v>0</v>
      </c>
      <c r="AC138" t="s">
        <v>5</v>
      </c>
      <c r="AD138">
        <f>SUMIFS(Exceptions[Instructional],Exceptions[Month],"="&amp;AC138)</f>
        <v>0</v>
      </c>
      <c r="AE138" s="42">
        <f>(SUMIFS(Exceptions[Assigned Time (Non-Instructional)],Exceptions[Month],"="&amp;AC138))</f>
        <v>0</v>
      </c>
      <c r="AF138">
        <f>+Exception_Totals[[#This Row],[Non-Instructional]]+Exception_Totals[[#This Row],[Instructional]]</f>
        <v>0</v>
      </c>
    </row>
    <row r="139" spans="3:32" x14ac:dyDescent="0.3">
      <c r="C139">
        <f t="shared" si="22"/>
        <v>11</v>
      </c>
      <c r="D139" s="37" cm="1">
        <f t="array" ref="D139:D145">TRANSPOSE(Calendar!B63:H63)</f>
        <v>45963</v>
      </c>
      <c r="E139" cm="1">
        <f t="array" ref="E139:E145">TRANSPOSE(Calendar!B64:H64)</f>
        <v>0</v>
      </c>
      <c r="F139">
        <f t="shared" si="18"/>
        <v>0</v>
      </c>
      <c r="K139" s="37"/>
      <c r="L139"/>
      <c r="N139" t="str">
        <f t="shared" si="20"/>
        <v/>
      </c>
      <c r="O139">
        <f t="shared" si="21"/>
        <v>0</v>
      </c>
      <c r="P139">
        <f>IF(IF(ISERROR(MATCH(K139,Rotation_Reset_Dates[Date],0)),0,1)=1,1,IF(ISBLANK(K139),"",IF(OR(rotationDays=1,K139&lt;First_Instructional_Day1),0,IF(AND(rotationDays&gt;1,K139=First_Instructional_Day1),1,IF(P138+IF(OR(N138="Instructional",N138="Not Scheduled"),1,0)&gt;rotationDays,1,P138+IF(OR(N138="Instructional",N138="Not Scheduled"),1,0))))))</f>
        <v>1</v>
      </c>
      <c r="Q139" t="str">
        <f t="shared" si="19"/>
        <v/>
      </c>
      <c r="R139" t="str">
        <f>IF(ISBLANK(K139),"",IF(N139="Operational (no students)",99,IF(N139="Instructional",IF(rotationDays=1,Q139,P139),_xlfn.XLOOKUP(N139,TimeTable_Codes[Description],TimeTable_Codes[TimetableCode]))))</f>
        <v/>
      </c>
      <c r="S139" t="str">
        <f>IF(NOT(ISBLANK(K139)),VLOOKUP(K139,term_lookups[],2),"")</f>
        <v/>
      </c>
      <c r="T139" cm="1">
        <f t="array" ref="T139">IF(ISBLANK(K139),0,_xlfn.XLOOKUP(R139&amp;S139,Daily_Totals[Day]&amp;Daily_Totals[Term],Daily_Totals[Instruction]))</f>
        <v>0</v>
      </c>
      <c r="U139" cm="1">
        <f t="array" ref="U139">IF(ISBLANK(K139),0,_xlfn.XLOOKUP(R139&amp;S139,Daily_Totals[Day]&amp;Daily_Totals[Term],Daily_Totals[Non-Instruction]))</f>
        <v>0</v>
      </c>
      <c r="AC139" t="s">
        <v>35</v>
      </c>
      <c r="AD139">
        <f>SUMIFS(Exceptions[Instructional],Exceptions[Month],"="&amp;AC139)</f>
        <v>0</v>
      </c>
      <c r="AE139" s="42">
        <f>(SUMIFS(Exceptions[Assigned Time (Non-Instructional)],Exceptions[Month],"="&amp;AC139))</f>
        <v>0</v>
      </c>
      <c r="AF139" s="42">
        <f>+Exception_Totals[[#This Row],[Non-Instructional]]+Exception_Totals[[#This Row],[Instructional]]</f>
        <v>0</v>
      </c>
    </row>
    <row r="140" spans="3:32" x14ac:dyDescent="0.3">
      <c r="C140">
        <f t="shared" si="22"/>
        <v>11</v>
      </c>
      <c r="D140" s="37">
        <v>45964</v>
      </c>
      <c r="E140">
        <v>0</v>
      </c>
      <c r="F140">
        <f t="shared" si="18"/>
        <v>0</v>
      </c>
      <c r="K140" s="37"/>
      <c r="L140"/>
      <c r="N140" t="str">
        <f t="shared" si="20"/>
        <v/>
      </c>
      <c r="O140">
        <f t="shared" si="21"/>
        <v>0</v>
      </c>
      <c r="P140">
        <f>IF(IF(ISERROR(MATCH(K140,Rotation_Reset_Dates[Date],0)),0,1)=1,1,IF(ISBLANK(K140),"",IF(OR(rotationDays=1,K140&lt;First_Instructional_Day1),0,IF(AND(rotationDays&gt;1,K140=First_Instructional_Day1),1,IF(P139+IF(OR(N139="Instructional",N139="Not Scheduled"),1,0)&gt;rotationDays,1,P139+IF(OR(N139="Instructional",N139="Not Scheduled"),1,0))))))</f>
        <v>1</v>
      </c>
      <c r="Q140" t="str">
        <f t="shared" si="19"/>
        <v/>
      </c>
      <c r="R140" t="str">
        <f>IF(ISBLANK(K140),"",IF(N140="Operational (no students)",99,IF(N140="Instructional",IF(rotationDays=1,Q140,P140),_xlfn.XLOOKUP(N140,TimeTable_Codes[Description],TimeTable_Codes[TimetableCode]))))</f>
        <v/>
      </c>
      <c r="S140" t="str">
        <f>IF(NOT(ISBLANK(K140)),VLOOKUP(K140,term_lookups[],2),"")</f>
        <v/>
      </c>
      <c r="T140" cm="1">
        <f t="array" ref="T140">IF(ISBLANK(K140),0,_xlfn.XLOOKUP(R140&amp;S140,Daily_Totals[Day]&amp;Daily_Totals[Term],Daily_Totals[Instruction]))</f>
        <v>0</v>
      </c>
      <c r="U140" cm="1">
        <f t="array" ref="U140">IF(ISBLANK(K140),0,_xlfn.XLOOKUP(R140&amp;S140,Daily_Totals[Day]&amp;Daily_Totals[Term],Daily_Totals[Non-Instruction]))</f>
        <v>0</v>
      </c>
      <c r="AC140" t="s">
        <v>36</v>
      </c>
      <c r="AD140">
        <f>SUMIFS(Exceptions[Instructional],Exceptions[Month],"="&amp;AC140)</f>
        <v>0</v>
      </c>
      <c r="AE140" s="42">
        <f>(SUMIFS(Exceptions[Assigned Time (Non-Instructional)],Exceptions[Month],"="&amp;AC140))</f>
        <v>0</v>
      </c>
      <c r="AF140" s="42">
        <f>+Exception_Totals[[#This Row],[Non-Instructional]]+Exception_Totals[[#This Row],[Instructional]]</f>
        <v>0</v>
      </c>
    </row>
    <row r="141" spans="3:32" x14ac:dyDescent="0.3">
      <c r="C141">
        <f t="shared" si="22"/>
        <v>11</v>
      </c>
      <c r="D141" s="37">
        <v>45965</v>
      </c>
      <c r="E141">
        <v>0</v>
      </c>
      <c r="F141">
        <f t="shared" si="18"/>
        <v>0</v>
      </c>
      <c r="K141" s="37"/>
      <c r="L141"/>
      <c r="N141" t="str">
        <f t="shared" si="20"/>
        <v/>
      </c>
      <c r="O141">
        <f t="shared" si="21"/>
        <v>0</v>
      </c>
      <c r="P141">
        <f>IF(IF(ISERROR(MATCH(K141,Rotation_Reset_Dates[Date],0)),0,1)=1,1,IF(ISBLANK(K141),"",IF(OR(rotationDays=1,K141&lt;First_Instructional_Day1),0,IF(AND(rotationDays&gt;1,K141=First_Instructional_Day1),1,IF(P140+IF(OR(N140="Instructional",N140="Not Scheduled"),1,0)&gt;rotationDays,1,P140+IF(OR(N140="Instructional",N140="Not Scheduled"),1,0))))))</f>
        <v>1</v>
      </c>
      <c r="Q141" t="str">
        <f t="shared" si="19"/>
        <v/>
      </c>
      <c r="R141" t="str">
        <f>IF(ISBLANK(K141),"",IF(N141="Operational (no students)",99,IF(N141="Instructional",IF(rotationDays=1,Q141,P141),_xlfn.XLOOKUP(N141,TimeTable_Codes[Description],TimeTable_Codes[TimetableCode]))))</f>
        <v/>
      </c>
      <c r="S141" t="str">
        <f>IF(NOT(ISBLANK(K141)),VLOOKUP(K141,term_lookups[],2),"")</f>
        <v/>
      </c>
      <c r="T141" cm="1">
        <f t="array" ref="T141">IF(ISBLANK(K141),0,_xlfn.XLOOKUP(R141&amp;S141,Daily_Totals[Day]&amp;Daily_Totals[Term],Daily_Totals[Instruction]))</f>
        <v>0</v>
      </c>
      <c r="U141" cm="1">
        <f t="array" ref="U141">IF(ISBLANK(K141),0,_xlfn.XLOOKUP(R141&amp;S141,Daily_Totals[Day]&amp;Daily_Totals[Term],Daily_Totals[Non-Instruction]))</f>
        <v>0</v>
      </c>
      <c r="AC141" t="s">
        <v>37</v>
      </c>
      <c r="AD141">
        <f>SUMIFS(Exceptions[Instructional],Exceptions[Month],"="&amp;AC141)</f>
        <v>0</v>
      </c>
      <c r="AE141" s="42">
        <f>(SUMIFS(Exceptions[Assigned Time (Non-Instructional)],Exceptions[Month],"="&amp;AC141))</f>
        <v>0</v>
      </c>
      <c r="AF141" s="42">
        <f>+Exception_Totals[[#This Row],[Non-Instructional]]+Exception_Totals[[#This Row],[Instructional]]</f>
        <v>0</v>
      </c>
    </row>
    <row r="142" spans="3:32" x14ac:dyDescent="0.3">
      <c r="C142">
        <f t="shared" si="22"/>
        <v>11</v>
      </c>
      <c r="D142" s="37">
        <v>45966</v>
      </c>
      <c r="E142">
        <v>0</v>
      </c>
      <c r="F142">
        <f t="shared" si="18"/>
        <v>0</v>
      </c>
      <c r="K142" s="37"/>
      <c r="L142"/>
      <c r="N142" t="str">
        <f t="shared" si="20"/>
        <v/>
      </c>
      <c r="O142">
        <f t="shared" si="21"/>
        <v>0</v>
      </c>
      <c r="P142">
        <f>IF(IF(ISERROR(MATCH(K142,Rotation_Reset_Dates[Date],0)),0,1)=1,1,IF(ISBLANK(K142),"",IF(OR(rotationDays=1,K142&lt;First_Instructional_Day1),0,IF(AND(rotationDays&gt;1,K142=First_Instructional_Day1),1,IF(P141+IF(OR(N141="Instructional",N141="Not Scheduled"),1,0)&gt;rotationDays,1,P141+IF(OR(N141="Instructional",N141="Not Scheduled"),1,0))))))</f>
        <v>1</v>
      </c>
      <c r="Q142" t="str">
        <f t="shared" si="19"/>
        <v/>
      </c>
      <c r="R142" t="str">
        <f>IF(ISBLANK(K142),"",IF(N142="Operational (no students)",99,IF(N142="Instructional",IF(rotationDays=1,Q142,P142),_xlfn.XLOOKUP(N142,TimeTable_Codes[Description],TimeTable_Codes[TimetableCode]))))</f>
        <v/>
      </c>
      <c r="S142" t="str">
        <f>IF(NOT(ISBLANK(K142)),VLOOKUP(K142,term_lookups[],2),"")</f>
        <v/>
      </c>
      <c r="T142" cm="1">
        <f t="array" ref="T142">IF(ISBLANK(K142),0,_xlfn.XLOOKUP(R142&amp;S142,Daily_Totals[Day]&amp;Daily_Totals[Term],Daily_Totals[Instruction]))</f>
        <v>0</v>
      </c>
      <c r="U142" cm="1">
        <f t="array" ref="U142">IF(ISBLANK(K142),0,_xlfn.XLOOKUP(R142&amp;S142,Daily_Totals[Day]&amp;Daily_Totals[Term],Daily_Totals[Non-Instruction]))</f>
        <v>0</v>
      </c>
      <c r="AC142" t="s">
        <v>38</v>
      </c>
      <c r="AD142">
        <f>SUMIFS(Exceptions[Instructional],Exceptions[Month],"="&amp;AC142)</f>
        <v>0</v>
      </c>
      <c r="AE142" s="42">
        <f>(SUMIFS(Exceptions[Assigned Time (Non-Instructional)],Exceptions[Month],"="&amp;AC142))</f>
        <v>0</v>
      </c>
      <c r="AF142" s="42">
        <f>+Exception_Totals[[#This Row],[Non-Instructional]]+Exception_Totals[[#This Row],[Instructional]]</f>
        <v>0</v>
      </c>
    </row>
    <row r="143" spans="3:32" x14ac:dyDescent="0.3">
      <c r="C143">
        <f t="shared" si="22"/>
        <v>11</v>
      </c>
      <c r="D143" s="37">
        <v>45967</v>
      </c>
      <c r="E143">
        <v>0</v>
      </c>
      <c r="F143">
        <f t="shared" si="18"/>
        <v>0</v>
      </c>
      <c r="K143" s="37"/>
      <c r="L143"/>
      <c r="N143" t="str">
        <f t="shared" si="20"/>
        <v/>
      </c>
      <c r="O143">
        <f t="shared" si="21"/>
        <v>0</v>
      </c>
      <c r="P143">
        <f>IF(IF(ISERROR(MATCH(K143,Rotation_Reset_Dates[Date],0)),0,1)=1,1,IF(ISBLANK(K143),"",IF(OR(rotationDays=1,K143&lt;First_Instructional_Day1),0,IF(AND(rotationDays&gt;1,K143=First_Instructional_Day1),1,IF(P142+IF(OR(N142="Instructional",N142="Not Scheduled"),1,0)&gt;rotationDays,1,P142+IF(OR(N142="Instructional",N142="Not Scheduled"),1,0))))))</f>
        <v>1</v>
      </c>
      <c r="Q143" t="str">
        <f t="shared" si="19"/>
        <v/>
      </c>
      <c r="R143" t="str">
        <f>IF(ISBLANK(K143),"",IF(N143="Operational (no students)",99,IF(N143="Instructional",IF(rotationDays=1,Q143,P143),_xlfn.XLOOKUP(N143,TimeTable_Codes[Description],TimeTable_Codes[TimetableCode]))))</f>
        <v/>
      </c>
      <c r="S143" t="str">
        <f>IF(NOT(ISBLANK(K143)),VLOOKUP(K143,term_lookups[],2),"")</f>
        <v/>
      </c>
      <c r="T143" cm="1">
        <f t="array" ref="T143">IF(ISBLANK(K143),0,_xlfn.XLOOKUP(R143&amp;S143,Daily_Totals[Day]&amp;Daily_Totals[Term],Daily_Totals[Instruction]))</f>
        <v>0</v>
      </c>
      <c r="U143" cm="1">
        <f t="array" ref="U143">IF(ISBLANK(K143),0,_xlfn.XLOOKUP(R143&amp;S143,Daily_Totals[Day]&amp;Daily_Totals[Term],Daily_Totals[Non-Instruction]))</f>
        <v>0</v>
      </c>
      <c r="AC143" t="s">
        <v>39</v>
      </c>
      <c r="AD143">
        <f>SUMIFS(Exceptions[Instructional],Exceptions[Month],"="&amp;AC143)</f>
        <v>0</v>
      </c>
      <c r="AE143" s="42">
        <f>(SUMIFS(Exceptions[Assigned Time (Non-Instructional)],Exceptions[Month],"="&amp;AC143))</f>
        <v>0</v>
      </c>
      <c r="AF143" s="42">
        <f>+Exception_Totals[[#This Row],[Non-Instructional]]+Exception_Totals[[#This Row],[Instructional]]</f>
        <v>0</v>
      </c>
    </row>
    <row r="144" spans="3:32" x14ac:dyDescent="0.3">
      <c r="C144">
        <f t="shared" si="22"/>
        <v>11</v>
      </c>
      <c r="D144" s="37">
        <v>45968</v>
      </c>
      <c r="E144">
        <v>0</v>
      </c>
      <c r="F144">
        <f t="shared" si="18"/>
        <v>0</v>
      </c>
      <c r="K144" s="37"/>
      <c r="L144"/>
      <c r="N144" t="str">
        <f t="shared" si="20"/>
        <v/>
      </c>
      <c r="O144">
        <f t="shared" si="21"/>
        <v>0</v>
      </c>
      <c r="P144">
        <f>IF(IF(ISERROR(MATCH(K144,Rotation_Reset_Dates[Date],0)),0,1)=1,1,IF(ISBLANK(K144),"",IF(OR(rotationDays=1,K144&lt;First_Instructional_Day1),0,IF(AND(rotationDays&gt;1,K144=First_Instructional_Day1),1,IF(P143+IF(OR(N143="Instructional",N143="Not Scheduled"),1,0)&gt;rotationDays,1,P143+IF(OR(N143="Instructional",N143="Not Scheduled"),1,0))))))</f>
        <v>1</v>
      </c>
      <c r="Q144" t="str">
        <f t="shared" si="19"/>
        <v/>
      </c>
      <c r="R144" t="str">
        <f>IF(ISBLANK(K144),"",IF(N144="Operational (no students)",99,IF(N144="Instructional",IF(rotationDays=1,Q144,P144),_xlfn.XLOOKUP(N144,TimeTable_Codes[Description],TimeTable_Codes[TimetableCode]))))</f>
        <v/>
      </c>
      <c r="S144" t="str">
        <f>IF(NOT(ISBLANK(K144)),VLOOKUP(K144,term_lookups[],2),"")</f>
        <v/>
      </c>
      <c r="T144" cm="1">
        <f t="array" ref="T144">IF(ISBLANK(K144),0,_xlfn.XLOOKUP(R144&amp;S144,Daily_Totals[Day]&amp;Daily_Totals[Term],Daily_Totals[Instruction]))</f>
        <v>0</v>
      </c>
      <c r="U144" cm="1">
        <f t="array" ref="U144">IF(ISBLANK(K144),0,_xlfn.XLOOKUP(R144&amp;S144,Daily_Totals[Day]&amp;Daily_Totals[Term],Daily_Totals[Non-Instruction]))</f>
        <v>0</v>
      </c>
      <c r="AC144" t="s">
        <v>40</v>
      </c>
      <c r="AD144">
        <f>SUMIFS(Exceptions[Instructional],Exceptions[Month],"="&amp;AC144)</f>
        <v>0</v>
      </c>
      <c r="AE144" s="42">
        <f>(SUMIFS(Exceptions[Assigned Time (Non-Instructional)],Exceptions[Month],"="&amp;AC144))</f>
        <v>0</v>
      </c>
      <c r="AF144" s="42">
        <f>+Exception_Totals[[#This Row],[Non-Instructional]]+Exception_Totals[[#This Row],[Instructional]]</f>
        <v>0</v>
      </c>
    </row>
    <row r="145" spans="3:32" x14ac:dyDescent="0.3">
      <c r="C145">
        <f t="shared" si="22"/>
        <v>11</v>
      </c>
      <c r="D145" s="37">
        <v>45969</v>
      </c>
      <c r="E145">
        <v>0</v>
      </c>
      <c r="F145">
        <f t="shared" si="18"/>
        <v>0</v>
      </c>
      <c r="K145" s="37"/>
      <c r="L145"/>
      <c r="N145" t="str">
        <f t="shared" si="20"/>
        <v/>
      </c>
      <c r="O145">
        <f t="shared" si="21"/>
        <v>0</v>
      </c>
      <c r="P145">
        <f>IF(IF(ISERROR(MATCH(K145,Rotation_Reset_Dates[Date],0)),0,1)=1,1,IF(ISBLANK(K145),"",IF(OR(rotationDays=1,K145&lt;First_Instructional_Day1),0,IF(AND(rotationDays&gt;1,K145=First_Instructional_Day1),1,IF(P144+IF(OR(N144="Instructional",N144="Not Scheduled"),1,0)&gt;rotationDays,1,P144+IF(OR(N144="Instructional",N144="Not Scheduled"),1,0))))))</f>
        <v>1</v>
      </c>
      <c r="Q145" t="str">
        <f t="shared" si="19"/>
        <v/>
      </c>
      <c r="R145" t="str">
        <f>IF(ISBLANK(K145),"",IF(N145="Operational (no students)",99,IF(N145="Instructional",IF(rotationDays=1,Q145,P145),_xlfn.XLOOKUP(N145,TimeTable_Codes[Description],TimeTable_Codes[TimetableCode]))))</f>
        <v/>
      </c>
      <c r="S145" t="str">
        <f>IF(NOT(ISBLANK(K145)),VLOOKUP(K145,term_lookups[],2),"")</f>
        <v/>
      </c>
      <c r="T145" cm="1">
        <f t="array" ref="T145">IF(ISBLANK(K145),0,_xlfn.XLOOKUP(R145&amp;S145,Daily_Totals[Day]&amp;Daily_Totals[Term],Daily_Totals[Instruction]))</f>
        <v>0</v>
      </c>
      <c r="U145" cm="1">
        <f t="array" ref="U145">IF(ISBLANK(K145),0,_xlfn.XLOOKUP(R145&amp;S145,Daily_Totals[Day]&amp;Daily_Totals[Term],Daily_Totals[Non-Instruction]))</f>
        <v>0</v>
      </c>
      <c r="AC145" t="s">
        <v>41</v>
      </c>
      <c r="AD145">
        <f>SUMIFS(Exceptions[Instructional],Exceptions[Month],"="&amp;AC145)</f>
        <v>0</v>
      </c>
      <c r="AE145" s="42">
        <f>(SUMIFS(Exceptions[Assigned Time (Non-Instructional)],Exceptions[Month],"="&amp;AC145))</f>
        <v>0</v>
      </c>
      <c r="AF145" s="42">
        <f>+Exception_Totals[[#This Row],[Non-Instructional]]+Exception_Totals[[#This Row],[Instructional]]</f>
        <v>0</v>
      </c>
    </row>
    <row r="146" spans="3:32" x14ac:dyDescent="0.3">
      <c r="C146">
        <f t="shared" si="22"/>
        <v>11</v>
      </c>
      <c r="D146" s="37" cm="1">
        <f t="array" ref="D146:D152">TRANSPOSE(Calendar!B65:H65)</f>
        <v>45970</v>
      </c>
      <c r="E146" cm="1">
        <f t="array" ref="E146:E152">TRANSPOSE(Calendar!B66:H66)</f>
        <v>0</v>
      </c>
      <c r="F146">
        <f t="shared" si="18"/>
        <v>0</v>
      </c>
      <c r="K146" s="37"/>
      <c r="L146"/>
      <c r="N146" t="str">
        <f t="shared" si="20"/>
        <v/>
      </c>
      <c r="O146">
        <f t="shared" si="21"/>
        <v>0</v>
      </c>
      <c r="P146">
        <f>IF(IF(ISERROR(MATCH(K146,Rotation_Reset_Dates[Date],0)),0,1)=1,1,IF(ISBLANK(K146),"",IF(OR(rotationDays=1,K146&lt;First_Instructional_Day1),0,IF(AND(rotationDays&gt;1,K146=First_Instructional_Day1),1,IF(P145+IF(OR(N145="Instructional",N145="Not Scheduled"),1,0)&gt;rotationDays,1,P145+IF(OR(N145="Instructional",N145="Not Scheduled"),1,0))))))</f>
        <v>1</v>
      </c>
      <c r="Q146" t="str">
        <f t="shared" si="19"/>
        <v/>
      </c>
      <c r="R146" t="str">
        <f>IF(ISBLANK(K146),"",IF(N146="Operational (no students)",99,IF(N146="Instructional",IF(rotationDays=1,Q146,P146),_xlfn.XLOOKUP(N146,TimeTable_Codes[Description],TimeTable_Codes[TimetableCode]))))</f>
        <v/>
      </c>
      <c r="S146" t="str">
        <f>IF(NOT(ISBLANK(K146)),VLOOKUP(K146,term_lookups[],2),"")</f>
        <v/>
      </c>
      <c r="T146" cm="1">
        <f t="array" ref="T146">IF(ISBLANK(K146),0,_xlfn.XLOOKUP(R146&amp;S146,Daily_Totals[Day]&amp;Daily_Totals[Term],Daily_Totals[Instruction]))</f>
        <v>0</v>
      </c>
      <c r="U146" cm="1">
        <f t="array" ref="U146">IF(ISBLANK(K146),0,_xlfn.XLOOKUP(R146&amp;S146,Daily_Totals[Day]&amp;Daily_Totals[Term],Daily_Totals[Non-Instruction]))</f>
        <v>0</v>
      </c>
      <c r="AC146" t="s">
        <v>42</v>
      </c>
      <c r="AD146">
        <f>SUMIFS(Exceptions[Instructional],Exceptions[Month],"="&amp;AC146)</f>
        <v>0</v>
      </c>
      <c r="AE146" s="42">
        <f>(SUMIFS(Exceptions[Assigned Time (Non-Instructional)],Exceptions[Month],"="&amp;AC146))</f>
        <v>0</v>
      </c>
      <c r="AF146" s="42">
        <f>+Exception_Totals[[#This Row],[Non-Instructional]]+Exception_Totals[[#This Row],[Instructional]]</f>
        <v>0</v>
      </c>
    </row>
    <row r="147" spans="3:32" x14ac:dyDescent="0.3">
      <c r="C147">
        <f t="shared" si="22"/>
        <v>11</v>
      </c>
      <c r="D147" s="37">
        <v>45971</v>
      </c>
      <c r="E147">
        <v>0</v>
      </c>
      <c r="F147">
        <f t="shared" si="18"/>
        <v>0</v>
      </c>
      <c r="K147" s="37"/>
      <c r="L147"/>
      <c r="N147" t="str">
        <f t="shared" si="20"/>
        <v/>
      </c>
      <c r="O147">
        <f t="shared" si="21"/>
        <v>0</v>
      </c>
      <c r="P147">
        <f>IF(IF(ISERROR(MATCH(K147,Rotation_Reset_Dates[Date],0)),0,1)=1,1,IF(ISBLANK(K147),"",IF(OR(rotationDays=1,K147&lt;First_Instructional_Day1),0,IF(AND(rotationDays&gt;1,K147=First_Instructional_Day1),1,IF(P146+IF(OR(N146="Instructional",N146="Not Scheduled"),1,0)&gt;rotationDays,1,P146+IF(OR(N146="Instructional",N146="Not Scheduled"),1,0))))))</f>
        <v>1</v>
      </c>
      <c r="Q147" t="str">
        <f t="shared" si="19"/>
        <v/>
      </c>
      <c r="R147" t="str">
        <f>IF(ISBLANK(K147),"",IF(N147="Operational (no students)",99,IF(N147="Instructional",IF(rotationDays=1,Q147,P147),_xlfn.XLOOKUP(N147,TimeTable_Codes[Description],TimeTable_Codes[TimetableCode]))))</f>
        <v/>
      </c>
      <c r="S147" t="str">
        <f>IF(NOT(ISBLANK(K147)),VLOOKUP(K147,term_lookups[],2),"")</f>
        <v/>
      </c>
      <c r="T147" cm="1">
        <f t="array" ref="T147">IF(ISBLANK(K147),0,_xlfn.XLOOKUP(R147&amp;S147,Daily_Totals[Day]&amp;Daily_Totals[Term],Daily_Totals[Instruction]))</f>
        <v>0</v>
      </c>
      <c r="U147" cm="1">
        <f t="array" ref="U147">IF(ISBLANK(K147),0,_xlfn.XLOOKUP(R147&amp;S147,Daily_Totals[Day]&amp;Daily_Totals[Term],Daily_Totals[Non-Instruction]))</f>
        <v>0</v>
      </c>
      <c r="AC147" t="s">
        <v>43</v>
      </c>
      <c r="AD147">
        <f>SUMIFS(Exceptions[Instructional],Exceptions[Month],"="&amp;AC147)</f>
        <v>0</v>
      </c>
      <c r="AE147" s="42">
        <f>(SUMIFS(Exceptions[Assigned Time (Non-Instructional)],Exceptions[Month],"="&amp;AC147))</f>
        <v>0</v>
      </c>
      <c r="AF147" s="42">
        <f>+Exception_Totals[[#This Row],[Non-Instructional]]+Exception_Totals[[#This Row],[Instructional]]</f>
        <v>0</v>
      </c>
    </row>
    <row r="148" spans="3:32" x14ac:dyDescent="0.3">
      <c r="C148">
        <f t="shared" si="22"/>
        <v>11</v>
      </c>
      <c r="D148" s="37">
        <v>45972</v>
      </c>
      <c r="E148">
        <v>0</v>
      </c>
      <c r="F148">
        <f t="shared" si="18"/>
        <v>0</v>
      </c>
      <c r="K148" s="37"/>
      <c r="L148"/>
      <c r="N148" t="str">
        <f t="shared" si="20"/>
        <v/>
      </c>
      <c r="O148">
        <f t="shared" si="21"/>
        <v>0</v>
      </c>
      <c r="P148">
        <f>IF(IF(ISERROR(MATCH(K148,Rotation_Reset_Dates[Date],0)),0,1)=1,1,IF(ISBLANK(K148),"",IF(OR(rotationDays=1,K148&lt;First_Instructional_Day1),0,IF(AND(rotationDays&gt;1,K148=First_Instructional_Day1),1,IF(P147+IF(OR(N147="Instructional",N147="Not Scheduled"),1,0)&gt;rotationDays,1,P147+IF(OR(N147="Instructional",N147="Not Scheduled"),1,0))))))</f>
        <v>1</v>
      </c>
      <c r="Q148" t="str">
        <f t="shared" si="19"/>
        <v/>
      </c>
      <c r="R148" t="str">
        <f>IF(ISBLANK(K148),"",IF(N148="Operational (no students)",99,IF(N148="Instructional",IF(rotationDays=1,Q148,P148),_xlfn.XLOOKUP(N148,TimeTable_Codes[Description],TimeTable_Codes[TimetableCode]))))</f>
        <v/>
      </c>
      <c r="S148" t="str">
        <f>IF(NOT(ISBLANK(K148)),VLOOKUP(K148,term_lookups[],2),"")</f>
        <v/>
      </c>
      <c r="T148" cm="1">
        <f t="array" ref="T148">IF(ISBLANK(K148),0,_xlfn.XLOOKUP(R148&amp;S148,Daily_Totals[Day]&amp;Daily_Totals[Term],Daily_Totals[Instruction]))</f>
        <v>0</v>
      </c>
      <c r="U148" cm="1">
        <f t="array" ref="U148">IF(ISBLANK(K148),0,_xlfn.XLOOKUP(R148&amp;S148,Daily_Totals[Day]&amp;Daily_Totals[Term],Daily_Totals[Non-Instruction]))</f>
        <v>0</v>
      </c>
      <c r="AC148" t="s">
        <v>44</v>
      </c>
      <c r="AD148">
        <f>SUMIFS(Exceptions[Instructional],Exceptions[Month],"="&amp;AC148)</f>
        <v>0</v>
      </c>
      <c r="AE148" s="42">
        <f>(SUMIFS(Exceptions[Assigned Time (Non-Instructional)],Exceptions[Month],"="&amp;AC148))</f>
        <v>0</v>
      </c>
      <c r="AF148" s="42">
        <f>+Exception_Totals[[#This Row],[Non-Instructional]]+Exception_Totals[[#This Row],[Instructional]]</f>
        <v>0</v>
      </c>
    </row>
    <row r="149" spans="3:32" x14ac:dyDescent="0.3">
      <c r="C149">
        <f t="shared" si="22"/>
        <v>11</v>
      </c>
      <c r="D149" s="37">
        <v>45973</v>
      </c>
      <c r="E149">
        <v>0</v>
      </c>
      <c r="F149">
        <f t="shared" ref="F149:F212" si="25">IF(AND(MONTH(D149)=C149,D149&gt;=First_Operational_Day,D149&lt;=Last_Operational_Day,WEEKDAY(D149)&lt;&gt;1,WEEKDAY(D149)&lt;&gt;7,E149&lt;&gt;"Closed (non-operational)"),1,0)</f>
        <v>0</v>
      </c>
      <c r="K149" s="37"/>
      <c r="L149"/>
      <c r="N149" t="str">
        <f t="shared" si="20"/>
        <v/>
      </c>
      <c r="O149">
        <f t="shared" si="21"/>
        <v>0</v>
      </c>
      <c r="P149">
        <f>IF(IF(ISERROR(MATCH(K149,Rotation_Reset_Dates[Date],0)),0,1)=1,1,IF(ISBLANK(K149),"",IF(OR(rotationDays=1,K149&lt;First_Instructional_Day1),0,IF(AND(rotationDays&gt;1,K149=First_Instructional_Day1),1,IF(P148+IF(OR(N148="Instructional",N148="Not Scheduled"),1,0)&gt;rotationDays,1,P148+IF(OR(N148="Instructional",N148="Not Scheduled"),1,0))))))</f>
        <v>1</v>
      </c>
      <c r="Q149" t="str">
        <f t="shared" ref="Q149:Q212" si="26">IF(ISBLANK(K149),"",IF(K149&gt;=First_Instructional_Day1,WEEKDAY(K149)-1,0))</f>
        <v/>
      </c>
      <c r="R149" t="str">
        <f>IF(ISBLANK(K149),"",IF(N149="Operational (no students)",99,IF(N149="Instructional",IF(rotationDays=1,Q149,P149),_xlfn.XLOOKUP(N149,TimeTable_Codes[Description],TimeTable_Codes[TimetableCode]))))</f>
        <v/>
      </c>
      <c r="S149" t="str">
        <f>IF(NOT(ISBLANK(K149)),VLOOKUP(K149,term_lookups[],2),"")</f>
        <v/>
      </c>
      <c r="T149" cm="1">
        <f t="array" ref="T149">IF(ISBLANK(K149),0,_xlfn.XLOOKUP(R149&amp;S149,Daily_Totals[Day]&amp;Daily_Totals[Term],Daily_Totals[Instruction]))</f>
        <v>0</v>
      </c>
      <c r="U149" cm="1">
        <f t="array" ref="U149">IF(ISBLANK(K149),0,_xlfn.XLOOKUP(R149&amp;S149,Daily_Totals[Day]&amp;Daily_Totals[Term],Daily_Totals[Non-Instruction]))</f>
        <v>0</v>
      </c>
      <c r="AC149" t="s">
        <v>45</v>
      </c>
      <c r="AD149">
        <f>SUMIFS(Exceptions[Instructional],Exceptions[Month],"="&amp;AC149)</f>
        <v>0</v>
      </c>
      <c r="AE149" s="42">
        <f>(SUMIFS(Exceptions[Assigned Time (Non-Instructional)],Exceptions[Month],"="&amp;AC149))</f>
        <v>0</v>
      </c>
      <c r="AF149" s="42">
        <f>+Exception_Totals[[#This Row],[Non-Instructional]]+Exception_Totals[[#This Row],[Instructional]]</f>
        <v>0</v>
      </c>
    </row>
    <row r="150" spans="3:32" x14ac:dyDescent="0.3">
      <c r="C150">
        <f t="shared" si="22"/>
        <v>11</v>
      </c>
      <c r="D150" s="37">
        <v>45974</v>
      </c>
      <c r="E150">
        <v>0</v>
      </c>
      <c r="F150">
        <f t="shared" si="25"/>
        <v>0</v>
      </c>
      <c r="K150" s="37"/>
      <c r="L150"/>
      <c r="N150" t="str">
        <f t="shared" ref="N150:N213" si="27">IF(ISBLANK(K150),"",IF(L150=0,"Instructional",L150))</f>
        <v/>
      </c>
      <c r="O150">
        <f t="shared" ref="O150:O213" si="28">IF(OR(N150="Planning Day",N150="PD/In-Service Day"),1,0)</f>
        <v>0</v>
      </c>
      <c r="P150">
        <f>IF(IF(ISERROR(MATCH(K150,Rotation_Reset_Dates[Date],0)),0,1)=1,1,IF(ISBLANK(K150),"",IF(OR(rotationDays=1,K150&lt;First_Instructional_Day1),0,IF(AND(rotationDays&gt;1,K150=First_Instructional_Day1),1,IF(P149+IF(OR(N149="Instructional",N149="Not Scheduled"),1,0)&gt;rotationDays,1,P149+IF(OR(N149="Instructional",N149="Not Scheduled"),1,0))))))</f>
        <v>1</v>
      </c>
      <c r="Q150" t="str">
        <f t="shared" si="26"/>
        <v/>
      </c>
      <c r="R150" t="str">
        <f>IF(ISBLANK(K150),"",IF(N150="Operational (no students)",99,IF(N150="Instructional",IF(rotationDays=1,Q150,P150),_xlfn.XLOOKUP(N150,TimeTable_Codes[Description],TimeTable_Codes[TimetableCode]))))</f>
        <v/>
      </c>
      <c r="S150" t="str">
        <f>IF(NOT(ISBLANK(K150)),VLOOKUP(K150,term_lookups[],2),"")</f>
        <v/>
      </c>
      <c r="T150" cm="1">
        <f t="array" ref="T150">IF(ISBLANK(K150),0,_xlfn.XLOOKUP(R150&amp;S150,Daily_Totals[Day]&amp;Daily_Totals[Term],Daily_Totals[Instruction]))</f>
        <v>0</v>
      </c>
      <c r="U150" cm="1">
        <f t="array" ref="U150">IF(ISBLANK(K150),0,_xlfn.XLOOKUP(R150&amp;S150,Daily_Totals[Day]&amp;Daily_Totals[Term],Daily_Totals[Non-Instruction]))</f>
        <v>0</v>
      </c>
    </row>
    <row r="151" spans="3:32" x14ac:dyDescent="0.3">
      <c r="C151">
        <f t="shared" si="22"/>
        <v>11</v>
      </c>
      <c r="D151" s="37">
        <v>45975</v>
      </c>
      <c r="E151">
        <v>0</v>
      </c>
      <c r="F151">
        <f t="shared" si="25"/>
        <v>0</v>
      </c>
      <c r="K151" s="37"/>
      <c r="L151"/>
      <c r="N151" t="str">
        <f t="shared" si="27"/>
        <v/>
      </c>
      <c r="O151">
        <f t="shared" si="28"/>
        <v>0</v>
      </c>
      <c r="P151">
        <f>IF(IF(ISERROR(MATCH(K151,Rotation_Reset_Dates[Date],0)),0,1)=1,1,IF(ISBLANK(K151),"",IF(OR(rotationDays=1,K151&lt;First_Instructional_Day1),0,IF(AND(rotationDays&gt;1,K151=First_Instructional_Day1),1,IF(P150+IF(OR(N150="Instructional",N150="Not Scheduled"),1,0)&gt;rotationDays,1,P150+IF(OR(N150="Instructional",N150="Not Scheduled"),1,0))))))</f>
        <v>1</v>
      </c>
      <c r="Q151" t="str">
        <f t="shared" si="26"/>
        <v/>
      </c>
      <c r="R151" t="str">
        <f>IF(ISBLANK(K151),"",IF(N151="Operational (no students)",99,IF(N151="Instructional",IF(rotationDays=1,Q151,P151),_xlfn.XLOOKUP(N151,TimeTable_Codes[Description],TimeTable_Codes[TimetableCode]))))</f>
        <v/>
      </c>
      <c r="S151" t="str">
        <f>IF(NOT(ISBLANK(K151)),VLOOKUP(K151,term_lookups[],2),"")</f>
        <v/>
      </c>
      <c r="T151" cm="1">
        <f t="array" ref="T151">IF(ISBLANK(K151),0,_xlfn.XLOOKUP(R151&amp;S151,Daily_Totals[Day]&amp;Daily_Totals[Term],Daily_Totals[Instruction]))</f>
        <v>0</v>
      </c>
      <c r="U151" cm="1">
        <f t="array" ref="U151">IF(ISBLANK(K151),0,_xlfn.XLOOKUP(R151&amp;S151,Daily_Totals[Day]&amp;Daily_Totals[Term],Daily_Totals[Non-Instruction]))</f>
        <v>0</v>
      </c>
    </row>
    <row r="152" spans="3:32" x14ac:dyDescent="0.3">
      <c r="C152">
        <f t="shared" si="22"/>
        <v>11</v>
      </c>
      <c r="D152" s="37">
        <v>45976</v>
      </c>
      <c r="E152">
        <v>0</v>
      </c>
      <c r="F152">
        <f t="shared" si="25"/>
        <v>0</v>
      </c>
      <c r="K152" s="37"/>
      <c r="L152"/>
      <c r="N152" t="str">
        <f t="shared" si="27"/>
        <v/>
      </c>
      <c r="O152">
        <f t="shared" si="28"/>
        <v>0</v>
      </c>
      <c r="P152">
        <f>IF(IF(ISERROR(MATCH(K152,Rotation_Reset_Dates[Date],0)),0,1)=1,1,IF(ISBLANK(K152),"",IF(OR(rotationDays=1,K152&lt;First_Instructional_Day1),0,IF(AND(rotationDays&gt;1,K152=First_Instructional_Day1),1,IF(P151+IF(OR(N151="Instructional",N151="Not Scheduled"),1,0)&gt;rotationDays,1,P151+IF(OR(N151="Instructional",N151="Not Scheduled"),1,0))))))</f>
        <v>1</v>
      </c>
      <c r="Q152" t="str">
        <f t="shared" si="26"/>
        <v/>
      </c>
      <c r="R152" t="str">
        <f>IF(ISBLANK(K152),"",IF(N152="Operational (no students)",99,IF(N152="Instructional",IF(rotationDays=1,Q152,P152),_xlfn.XLOOKUP(N152,TimeTable_Codes[Description],TimeTable_Codes[TimetableCode]))))</f>
        <v/>
      </c>
      <c r="S152" t="str">
        <f>IF(NOT(ISBLANK(K152)),VLOOKUP(K152,term_lookups[],2),"")</f>
        <v/>
      </c>
      <c r="T152" cm="1">
        <f t="array" ref="T152">IF(ISBLANK(K152),0,_xlfn.XLOOKUP(R152&amp;S152,Daily_Totals[Day]&amp;Daily_Totals[Term],Daily_Totals[Instruction]))</f>
        <v>0</v>
      </c>
      <c r="U152" cm="1">
        <f t="array" ref="U152">IF(ISBLANK(K152),0,_xlfn.XLOOKUP(R152&amp;S152,Daily_Totals[Day]&amp;Daily_Totals[Term],Daily_Totals[Non-Instruction]))</f>
        <v>0</v>
      </c>
    </row>
    <row r="153" spans="3:32" x14ac:dyDescent="0.3">
      <c r="C153">
        <f t="shared" si="22"/>
        <v>11</v>
      </c>
      <c r="D153" s="37" cm="1">
        <f t="array" ref="D153:D159">TRANSPOSE(Calendar!B67:H67)</f>
        <v>45977</v>
      </c>
      <c r="E153" cm="1">
        <f t="array" ref="E153:E159">TRANSPOSE(Calendar!B68:H68)</f>
        <v>0</v>
      </c>
      <c r="F153">
        <f t="shared" si="25"/>
        <v>0</v>
      </c>
      <c r="K153" s="37"/>
      <c r="L153"/>
      <c r="N153" t="str">
        <f t="shared" si="27"/>
        <v/>
      </c>
      <c r="O153">
        <f t="shared" si="28"/>
        <v>0</v>
      </c>
      <c r="P153">
        <f>IF(IF(ISERROR(MATCH(K153,Rotation_Reset_Dates[Date],0)),0,1)=1,1,IF(ISBLANK(K153),"",IF(OR(rotationDays=1,K153&lt;First_Instructional_Day1),0,IF(AND(rotationDays&gt;1,K153=First_Instructional_Day1),1,IF(P152+IF(OR(N152="Instructional",N152="Not Scheduled"),1,0)&gt;rotationDays,1,P152+IF(OR(N152="Instructional",N152="Not Scheduled"),1,0))))))</f>
        <v>1</v>
      </c>
      <c r="Q153" t="str">
        <f t="shared" si="26"/>
        <v/>
      </c>
      <c r="R153" t="str">
        <f>IF(ISBLANK(K153),"",IF(N153="Operational (no students)",99,IF(N153="Instructional",IF(rotationDays=1,Q153,P153),_xlfn.XLOOKUP(N153,TimeTable_Codes[Description],TimeTable_Codes[TimetableCode]))))</f>
        <v/>
      </c>
      <c r="S153" t="str">
        <f>IF(NOT(ISBLANK(K153)),VLOOKUP(K153,term_lookups[],2),"")</f>
        <v/>
      </c>
      <c r="T153" cm="1">
        <f t="array" ref="T153">IF(ISBLANK(K153),0,_xlfn.XLOOKUP(R153&amp;S153,Daily_Totals[Day]&amp;Daily_Totals[Term],Daily_Totals[Instruction]))</f>
        <v>0</v>
      </c>
      <c r="U153" cm="1">
        <f t="array" ref="U153">IF(ISBLANK(K153),0,_xlfn.XLOOKUP(R153&amp;S153,Daily_Totals[Day]&amp;Daily_Totals[Term],Daily_Totals[Non-Instruction]))</f>
        <v>0</v>
      </c>
    </row>
    <row r="154" spans="3:32" x14ac:dyDescent="0.3">
      <c r="C154">
        <f t="shared" si="22"/>
        <v>11</v>
      </c>
      <c r="D154" s="37">
        <v>45978</v>
      </c>
      <c r="E154">
        <v>0</v>
      </c>
      <c r="F154">
        <f t="shared" si="25"/>
        <v>0</v>
      </c>
      <c r="K154" s="37"/>
      <c r="L154"/>
      <c r="N154" t="str">
        <f t="shared" si="27"/>
        <v/>
      </c>
      <c r="O154">
        <f t="shared" si="28"/>
        <v>0</v>
      </c>
      <c r="P154">
        <f>IF(IF(ISERROR(MATCH(K154,Rotation_Reset_Dates[Date],0)),0,1)=1,1,IF(ISBLANK(K154),"",IF(OR(rotationDays=1,K154&lt;First_Instructional_Day1),0,IF(AND(rotationDays&gt;1,K154=First_Instructional_Day1),1,IF(P153+IF(OR(N153="Instructional",N153="Not Scheduled"),1,0)&gt;rotationDays,1,P153+IF(OR(N153="Instructional",N153="Not Scheduled"),1,0))))))</f>
        <v>1</v>
      </c>
      <c r="Q154" t="str">
        <f t="shared" si="26"/>
        <v/>
      </c>
      <c r="R154" t="str">
        <f>IF(ISBLANK(K154),"",IF(N154="Operational (no students)",99,IF(N154="Instructional",IF(rotationDays=1,Q154,P154),_xlfn.XLOOKUP(N154,TimeTable_Codes[Description],TimeTable_Codes[TimetableCode]))))</f>
        <v/>
      </c>
      <c r="S154" t="str">
        <f>IF(NOT(ISBLANK(K154)),VLOOKUP(K154,term_lookups[],2),"")</f>
        <v/>
      </c>
      <c r="T154" cm="1">
        <f t="array" ref="T154">IF(ISBLANK(K154),0,_xlfn.XLOOKUP(R154&amp;S154,Daily_Totals[Day]&amp;Daily_Totals[Term],Daily_Totals[Instruction]))</f>
        <v>0</v>
      </c>
      <c r="U154" cm="1">
        <f t="array" ref="U154">IF(ISBLANK(K154),0,_xlfn.XLOOKUP(R154&amp;S154,Daily_Totals[Day]&amp;Daily_Totals[Term],Daily_Totals[Non-Instruction]))</f>
        <v>0</v>
      </c>
    </row>
    <row r="155" spans="3:32" x14ac:dyDescent="0.3">
      <c r="C155">
        <f t="shared" si="22"/>
        <v>11</v>
      </c>
      <c r="D155" s="37">
        <v>45979</v>
      </c>
      <c r="E155">
        <v>0</v>
      </c>
      <c r="F155">
        <f t="shared" si="25"/>
        <v>0</v>
      </c>
      <c r="K155" s="37"/>
      <c r="L155"/>
      <c r="N155" t="str">
        <f t="shared" si="27"/>
        <v/>
      </c>
      <c r="O155">
        <f t="shared" si="28"/>
        <v>0</v>
      </c>
      <c r="P155">
        <f>IF(IF(ISERROR(MATCH(K155,Rotation_Reset_Dates[Date],0)),0,1)=1,1,IF(ISBLANK(K155),"",IF(OR(rotationDays=1,K155&lt;First_Instructional_Day1),0,IF(AND(rotationDays&gt;1,K155=First_Instructional_Day1),1,IF(P154+IF(OR(N154="Instructional",N154="Not Scheduled"),1,0)&gt;rotationDays,1,P154+IF(OR(N154="Instructional",N154="Not Scheduled"),1,0))))))</f>
        <v>1</v>
      </c>
      <c r="Q155" t="str">
        <f t="shared" si="26"/>
        <v/>
      </c>
      <c r="R155" t="str">
        <f>IF(ISBLANK(K155),"",IF(N155="Operational (no students)",99,IF(N155="Instructional",IF(rotationDays=1,Q155,P155),_xlfn.XLOOKUP(N155,TimeTable_Codes[Description],TimeTable_Codes[TimetableCode]))))</f>
        <v/>
      </c>
      <c r="S155" t="str">
        <f>IF(NOT(ISBLANK(K155)),VLOOKUP(K155,term_lookups[],2),"")</f>
        <v/>
      </c>
      <c r="T155" cm="1">
        <f t="array" ref="T155">IF(ISBLANK(K155),0,_xlfn.XLOOKUP(R155&amp;S155,Daily_Totals[Day]&amp;Daily_Totals[Term],Daily_Totals[Instruction]))</f>
        <v>0</v>
      </c>
      <c r="U155" cm="1">
        <f t="array" ref="U155">IF(ISBLANK(K155),0,_xlfn.XLOOKUP(R155&amp;S155,Daily_Totals[Day]&amp;Daily_Totals[Term],Daily_Totals[Non-Instruction]))</f>
        <v>0</v>
      </c>
    </row>
    <row r="156" spans="3:32" x14ac:dyDescent="0.3">
      <c r="C156">
        <f t="shared" si="22"/>
        <v>11</v>
      </c>
      <c r="D156" s="37">
        <v>45980</v>
      </c>
      <c r="E156">
        <v>0</v>
      </c>
      <c r="F156">
        <f t="shared" si="25"/>
        <v>0</v>
      </c>
      <c r="K156" s="37"/>
      <c r="L156"/>
      <c r="N156" t="str">
        <f t="shared" si="27"/>
        <v/>
      </c>
      <c r="O156">
        <f t="shared" si="28"/>
        <v>0</v>
      </c>
      <c r="P156">
        <f>IF(IF(ISERROR(MATCH(K156,Rotation_Reset_Dates[Date],0)),0,1)=1,1,IF(ISBLANK(K156),"",IF(OR(rotationDays=1,K156&lt;First_Instructional_Day1),0,IF(AND(rotationDays&gt;1,K156=First_Instructional_Day1),1,IF(P155+IF(OR(N155="Instructional",N155="Not Scheduled"),1,0)&gt;rotationDays,1,P155+IF(OR(N155="Instructional",N155="Not Scheduled"),1,0))))))</f>
        <v>1</v>
      </c>
      <c r="Q156" t="str">
        <f t="shared" si="26"/>
        <v/>
      </c>
      <c r="R156" t="str">
        <f>IF(ISBLANK(K156),"",IF(N156="Operational (no students)",99,IF(N156="Instructional",IF(rotationDays=1,Q156,P156),_xlfn.XLOOKUP(N156,TimeTable_Codes[Description],TimeTable_Codes[TimetableCode]))))</f>
        <v/>
      </c>
      <c r="S156" t="str">
        <f>IF(NOT(ISBLANK(K156)),VLOOKUP(K156,term_lookups[],2),"")</f>
        <v/>
      </c>
      <c r="T156" cm="1">
        <f t="array" ref="T156">IF(ISBLANK(K156),0,_xlfn.XLOOKUP(R156&amp;S156,Daily_Totals[Day]&amp;Daily_Totals[Term],Daily_Totals[Instruction]))</f>
        <v>0</v>
      </c>
      <c r="U156" cm="1">
        <f t="array" ref="U156">IF(ISBLANK(K156),0,_xlfn.XLOOKUP(R156&amp;S156,Daily_Totals[Day]&amp;Daily_Totals[Term],Daily_Totals[Non-Instruction]))</f>
        <v>0</v>
      </c>
    </row>
    <row r="157" spans="3:32" x14ac:dyDescent="0.3">
      <c r="C157">
        <f t="shared" si="22"/>
        <v>11</v>
      </c>
      <c r="D157" s="37">
        <v>45981</v>
      </c>
      <c r="E157">
        <v>0</v>
      </c>
      <c r="F157">
        <f t="shared" si="25"/>
        <v>0</v>
      </c>
      <c r="K157" s="37"/>
      <c r="L157"/>
      <c r="N157" t="str">
        <f t="shared" si="27"/>
        <v/>
      </c>
      <c r="O157">
        <f t="shared" si="28"/>
        <v>0</v>
      </c>
      <c r="P157">
        <f>IF(IF(ISERROR(MATCH(K157,Rotation_Reset_Dates[Date],0)),0,1)=1,1,IF(ISBLANK(K157),"",IF(OR(rotationDays=1,K157&lt;First_Instructional_Day1),0,IF(AND(rotationDays&gt;1,K157=First_Instructional_Day1),1,IF(P156+IF(OR(N156="Instructional",N156="Not Scheduled"),1,0)&gt;rotationDays,1,P156+IF(OR(N156="Instructional",N156="Not Scheduled"),1,0))))))</f>
        <v>1</v>
      </c>
      <c r="Q157" t="str">
        <f t="shared" si="26"/>
        <v/>
      </c>
      <c r="R157" t="str">
        <f>IF(ISBLANK(K157),"",IF(N157="Operational (no students)",99,IF(N157="Instructional",IF(rotationDays=1,Q157,P157),_xlfn.XLOOKUP(N157,TimeTable_Codes[Description],TimeTable_Codes[TimetableCode]))))</f>
        <v/>
      </c>
      <c r="S157" t="str">
        <f>IF(NOT(ISBLANK(K157)),VLOOKUP(K157,term_lookups[],2),"")</f>
        <v/>
      </c>
      <c r="T157" cm="1">
        <f t="array" ref="T157">IF(ISBLANK(K157),0,_xlfn.XLOOKUP(R157&amp;S157,Daily_Totals[Day]&amp;Daily_Totals[Term],Daily_Totals[Instruction]))</f>
        <v>0</v>
      </c>
      <c r="U157" cm="1">
        <f t="array" ref="U157">IF(ISBLANK(K157),0,_xlfn.XLOOKUP(R157&amp;S157,Daily_Totals[Day]&amp;Daily_Totals[Term],Daily_Totals[Non-Instruction]))</f>
        <v>0</v>
      </c>
    </row>
    <row r="158" spans="3:32" x14ac:dyDescent="0.3">
      <c r="C158">
        <f t="shared" si="22"/>
        <v>11</v>
      </c>
      <c r="D158" s="37">
        <v>45982</v>
      </c>
      <c r="E158">
        <v>0</v>
      </c>
      <c r="F158">
        <f t="shared" si="25"/>
        <v>0</v>
      </c>
      <c r="K158" s="37"/>
      <c r="L158"/>
      <c r="N158" t="str">
        <f t="shared" si="27"/>
        <v/>
      </c>
      <c r="O158">
        <f t="shared" si="28"/>
        <v>0</v>
      </c>
      <c r="P158">
        <f>IF(IF(ISERROR(MATCH(K158,Rotation_Reset_Dates[Date],0)),0,1)=1,1,IF(ISBLANK(K158),"",IF(OR(rotationDays=1,K158&lt;First_Instructional_Day1),0,IF(AND(rotationDays&gt;1,K158=First_Instructional_Day1),1,IF(P157+IF(OR(N157="Instructional",N157="Not Scheduled"),1,0)&gt;rotationDays,1,P157+IF(OR(N157="Instructional",N157="Not Scheduled"),1,0))))))</f>
        <v>1</v>
      </c>
      <c r="Q158" t="str">
        <f t="shared" si="26"/>
        <v/>
      </c>
      <c r="R158" t="str">
        <f>IF(ISBLANK(K158),"",IF(N158="Operational (no students)",99,IF(N158="Instructional",IF(rotationDays=1,Q158,P158),_xlfn.XLOOKUP(N158,TimeTable_Codes[Description],TimeTable_Codes[TimetableCode]))))</f>
        <v/>
      </c>
      <c r="S158" t="str">
        <f>IF(NOT(ISBLANK(K158)),VLOOKUP(K158,term_lookups[],2),"")</f>
        <v/>
      </c>
      <c r="T158" cm="1">
        <f t="array" ref="T158">IF(ISBLANK(K158),0,_xlfn.XLOOKUP(R158&amp;S158,Daily_Totals[Day]&amp;Daily_Totals[Term],Daily_Totals[Instruction]))</f>
        <v>0</v>
      </c>
      <c r="U158" cm="1">
        <f t="array" ref="U158">IF(ISBLANK(K158),0,_xlfn.XLOOKUP(R158&amp;S158,Daily_Totals[Day]&amp;Daily_Totals[Term],Daily_Totals[Non-Instruction]))</f>
        <v>0</v>
      </c>
    </row>
    <row r="159" spans="3:32" x14ac:dyDescent="0.3">
      <c r="C159">
        <f t="shared" si="22"/>
        <v>11</v>
      </c>
      <c r="D159" s="37">
        <v>45983</v>
      </c>
      <c r="E159">
        <v>0</v>
      </c>
      <c r="F159">
        <f t="shared" si="25"/>
        <v>0</v>
      </c>
      <c r="K159" s="37"/>
      <c r="L159"/>
      <c r="N159" t="str">
        <f t="shared" si="27"/>
        <v/>
      </c>
      <c r="O159">
        <f t="shared" si="28"/>
        <v>0</v>
      </c>
      <c r="P159">
        <f>IF(IF(ISERROR(MATCH(K159,Rotation_Reset_Dates[Date],0)),0,1)=1,1,IF(ISBLANK(K159),"",IF(OR(rotationDays=1,K159&lt;First_Instructional_Day1),0,IF(AND(rotationDays&gt;1,K159=First_Instructional_Day1),1,IF(P158+IF(OR(N158="Instructional",N158="Not Scheduled"),1,0)&gt;rotationDays,1,P158+IF(OR(N158="Instructional",N158="Not Scheduled"),1,0))))))</f>
        <v>1</v>
      </c>
      <c r="Q159" t="str">
        <f t="shared" si="26"/>
        <v/>
      </c>
      <c r="R159" t="str">
        <f>IF(ISBLANK(K159),"",IF(N159="Operational (no students)",99,IF(N159="Instructional",IF(rotationDays=1,Q159,P159),_xlfn.XLOOKUP(N159,TimeTable_Codes[Description],TimeTable_Codes[TimetableCode]))))</f>
        <v/>
      </c>
      <c r="S159" t="str">
        <f>IF(NOT(ISBLANK(K159)),VLOOKUP(K159,term_lookups[],2),"")</f>
        <v/>
      </c>
      <c r="T159" cm="1">
        <f t="array" ref="T159">IF(ISBLANK(K159),0,_xlfn.XLOOKUP(R159&amp;S159,Daily_Totals[Day]&amp;Daily_Totals[Term],Daily_Totals[Instruction]))</f>
        <v>0</v>
      </c>
      <c r="U159" cm="1">
        <f t="array" ref="U159">IF(ISBLANK(K159),0,_xlfn.XLOOKUP(R159&amp;S159,Daily_Totals[Day]&amp;Daily_Totals[Term],Daily_Totals[Non-Instruction]))</f>
        <v>0</v>
      </c>
    </row>
    <row r="160" spans="3:32" x14ac:dyDescent="0.3">
      <c r="C160">
        <f t="shared" ref="C160:C205" si="29">+C123+1</f>
        <v>11</v>
      </c>
      <c r="D160" s="37" cm="1">
        <f t="array" ref="D160:D166">TRANSPOSE(Calendar!B69:H69)</f>
        <v>45984</v>
      </c>
      <c r="E160" cm="1">
        <f t="array" ref="E160:E166">TRANSPOSE(Calendar!B70:H70)</f>
        <v>0</v>
      </c>
      <c r="F160">
        <f t="shared" si="25"/>
        <v>0</v>
      </c>
      <c r="K160" s="37"/>
      <c r="L160"/>
      <c r="N160" t="str">
        <f t="shared" si="27"/>
        <v/>
      </c>
      <c r="O160">
        <f t="shared" si="28"/>
        <v>0</v>
      </c>
      <c r="P160">
        <f>IF(IF(ISERROR(MATCH(K160,Rotation_Reset_Dates[Date],0)),0,1)=1,1,IF(ISBLANK(K160),"",IF(OR(rotationDays=1,K160&lt;First_Instructional_Day1),0,IF(AND(rotationDays&gt;1,K160=First_Instructional_Day1),1,IF(P159+IF(OR(N159="Instructional",N159="Not Scheduled"),1,0)&gt;rotationDays,1,P159+IF(OR(N159="Instructional",N159="Not Scheduled"),1,0))))))</f>
        <v>1</v>
      </c>
      <c r="Q160" t="str">
        <f t="shared" si="26"/>
        <v/>
      </c>
      <c r="R160" t="str">
        <f>IF(ISBLANK(K160),"",IF(N160="Operational (no students)",99,IF(N160="Instructional",IF(rotationDays=1,Q160,P160),_xlfn.XLOOKUP(N160,TimeTable_Codes[Description],TimeTable_Codes[TimetableCode]))))</f>
        <v/>
      </c>
      <c r="S160" t="str">
        <f>IF(NOT(ISBLANK(K160)),VLOOKUP(K160,term_lookups[],2),"")</f>
        <v/>
      </c>
      <c r="T160" cm="1">
        <f t="array" ref="T160">IF(ISBLANK(K160),0,_xlfn.XLOOKUP(R160&amp;S160,Daily_Totals[Day]&amp;Daily_Totals[Term],Daily_Totals[Instruction]))</f>
        <v>0</v>
      </c>
      <c r="U160" cm="1">
        <f t="array" ref="U160">IF(ISBLANK(K160),0,_xlfn.XLOOKUP(R160&amp;S160,Daily_Totals[Day]&amp;Daily_Totals[Term],Daily_Totals[Non-Instruction]))</f>
        <v>0</v>
      </c>
    </row>
    <row r="161" spans="3:21" x14ac:dyDescent="0.3">
      <c r="C161">
        <f t="shared" si="29"/>
        <v>11</v>
      </c>
      <c r="D161" s="37">
        <v>45985</v>
      </c>
      <c r="E161">
        <v>0</v>
      </c>
      <c r="F161">
        <f t="shared" si="25"/>
        <v>0</v>
      </c>
      <c r="K161" s="37"/>
      <c r="L161"/>
      <c r="N161" t="str">
        <f t="shared" si="27"/>
        <v/>
      </c>
      <c r="O161">
        <f t="shared" si="28"/>
        <v>0</v>
      </c>
      <c r="P161">
        <f>IF(IF(ISERROR(MATCH(K161,Rotation_Reset_Dates[Date],0)),0,1)=1,1,IF(ISBLANK(K161),"",IF(OR(rotationDays=1,K161&lt;First_Instructional_Day1),0,IF(AND(rotationDays&gt;1,K161=First_Instructional_Day1),1,IF(P160+IF(OR(N160="Instructional",N160="Not Scheduled"),1,0)&gt;rotationDays,1,P160+IF(OR(N160="Instructional",N160="Not Scheduled"),1,0))))))</f>
        <v>1</v>
      </c>
      <c r="Q161" t="str">
        <f t="shared" si="26"/>
        <v/>
      </c>
      <c r="R161" t="str">
        <f>IF(ISBLANK(K161),"",IF(N161="Operational (no students)",99,IF(N161="Instructional",IF(rotationDays=1,Q161,P161),_xlfn.XLOOKUP(N161,TimeTable_Codes[Description],TimeTable_Codes[TimetableCode]))))</f>
        <v/>
      </c>
      <c r="S161" t="str">
        <f>IF(NOT(ISBLANK(K161)),VLOOKUP(K161,term_lookups[],2),"")</f>
        <v/>
      </c>
      <c r="T161" cm="1">
        <f t="array" ref="T161">IF(ISBLANK(K161),0,_xlfn.XLOOKUP(R161&amp;S161,Daily_Totals[Day]&amp;Daily_Totals[Term],Daily_Totals[Instruction]))</f>
        <v>0</v>
      </c>
      <c r="U161" cm="1">
        <f t="array" ref="U161">IF(ISBLANK(K161),0,_xlfn.XLOOKUP(R161&amp;S161,Daily_Totals[Day]&amp;Daily_Totals[Term],Daily_Totals[Non-Instruction]))</f>
        <v>0</v>
      </c>
    </row>
    <row r="162" spans="3:21" x14ac:dyDescent="0.3">
      <c r="C162">
        <f t="shared" si="29"/>
        <v>11</v>
      </c>
      <c r="D162" s="37">
        <v>45986</v>
      </c>
      <c r="E162">
        <v>0</v>
      </c>
      <c r="F162">
        <f t="shared" si="25"/>
        <v>0</v>
      </c>
      <c r="K162" s="37"/>
      <c r="L162"/>
      <c r="N162" t="str">
        <f t="shared" si="27"/>
        <v/>
      </c>
      <c r="O162">
        <f t="shared" si="28"/>
        <v>0</v>
      </c>
      <c r="P162">
        <f>IF(IF(ISERROR(MATCH(K162,Rotation_Reset_Dates[Date],0)),0,1)=1,1,IF(ISBLANK(K162),"",IF(OR(rotationDays=1,K162&lt;First_Instructional_Day1),0,IF(AND(rotationDays&gt;1,K162=First_Instructional_Day1),1,IF(P161+IF(OR(N161="Instructional",N161="Not Scheduled"),1,0)&gt;rotationDays,1,P161+IF(OR(N161="Instructional",N161="Not Scheduled"),1,0))))))</f>
        <v>1</v>
      </c>
      <c r="Q162" t="str">
        <f t="shared" si="26"/>
        <v/>
      </c>
      <c r="R162" t="str">
        <f>IF(ISBLANK(K162),"",IF(N162="Operational (no students)",99,IF(N162="Instructional",IF(rotationDays=1,Q162,P162),_xlfn.XLOOKUP(N162,TimeTable_Codes[Description],TimeTable_Codes[TimetableCode]))))</f>
        <v/>
      </c>
      <c r="S162" t="str">
        <f>IF(NOT(ISBLANK(K162)),VLOOKUP(K162,term_lookups[],2),"")</f>
        <v/>
      </c>
      <c r="T162" cm="1">
        <f t="array" ref="T162">IF(ISBLANK(K162),0,_xlfn.XLOOKUP(R162&amp;S162,Daily_Totals[Day]&amp;Daily_Totals[Term],Daily_Totals[Instruction]))</f>
        <v>0</v>
      </c>
      <c r="U162" cm="1">
        <f t="array" ref="U162">IF(ISBLANK(K162),0,_xlfn.XLOOKUP(R162&amp;S162,Daily_Totals[Day]&amp;Daily_Totals[Term],Daily_Totals[Non-Instruction]))</f>
        <v>0</v>
      </c>
    </row>
    <row r="163" spans="3:21" x14ac:dyDescent="0.3">
      <c r="C163">
        <f t="shared" si="29"/>
        <v>11</v>
      </c>
      <c r="D163" s="37">
        <v>45987</v>
      </c>
      <c r="E163">
        <v>0</v>
      </c>
      <c r="F163">
        <f t="shared" si="25"/>
        <v>0</v>
      </c>
      <c r="K163" s="37"/>
      <c r="L163"/>
      <c r="N163" t="str">
        <f t="shared" si="27"/>
        <v/>
      </c>
      <c r="O163">
        <f t="shared" si="28"/>
        <v>0</v>
      </c>
      <c r="P163">
        <f>IF(IF(ISERROR(MATCH(K163,Rotation_Reset_Dates[Date],0)),0,1)=1,1,IF(ISBLANK(K163),"",IF(OR(rotationDays=1,K163&lt;First_Instructional_Day1),0,IF(AND(rotationDays&gt;1,K163=First_Instructional_Day1),1,IF(P162+IF(OR(N162="Instructional",N162="Not Scheduled"),1,0)&gt;rotationDays,1,P162+IF(OR(N162="Instructional",N162="Not Scheduled"),1,0))))))</f>
        <v>1</v>
      </c>
      <c r="Q163" t="str">
        <f t="shared" si="26"/>
        <v/>
      </c>
      <c r="R163" t="str">
        <f>IF(ISBLANK(K163),"",IF(N163="Operational (no students)",99,IF(N163="Instructional",IF(rotationDays=1,Q163,P163),_xlfn.XLOOKUP(N163,TimeTable_Codes[Description],TimeTable_Codes[TimetableCode]))))</f>
        <v/>
      </c>
      <c r="S163" t="str">
        <f>IF(NOT(ISBLANK(K163)),VLOOKUP(K163,term_lookups[],2),"")</f>
        <v/>
      </c>
      <c r="T163" cm="1">
        <f t="array" ref="T163">IF(ISBLANK(K163),0,_xlfn.XLOOKUP(R163&amp;S163,Daily_Totals[Day]&amp;Daily_Totals[Term],Daily_Totals[Instruction]))</f>
        <v>0</v>
      </c>
      <c r="U163" cm="1">
        <f t="array" ref="U163">IF(ISBLANK(K163),0,_xlfn.XLOOKUP(R163&amp;S163,Daily_Totals[Day]&amp;Daily_Totals[Term],Daily_Totals[Non-Instruction]))</f>
        <v>0</v>
      </c>
    </row>
    <row r="164" spans="3:21" x14ac:dyDescent="0.3">
      <c r="C164">
        <f t="shared" si="29"/>
        <v>11</v>
      </c>
      <c r="D164" s="37">
        <v>45988</v>
      </c>
      <c r="E164">
        <v>0</v>
      </c>
      <c r="F164">
        <f t="shared" si="25"/>
        <v>0</v>
      </c>
      <c r="K164" s="37"/>
      <c r="L164"/>
      <c r="N164" t="str">
        <f t="shared" si="27"/>
        <v/>
      </c>
      <c r="O164">
        <f t="shared" si="28"/>
        <v>0</v>
      </c>
      <c r="P164">
        <f>IF(IF(ISERROR(MATCH(K164,Rotation_Reset_Dates[Date],0)),0,1)=1,1,IF(ISBLANK(K164),"",IF(OR(rotationDays=1,K164&lt;First_Instructional_Day1),0,IF(AND(rotationDays&gt;1,K164=First_Instructional_Day1),1,IF(P163+IF(OR(N163="Instructional",N163="Not Scheduled"),1,0)&gt;rotationDays,1,P163+IF(OR(N163="Instructional",N163="Not Scheduled"),1,0))))))</f>
        <v>1</v>
      </c>
      <c r="Q164" t="str">
        <f t="shared" si="26"/>
        <v/>
      </c>
      <c r="R164" t="str">
        <f>IF(ISBLANK(K164),"",IF(N164="Operational (no students)",99,IF(N164="Instructional",IF(rotationDays=1,Q164,P164),_xlfn.XLOOKUP(N164,TimeTable_Codes[Description],TimeTable_Codes[TimetableCode]))))</f>
        <v/>
      </c>
      <c r="S164" t="str">
        <f>IF(NOT(ISBLANK(K164)),VLOOKUP(K164,term_lookups[],2),"")</f>
        <v/>
      </c>
      <c r="T164" cm="1">
        <f t="array" ref="T164">IF(ISBLANK(K164),0,_xlfn.XLOOKUP(R164&amp;S164,Daily_Totals[Day]&amp;Daily_Totals[Term],Daily_Totals[Instruction]))</f>
        <v>0</v>
      </c>
      <c r="U164" cm="1">
        <f t="array" ref="U164">IF(ISBLANK(K164),0,_xlfn.XLOOKUP(R164&amp;S164,Daily_Totals[Day]&amp;Daily_Totals[Term],Daily_Totals[Non-Instruction]))</f>
        <v>0</v>
      </c>
    </row>
    <row r="165" spans="3:21" x14ac:dyDescent="0.3">
      <c r="C165">
        <f t="shared" si="29"/>
        <v>11</v>
      </c>
      <c r="D165" s="37">
        <v>45989</v>
      </c>
      <c r="E165">
        <v>0</v>
      </c>
      <c r="F165">
        <f t="shared" si="25"/>
        <v>0</v>
      </c>
      <c r="K165" s="37"/>
      <c r="L165"/>
      <c r="N165" t="str">
        <f t="shared" si="27"/>
        <v/>
      </c>
      <c r="O165">
        <f t="shared" si="28"/>
        <v>0</v>
      </c>
      <c r="P165">
        <f>IF(IF(ISERROR(MATCH(K165,Rotation_Reset_Dates[Date],0)),0,1)=1,1,IF(ISBLANK(K165),"",IF(OR(rotationDays=1,K165&lt;First_Instructional_Day1),0,IF(AND(rotationDays&gt;1,K165=First_Instructional_Day1),1,IF(P164+IF(OR(N164="Instructional",N164="Not Scheduled"),1,0)&gt;rotationDays,1,P164+IF(OR(N164="Instructional",N164="Not Scheduled"),1,0))))))</f>
        <v>1</v>
      </c>
      <c r="Q165" t="str">
        <f t="shared" si="26"/>
        <v/>
      </c>
      <c r="R165" t="str">
        <f>IF(ISBLANK(K165),"",IF(N165="Operational (no students)",99,IF(N165="Instructional",IF(rotationDays=1,Q165,P165),_xlfn.XLOOKUP(N165,TimeTable_Codes[Description],TimeTable_Codes[TimetableCode]))))</f>
        <v/>
      </c>
      <c r="S165" t="str">
        <f>IF(NOT(ISBLANK(K165)),VLOOKUP(K165,term_lookups[],2),"")</f>
        <v/>
      </c>
      <c r="T165" cm="1">
        <f t="array" ref="T165">IF(ISBLANK(K165),0,_xlfn.XLOOKUP(R165&amp;S165,Daily_Totals[Day]&amp;Daily_Totals[Term],Daily_Totals[Instruction]))</f>
        <v>0</v>
      </c>
      <c r="U165" cm="1">
        <f t="array" ref="U165">IF(ISBLANK(K165),0,_xlfn.XLOOKUP(R165&amp;S165,Daily_Totals[Day]&amp;Daily_Totals[Term],Daily_Totals[Non-Instruction]))</f>
        <v>0</v>
      </c>
    </row>
    <row r="166" spans="3:21" x14ac:dyDescent="0.3">
      <c r="C166">
        <f t="shared" si="29"/>
        <v>11</v>
      </c>
      <c r="D166" s="37">
        <v>45990</v>
      </c>
      <c r="E166">
        <v>0</v>
      </c>
      <c r="F166">
        <f t="shared" si="25"/>
        <v>0</v>
      </c>
      <c r="K166" s="37"/>
      <c r="L166"/>
      <c r="N166" t="str">
        <f t="shared" si="27"/>
        <v/>
      </c>
      <c r="O166">
        <f t="shared" si="28"/>
        <v>0</v>
      </c>
      <c r="P166">
        <f>IF(IF(ISERROR(MATCH(K166,Rotation_Reset_Dates[Date],0)),0,1)=1,1,IF(ISBLANK(K166),"",IF(OR(rotationDays=1,K166&lt;First_Instructional_Day1),0,IF(AND(rotationDays&gt;1,K166=First_Instructional_Day1),1,IF(P165+IF(OR(N165="Instructional",N165="Not Scheduled"),1,0)&gt;rotationDays,1,P165+IF(OR(N165="Instructional",N165="Not Scheduled"),1,0))))))</f>
        <v>1</v>
      </c>
      <c r="Q166" t="str">
        <f t="shared" si="26"/>
        <v/>
      </c>
      <c r="R166" t="str">
        <f>IF(ISBLANK(K166),"",IF(N166="Operational (no students)",99,IF(N166="Instructional",IF(rotationDays=1,Q166,P166),_xlfn.XLOOKUP(N166,TimeTable_Codes[Description],TimeTable_Codes[TimetableCode]))))</f>
        <v/>
      </c>
      <c r="S166" t="str">
        <f>IF(NOT(ISBLANK(K166)),VLOOKUP(K166,term_lookups[],2),"")</f>
        <v/>
      </c>
      <c r="T166" cm="1">
        <f t="array" ref="T166">IF(ISBLANK(K166),0,_xlfn.XLOOKUP(R166&amp;S166,Daily_Totals[Day]&amp;Daily_Totals[Term],Daily_Totals[Instruction]))</f>
        <v>0</v>
      </c>
      <c r="U166" cm="1">
        <f t="array" ref="U166">IF(ISBLANK(K166),0,_xlfn.XLOOKUP(R166&amp;S166,Daily_Totals[Day]&amp;Daily_Totals[Term],Daily_Totals[Non-Instruction]))</f>
        <v>0</v>
      </c>
    </row>
    <row r="167" spans="3:21" x14ac:dyDescent="0.3">
      <c r="C167">
        <f t="shared" si="29"/>
        <v>11</v>
      </c>
      <c r="D167" s="37" cm="1">
        <f t="array" ref="D167:D168">TRANSPOSE(Calendar!B71:C71)</f>
        <v>45991</v>
      </c>
      <c r="E167" cm="1">
        <f t="array" ref="E167">TRANSPOSE(Calendar!B72:B72)</f>
        <v>0</v>
      </c>
      <c r="F167">
        <f t="shared" si="25"/>
        <v>0</v>
      </c>
      <c r="K167" s="37"/>
      <c r="L167"/>
      <c r="N167" t="str">
        <f t="shared" si="27"/>
        <v/>
      </c>
      <c r="O167">
        <f t="shared" si="28"/>
        <v>0</v>
      </c>
      <c r="P167">
        <f>IF(IF(ISERROR(MATCH(K167,Rotation_Reset_Dates[Date],0)),0,1)=1,1,IF(ISBLANK(K167),"",IF(OR(rotationDays=1,K167&lt;First_Instructional_Day1),0,IF(AND(rotationDays&gt;1,K167=First_Instructional_Day1),1,IF(P166+IF(OR(N166="Instructional",N166="Not Scheduled"),1,0)&gt;rotationDays,1,P166+IF(OR(N166="Instructional",N166="Not Scheduled"),1,0))))))</f>
        <v>1</v>
      </c>
      <c r="Q167" t="str">
        <f t="shared" si="26"/>
        <v/>
      </c>
      <c r="R167" t="str">
        <f>IF(ISBLANK(K167),"",IF(N167="Operational (no students)",99,IF(N167="Instructional",IF(rotationDays=1,Q167,P167),_xlfn.XLOOKUP(N167,TimeTable_Codes[Description],TimeTable_Codes[TimetableCode]))))</f>
        <v/>
      </c>
      <c r="S167" t="str">
        <f>IF(NOT(ISBLANK(K167)),VLOOKUP(K167,term_lookups[],2),"")</f>
        <v/>
      </c>
      <c r="T167" cm="1">
        <f t="array" ref="T167">IF(ISBLANK(K167),0,_xlfn.XLOOKUP(R167&amp;S167,Daily_Totals[Day]&amp;Daily_Totals[Term],Daily_Totals[Instruction]))</f>
        <v>0</v>
      </c>
      <c r="U167" cm="1">
        <f t="array" ref="U167">IF(ISBLANK(K167),0,_xlfn.XLOOKUP(R167&amp;S167,Daily_Totals[Day]&amp;Daily_Totals[Term],Daily_Totals[Non-Instruction]))</f>
        <v>0</v>
      </c>
    </row>
    <row r="168" spans="3:21" x14ac:dyDescent="0.3">
      <c r="C168">
        <f t="shared" si="29"/>
        <v>11</v>
      </c>
      <c r="D168" s="37">
        <v>45992</v>
      </c>
      <c r="E168"/>
      <c r="F168">
        <f t="shared" si="25"/>
        <v>0</v>
      </c>
      <c r="K168" s="37"/>
      <c r="L168"/>
      <c r="N168" t="str">
        <f t="shared" si="27"/>
        <v/>
      </c>
      <c r="O168">
        <f t="shared" si="28"/>
        <v>0</v>
      </c>
      <c r="P168">
        <f>IF(IF(ISERROR(MATCH(K168,Rotation_Reset_Dates[Date],0)),0,1)=1,1,IF(ISBLANK(K168),"",IF(OR(rotationDays=1,K168&lt;First_Instructional_Day1),0,IF(AND(rotationDays&gt;1,K168=First_Instructional_Day1),1,IF(P167+IF(OR(N167="Instructional",N167="Not Scheduled"),1,0)&gt;rotationDays,1,P167+IF(OR(N167="Instructional",N167="Not Scheduled"),1,0))))))</f>
        <v>1</v>
      </c>
      <c r="Q168" t="str">
        <f t="shared" si="26"/>
        <v/>
      </c>
      <c r="R168" t="str">
        <f>IF(ISBLANK(K168),"",IF(N168="Operational (no students)",99,IF(N168="Instructional",IF(rotationDays=1,Q168,P168),_xlfn.XLOOKUP(N168,TimeTable_Codes[Description],TimeTable_Codes[TimetableCode]))))</f>
        <v/>
      </c>
      <c r="S168" t="str">
        <f>IF(NOT(ISBLANK(K168)),VLOOKUP(K168,term_lookups[],2),"")</f>
        <v/>
      </c>
      <c r="T168" cm="1">
        <f t="array" ref="T168">IF(ISBLANK(K168),0,_xlfn.XLOOKUP(R168&amp;S168,Daily_Totals[Day]&amp;Daily_Totals[Term],Daily_Totals[Instruction]))</f>
        <v>0</v>
      </c>
      <c r="U168" cm="1">
        <f t="array" ref="U168">IF(ISBLANK(K168),0,_xlfn.XLOOKUP(R168&amp;S168,Daily_Totals[Day]&amp;Daily_Totals[Term],Daily_Totals[Non-Instruction]))</f>
        <v>0</v>
      </c>
    </row>
    <row r="169" spans="3:21" x14ac:dyDescent="0.3">
      <c r="C169">
        <f t="shared" si="29"/>
        <v>12</v>
      </c>
      <c r="D169" s="37" cm="1">
        <f t="array" ref="D169:D175">TRANSPOSE(Calendar!B77:H77)</f>
        <v>45991</v>
      </c>
      <c r="E169" cm="1">
        <f t="array" ref="E169:E175">TRANSPOSE(Calendar!B78:H78)</f>
        <v>0</v>
      </c>
      <c r="F169">
        <f t="shared" si="25"/>
        <v>0</v>
      </c>
      <c r="K169" s="37"/>
      <c r="L169"/>
      <c r="N169" t="str">
        <f t="shared" si="27"/>
        <v/>
      </c>
      <c r="O169">
        <f t="shared" si="28"/>
        <v>0</v>
      </c>
      <c r="P169">
        <f>IF(IF(ISERROR(MATCH(K169,Rotation_Reset_Dates[Date],0)),0,1)=1,1,IF(ISBLANK(K169),"",IF(OR(rotationDays=1,K169&lt;First_Instructional_Day1),0,IF(AND(rotationDays&gt;1,K169=First_Instructional_Day1),1,IF(P168+IF(OR(N168="Instructional",N168="Not Scheduled"),1,0)&gt;rotationDays,1,P168+IF(OR(N168="Instructional",N168="Not Scheduled"),1,0))))))</f>
        <v>1</v>
      </c>
      <c r="Q169" t="str">
        <f t="shared" si="26"/>
        <v/>
      </c>
      <c r="R169" t="str">
        <f>IF(ISBLANK(K169),"",IF(N169="Operational (no students)",99,IF(N169="Instructional",IF(rotationDays=1,Q169,P169),_xlfn.XLOOKUP(N169,TimeTable_Codes[Description],TimeTable_Codes[TimetableCode]))))</f>
        <v/>
      </c>
      <c r="S169" t="str">
        <f>IF(NOT(ISBLANK(K169)),VLOOKUP(K169,term_lookups[],2),"")</f>
        <v/>
      </c>
      <c r="T169" cm="1">
        <f t="array" ref="T169">IF(ISBLANK(K169),0,_xlfn.XLOOKUP(R169&amp;S169,Daily_Totals[Day]&amp;Daily_Totals[Term],Daily_Totals[Instruction]))</f>
        <v>0</v>
      </c>
      <c r="U169" cm="1">
        <f t="array" ref="U169">IF(ISBLANK(K169),0,_xlfn.XLOOKUP(R169&amp;S169,Daily_Totals[Day]&amp;Daily_Totals[Term],Daily_Totals[Non-Instruction]))</f>
        <v>0</v>
      </c>
    </row>
    <row r="170" spans="3:21" x14ac:dyDescent="0.3">
      <c r="C170">
        <f t="shared" si="29"/>
        <v>12</v>
      </c>
      <c r="D170" s="37">
        <v>45992</v>
      </c>
      <c r="E170">
        <v>0</v>
      </c>
      <c r="F170">
        <f t="shared" si="25"/>
        <v>0</v>
      </c>
      <c r="K170" s="37"/>
      <c r="L170"/>
      <c r="N170" t="str">
        <f t="shared" si="27"/>
        <v/>
      </c>
      <c r="O170">
        <f t="shared" si="28"/>
        <v>0</v>
      </c>
      <c r="P170">
        <f>IF(IF(ISERROR(MATCH(K170,Rotation_Reset_Dates[Date],0)),0,1)=1,1,IF(ISBLANK(K170),"",IF(OR(rotationDays=1,K170&lt;First_Instructional_Day1),0,IF(AND(rotationDays&gt;1,K170=First_Instructional_Day1),1,IF(P169+IF(OR(N169="Instructional",N169="Not Scheduled"),1,0)&gt;rotationDays,1,P169+IF(OR(N169="Instructional",N169="Not Scheduled"),1,0))))))</f>
        <v>1</v>
      </c>
      <c r="Q170" t="str">
        <f t="shared" si="26"/>
        <v/>
      </c>
      <c r="R170" t="str">
        <f>IF(ISBLANK(K170),"",IF(N170="Operational (no students)",99,IF(N170="Instructional",IF(rotationDays=1,Q170,P170),_xlfn.XLOOKUP(N170,TimeTable_Codes[Description],TimeTable_Codes[TimetableCode]))))</f>
        <v/>
      </c>
      <c r="S170" t="str">
        <f>IF(NOT(ISBLANK(K170)),VLOOKUP(K170,term_lookups[],2),"")</f>
        <v/>
      </c>
      <c r="T170" cm="1">
        <f t="array" ref="T170">IF(ISBLANK(K170),0,_xlfn.XLOOKUP(R170&amp;S170,Daily_Totals[Day]&amp;Daily_Totals[Term],Daily_Totals[Instruction]))</f>
        <v>0</v>
      </c>
      <c r="U170" cm="1">
        <f t="array" ref="U170">IF(ISBLANK(K170),0,_xlfn.XLOOKUP(R170&amp;S170,Daily_Totals[Day]&amp;Daily_Totals[Term],Daily_Totals[Non-Instruction]))</f>
        <v>0</v>
      </c>
    </row>
    <row r="171" spans="3:21" x14ac:dyDescent="0.3">
      <c r="C171">
        <f t="shared" si="29"/>
        <v>12</v>
      </c>
      <c r="D171" s="37">
        <v>45993</v>
      </c>
      <c r="E171">
        <v>0</v>
      </c>
      <c r="F171">
        <f t="shared" si="25"/>
        <v>0</v>
      </c>
      <c r="K171" s="37"/>
      <c r="L171"/>
      <c r="N171" t="str">
        <f t="shared" si="27"/>
        <v/>
      </c>
      <c r="O171">
        <f t="shared" si="28"/>
        <v>0</v>
      </c>
      <c r="P171">
        <f>IF(IF(ISERROR(MATCH(K171,Rotation_Reset_Dates[Date],0)),0,1)=1,1,IF(ISBLANK(K171),"",IF(OR(rotationDays=1,K171&lt;First_Instructional_Day1),0,IF(AND(rotationDays&gt;1,K171=First_Instructional_Day1),1,IF(P170+IF(OR(N170="Instructional",N170="Not Scheduled"),1,0)&gt;rotationDays,1,P170+IF(OR(N170="Instructional",N170="Not Scheduled"),1,0))))))</f>
        <v>1</v>
      </c>
      <c r="Q171" t="str">
        <f t="shared" si="26"/>
        <v/>
      </c>
      <c r="R171" t="str">
        <f>IF(ISBLANK(K171),"",IF(N171="Operational (no students)",99,IF(N171="Instructional",IF(rotationDays=1,Q171,P171),_xlfn.XLOOKUP(N171,TimeTable_Codes[Description],TimeTable_Codes[TimetableCode]))))</f>
        <v/>
      </c>
      <c r="S171" t="str">
        <f>IF(NOT(ISBLANK(K171)),VLOOKUP(K171,term_lookups[],2),"")</f>
        <v/>
      </c>
      <c r="T171" cm="1">
        <f t="array" ref="T171">IF(ISBLANK(K171),0,_xlfn.XLOOKUP(R171&amp;S171,Daily_Totals[Day]&amp;Daily_Totals[Term],Daily_Totals[Instruction]))</f>
        <v>0</v>
      </c>
      <c r="U171" cm="1">
        <f t="array" ref="U171">IF(ISBLANK(K171),0,_xlfn.XLOOKUP(R171&amp;S171,Daily_Totals[Day]&amp;Daily_Totals[Term],Daily_Totals[Non-Instruction]))</f>
        <v>0</v>
      </c>
    </row>
    <row r="172" spans="3:21" x14ac:dyDescent="0.3">
      <c r="C172">
        <f t="shared" si="29"/>
        <v>12</v>
      </c>
      <c r="D172" s="37">
        <v>45994</v>
      </c>
      <c r="E172">
        <v>0</v>
      </c>
      <c r="F172">
        <f t="shared" si="25"/>
        <v>0</v>
      </c>
      <c r="K172" s="37"/>
      <c r="L172"/>
      <c r="N172" t="str">
        <f t="shared" si="27"/>
        <v/>
      </c>
      <c r="O172">
        <f t="shared" si="28"/>
        <v>0</v>
      </c>
      <c r="P172">
        <f>IF(IF(ISERROR(MATCH(K172,Rotation_Reset_Dates[Date],0)),0,1)=1,1,IF(ISBLANK(K172),"",IF(OR(rotationDays=1,K172&lt;First_Instructional_Day1),0,IF(AND(rotationDays&gt;1,K172=First_Instructional_Day1),1,IF(P171+IF(OR(N171="Instructional",N171="Not Scheduled"),1,0)&gt;rotationDays,1,P171+IF(OR(N171="Instructional",N171="Not Scheduled"),1,0))))))</f>
        <v>1</v>
      </c>
      <c r="Q172" t="str">
        <f t="shared" si="26"/>
        <v/>
      </c>
      <c r="R172" t="str">
        <f>IF(ISBLANK(K172),"",IF(N172="Operational (no students)",99,IF(N172="Instructional",IF(rotationDays=1,Q172,P172),_xlfn.XLOOKUP(N172,TimeTable_Codes[Description],TimeTable_Codes[TimetableCode]))))</f>
        <v/>
      </c>
      <c r="S172" t="str">
        <f>IF(NOT(ISBLANK(K172)),VLOOKUP(K172,term_lookups[],2),"")</f>
        <v/>
      </c>
      <c r="T172" cm="1">
        <f t="array" ref="T172">IF(ISBLANK(K172),0,_xlfn.XLOOKUP(R172&amp;S172,Daily_Totals[Day]&amp;Daily_Totals[Term],Daily_Totals[Instruction]))</f>
        <v>0</v>
      </c>
      <c r="U172" cm="1">
        <f t="array" ref="U172">IF(ISBLANK(K172),0,_xlfn.XLOOKUP(R172&amp;S172,Daily_Totals[Day]&amp;Daily_Totals[Term],Daily_Totals[Non-Instruction]))</f>
        <v>0</v>
      </c>
    </row>
    <row r="173" spans="3:21" x14ac:dyDescent="0.3">
      <c r="C173">
        <f t="shared" si="29"/>
        <v>12</v>
      </c>
      <c r="D173" s="37">
        <v>45995</v>
      </c>
      <c r="E173">
        <v>0</v>
      </c>
      <c r="F173">
        <f t="shared" si="25"/>
        <v>0</v>
      </c>
      <c r="K173" s="37"/>
      <c r="L173"/>
      <c r="N173" t="str">
        <f t="shared" si="27"/>
        <v/>
      </c>
      <c r="O173">
        <f t="shared" si="28"/>
        <v>0</v>
      </c>
      <c r="P173">
        <f>IF(IF(ISERROR(MATCH(K173,Rotation_Reset_Dates[Date],0)),0,1)=1,1,IF(ISBLANK(K173),"",IF(OR(rotationDays=1,K173&lt;First_Instructional_Day1),0,IF(AND(rotationDays&gt;1,K173=First_Instructional_Day1),1,IF(P172+IF(OR(N172="Instructional",N172="Not Scheduled"),1,0)&gt;rotationDays,1,P172+IF(OR(N172="Instructional",N172="Not Scheduled"),1,0))))))</f>
        <v>1</v>
      </c>
      <c r="Q173" t="str">
        <f t="shared" si="26"/>
        <v/>
      </c>
      <c r="R173" t="str">
        <f>IF(ISBLANK(K173),"",IF(N173="Operational (no students)",99,IF(N173="Instructional",IF(rotationDays=1,Q173,P173),_xlfn.XLOOKUP(N173,TimeTable_Codes[Description],TimeTable_Codes[TimetableCode]))))</f>
        <v/>
      </c>
      <c r="S173" t="str">
        <f>IF(NOT(ISBLANK(K173)),VLOOKUP(K173,term_lookups[],2),"")</f>
        <v/>
      </c>
      <c r="T173" cm="1">
        <f t="array" ref="T173">IF(ISBLANK(K173),0,_xlfn.XLOOKUP(R173&amp;S173,Daily_Totals[Day]&amp;Daily_Totals[Term],Daily_Totals[Instruction]))</f>
        <v>0</v>
      </c>
      <c r="U173" cm="1">
        <f t="array" ref="U173">IF(ISBLANK(K173),0,_xlfn.XLOOKUP(R173&amp;S173,Daily_Totals[Day]&amp;Daily_Totals[Term],Daily_Totals[Non-Instruction]))</f>
        <v>0</v>
      </c>
    </row>
    <row r="174" spans="3:21" x14ac:dyDescent="0.3">
      <c r="C174">
        <f t="shared" si="29"/>
        <v>12</v>
      </c>
      <c r="D174" s="37">
        <v>45996</v>
      </c>
      <c r="E174">
        <v>0</v>
      </c>
      <c r="F174">
        <f t="shared" si="25"/>
        <v>0</v>
      </c>
      <c r="K174" s="37"/>
      <c r="L174"/>
      <c r="N174" t="str">
        <f t="shared" si="27"/>
        <v/>
      </c>
      <c r="O174">
        <f t="shared" si="28"/>
        <v>0</v>
      </c>
      <c r="P174">
        <f>IF(IF(ISERROR(MATCH(K174,Rotation_Reset_Dates[Date],0)),0,1)=1,1,IF(ISBLANK(K174),"",IF(OR(rotationDays=1,K174&lt;First_Instructional_Day1),0,IF(AND(rotationDays&gt;1,K174=First_Instructional_Day1),1,IF(P173+IF(OR(N173="Instructional",N173="Not Scheduled"),1,0)&gt;rotationDays,1,P173+IF(OR(N173="Instructional",N173="Not Scheduled"),1,0))))))</f>
        <v>1</v>
      </c>
      <c r="Q174" t="str">
        <f t="shared" si="26"/>
        <v/>
      </c>
      <c r="R174" t="str">
        <f>IF(ISBLANK(K174),"",IF(N174="Operational (no students)",99,IF(N174="Instructional",IF(rotationDays=1,Q174,P174),_xlfn.XLOOKUP(N174,TimeTable_Codes[Description],TimeTable_Codes[TimetableCode]))))</f>
        <v/>
      </c>
      <c r="S174" t="str">
        <f>IF(NOT(ISBLANK(K174)),VLOOKUP(K174,term_lookups[],2),"")</f>
        <v/>
      </c>
      <c r="T174" cm="1">
        <f t="array" ref="T174">IF(ISBLANK(K174),0,_xlfn.XLOOKUP(R174&amp;S174,Daily_Totals[Day]&amp;Daily_Totals[Term],Daily_Totals[Instruction]))</f>
        <v>0</v>
      </c>
      <c r="U174" cm="1">
        <f t="array" ref="U174">IF(ISBLANK(K174),0,_xlfn.XLOOKUP(R174&amp;S174,Daily_Totals[Day]&amp;Daily_Totals[Term],Daily_Totals[Non-Instruction]))</f>
        <v>0</v>
      </c>
    </row>
    <row r="175" spans="3:21" x14ac:dyDescent="0.3">
      <c r="C175">
        <f t="shared" si="29"/>
        <v>12</v>
      </c>
      <c r="D175" s="37">
        <v>45997</v>
      </c>
      <c r="E175">
        <v>0</v>
      </c>
      <c r="F175">
        <f t="shared" si="25"/>
        <v>0</v>
      </c>
      <c r="K175" s="37"/>
      <c r="L175"/>
      <c r="N175" t="str">
        <f t="shared" si="27"/>
        <v/>
      </c>
      <c r="O175">
        <f t="shared" si="28"/>
        <v>0</v>
      </c>
      <c r="P175">
        <f>IF(IF(ISERROR(MATCH(K175,Rotation_Reset_Dates[Date],0)),0,1)=1,1,IF(ISBLANK(K175),"",IF(OR(rotationDays=1,K175&lt;First_Instructional_Day1),0,IF(AND(rotationDays&gt;1,K175=First_Instructional_Day1),1,IF(P174+IF(OR(N174="Instructional",N174="Not Scheduled"),1,0)&gt;rotationDays,1,P174+IF(OR(N174="Instructional",N174="Not Scheduled"),1,0))))))</f>
        <v>1</v>
      </c>
      <c r="Q175" t="str">
        <f t="shared" si="26"/>
        <v/>
      </c>
      <c r="R175" t="str">
        <f>IF(ISBLANK(K175),"",IF(N175="Operational (no students)",99,IF(N175="Instructional",IF(rotationDays=1,Q175,P175),_xlfn.XLOOKUP(N175,TimeTable_Codes[Description],TimeTable_Codes[TimetableCode]))))</f>
        <v/>
      </c>
      <c r="S175" t="str">
        <f>IF(NOT(ISBLANK(K175)),VLOOKUP(K175,term_lookups[],2),"")</f>
        <v/>
      </c>
      <c r="T175" cm="1">
        <f t="array" ref="T175">IF(ISBLANK(K175),0,_xlfn.XLOOKUP(R175&amp;S175,Daily_Totals[Day]&amp;Daily_Totals[Term],Daily_Totals[Instruction]))</f>
        <v>0</v>
      </c>
      <c r="U175" cm="1">
        <f t="array" ref="U175">IF(ISBLANK(K175),0,_xlfn.XLOOKUP(R175&amp;S175,Daily_Totals[Day]&amp;Daily_Totals[Term],Daily_Totals[Non-Instruction]))</f>
        <v>0</v>
      </c>
    </row>
    <row r="176" spans="3:21" x14ac:dyDescent="0.3">
      <c r="C176">
        <f t="shared" si="29"/>
        <v>12</v>
      </c>
      <c r="D176" s="37" cm="1">
        <f t="array" ref="D176:D182">TRANSPOSE(Calendar!B79:H79)</f>
        <v>45998</v>
      </c>
      <c r="E176" cm="1">
        <f t="array" ref="E176:E182">TRANSPOSE(Calendar!B80:H80)</f>
        <v>0</v>
      </c>
      <c r="F176">
        <f t="shared" si="25"/>
        <v>0</v>
      </c>
      <c r="K176" s="37"/>
      <c r="L176"/>
      <c r="N176" t="str">
        <f t="shared" si="27"/>
        <v/>
      </c>
      <c r="O176">
        <f t="shared" si="28"/>
        <v>0</v>
      </c>
      <c r="P176">
        <f>IF(IF(ISERROR(MATCH(K176,Rotation_Reset_Dates[Date],0)),0,1)=1,1,IF(ISBLANK(K176),"",IF(OR(rotationDays=1,K176&lt;First_Instructional_Day1),0,IF(AND(rotationDays&gt;1,K176=First_Instructional_Day1),1,IF(P175+IF(OR(N175="Instructional",N175="Not Scheduled"),1,0)&gt;rotationDays,1,P175+IF(OR(N175="Instructional",N175="Not Scheduled"),1,0))))))</f>
        <v>1</v>
      </c>
      <c r="Q176" t="str">
        <f t="shared" si="26"/>
        <v/>
      </c>
      <c r="R176" t="str">
        <f>IF(ISBLANK(K176),"",IF(N176="Operational (no students)",99,IF(N176="Instructional",IF(rotationDays=1,Q176,P176),_xlfn.XLOOKUP(N176,TimeTable_Codes[Description],TimeTable_Codes[TimetableCode]))))</f>
        <v/>
      </c>
      <c r="S176" t="str">
        <f>IF(NOT(ISBLANK(K176)),VLOOKUP(K176,term_lookups[],2),"")</f>
        <v/>
      </c>
      <c r="T176" cm="1">
        <f t="array" ref="T176">IF(ISBLANK(K176),0,_xlfn.XLOOKUP(R176&amp;S176,Daily_Totals[Day]&amp;Daily_Totals[Term],Daily_Totals[Instruction]))</f>
        <v>0</v>
      </c>
      <c r="U176" cm="1">
        <f t="array" ref="U176">IF(ISBLANK(K176),0,_xlfn.XLOOKUP(R176&amp;S176,Daily_Totals[Day]&amp;Daily_Totals[Term],Daily_Totals[Non-Instruction]))</f>
        <v>0</v>
      </c>
    </row>
    <row r="177" spans="3:21" x14ac:dyDescent="0.3">
      <c r="C177">
        <f t="shared" si="29"/>
        <v>12</v>
      </c>
      <c r="D177" s="37">
        <v>45999</v>
      </c>
      <c r="E177">
        <v>0</v>
      </c>
      <c r="F177">
        <f t="shared" si="25"/>
        <v>0</v>
      </c>
      <c r="K177" s="37"/>
      <c r="L177"/>
      <c r="N177" t="str">
        <f t="shared" si="27"/>
        <v/>
      </c>
      <c r="O177">
        <f t="shared" si="28"/>
        <v>0</v>
      </c>
      <c r="P177">
        <f>IF(IF(ISERROR(MATCH(K177,Rotation_Reset_Dates[Date],0)),0,1)=1,1,IF(ISBLANK(K177),"",IF(OR(rotationDays=1,K177&lt;First_Instructional_Day1),0,IF(AND(rotationDays&gt;1,K177=First_Instructional_Day1),1,IF(P176+IF(OR(N176="Instructional",N176="Not Scheduled"),1,0)&gt;rotationDays,1,P176+IF(OR(N176="Instructional",N176="Not Scheduled"),1,0))))))</f>
        <v>1</v>
      </c>
      <c r="Q177" t="str">
        <f t="shared" si="26"/>
        <v/>
      </c>
      <c r="R177" t="str">
        <f>IF(ISBLANK(K177),"",IF(N177="Operational (no students)",99,IF(N177="Instructional",IF(rotationDays=1,Q177,P177),_xlfn.XLOOKUP(N177,TimeTable_Codes[Description],TimeTable_Codes[TimetableCode]))))</f>
        <v/>
      </c>
      <c r="S177" t="str">
        <f>IF(NOT(ISBLANK(K177)),VLOOKUP(K177,term_lookups[],2),"")</f>
        <v/>
      </c>
      <c r="T177" cm="1">
        <f t="array" ref="T177">IF(ISBLANK(K177),0,_xlfn.XLOOKUP(R177&amp;S177,Daily_Totals[Day]&amp;Daily_Totals[Term],Daily_Totals[Instruction]))</f>
        <v>0</v>
      </c>
      <c r="U177" cm="1">
        <f t="array" ref="U177">IF(ISBLANK(K177),0,_xlfn.XLOOKUP(R177&amp;S177,Daily_Totals[Day]&amp;Daily_Totals[Term],Daily_Totals[Non-Instruction]))</f>
        <v>0</v>
      </c>
    </row>
    <row r="178" spans="3:21" x14ac:dyDescent="0.3">
      <c r="C178">
        <f t="shared" si="29"/>
        <v>12</v>
      </c>
      <c r="D178" s="37">
        <v>46000</v>
      </c>
      <c r="E178">
        <v>0</v>
      </c>
      <c r="F178">
        <f t="shared" si="25"/>
        <v>0</v>
      </c>
      <c r="K178" s="37"/>
      <c r="L178"/>
      <c r="N178" t="str">
        <f t="shared" si="27"/>
        <v/>
      </c>
      <c r="O178">
        <f t="shared" si="28"/>
        <v>0</v>
      </c>
      <c r="P178">
        <f>IF(IF(ISERROR(MATCH(K178,Rotation_Reset_Dates[Date],0)),0,1)=1,1,IF(ISBLANK(K178),"",IF(OR(rotationDays=1,K178&lt;First_Instructional_Day1),0,IF(AND(rotationDays&gt;1,K178=First_Instructional_Day1),1,IF(P177+IF(OR(N177="Instructional",N177="Not Scheduled"),1,0)&gt;rotationDays,1,P177+IF(OR(N177="Instructional",N177="Not Scheduled"),1,0))))))</f>
        <v>1</v>
      </c>
      <c r="Q178" t="str">
        <f t="shared" si="26"/>
        <v/>
      </c>
      <c r="R178" t="str">
        <f>IF(ISBLANK(K178),"",IF(N178="Operational (no students)",99,IF(N178="Instructional",IF(rotationDays=1,Q178,P178),_xlfn.XLOOKUP(N178,TimeTable_Codes[Description],TimeTable_Codes[TimetableCode]))))</f>
        <v/>
      </c>
      <c r="S178" t="str">
        <f>IF(NOT(ISBLANK(K178)),VLOOKUP(K178,term_lookups[],2),"")</f>
        <v/>
      </c>
      <c r="T178" cm="1">
        <f t="array" ref="T178">IF(ISBLANK(K178),0,_xlfn.XLOOKUP(R178&amp;S178,Daily_Totals[Day]&amp;Daily_Totals[Term],Daily_Totals[Instruction]))</f>
        <v>0</v>
      </c>
      <c r="U178" cm="1">
        <f t="array" ref="U178">IF(ISBLANK(K178),0,_xlfn.XLOOKUP(R178&amp;S178,Daily_Totals[Day]&amp;Daily_Totals[Term],Daily_Totals[Non-Instruction]))</f>
        <v>0</v>
      </c>
    </row>
    <row r="179" spans="3:21" x14ac:dyDescent="0.3">
      <c r="C179">
        <f t="shared" si="29"/>
        <v>12</v>
      </c>
      <c r="D179" s="37">
        <v>46001</v>
      </c>
      <c r="E179">
        <v>0</v>
      </c>
      <c r="F179">
        <f t="shared" si="25"/>
        <v>0</v>
      </c>
      <c r="K179" s="37"/>
      <c r="L179"/>
      <c r="N179" t="str">
        <f t="shared" si="27"/>
        <v/>
      </c>
      <c r="O179">
        <f t="shared" si="28"/>
        <v>0</v>
      </c>
      <c r="P179">
        <f>IF(IF(ISERROR(MATCH(K179,Rotation_Reset_Dates[Date],0)),0,1)=1,1,IF(ISBLANK(K179),"",IF(OR(rotationDays=1,K179&lt;First_Instructional_Day1),0,IF(AND(rotationDays&gt;1,K179=First_Instructional_Day1),1,IF(P178+IF(OR(N178="Instructional",N178="Not Scheduled"),1,0)&gt;rotationDays,1,P178+IF(OR(N178="Instructional",N178="Not Scheduled"),1,0))))))</f>
        <v>1</v>
      </c>
      <c r="Q179" t="str">
        <f t="shared" si="26"/>
        <v/>
      </c>
      <c r="R179" t="str">
        <f>IF(ISBLANK(K179),"",IF(N179="Operational (no students)",99,IF(N179="Instructional",IF(rotationDays=1,Q179,P179),_xlfn.XLOOKUP(N179,TimeTable_Codes[Description],TimeTable_Codes[TimetableCode]))))</f>
        <v/>
      </c>
      <c r="S179" t="str">
        <f>IF(NOT(ISBLANK(K179)),VLOOKUP(K179,term_lookups[],2),"")</f>
        <v/>
      </c>
      <c r="T179" cm="1">
        <f t="array" ref="T179">IF(ISBLANK(K179),0,_xlfn.XLOOKUP(R179&amp;S179,Daily_Totals[Day]&amp;Daily_Totals[Term],Daily_Totals[Instruction]))</f>
        <v>0</v>
      </c>
      <c r="U179" cm="1">
        <f t="array" ref="U179">IF(ISBLANK(K179),0,_xlfn.XLOOKUP(R179&amp;S179,Daily_Totals[Day]&amp;Daily_Totals[Term],Daily_Totals[Non-Instruction]))</f>
        <v>0</v>
      </c>
    </row>
    <row r="180" spans="3:21" x14ac:dyDescent="0.3">
      <c r="C180">
        <f t="shared" si="29"/>
        <v>12</v>
      </c>
      <c r="D180" s="37">
        <v>46002</v>
      </c>
      <c r="E180">
        <v>0</v>
      </c>
      <c r="F180">
        <f t="shared" si="25"/>
        <v>0</v>
      </c>
      <c r="K180" s="37"/>
      <c r="L180"/>
      <c r="N180" t="str">
        <f t="shared" si="27"/>
        <v/>
      </c>
      <c r="O180">
        <f t="shared" si="28"/>
        <v>0</v>
      </c>
      <c r="P180">
        <f>IF(IF(ISERROR(MATCH(K180,Rotation_Reset_Dates[Date],0)),0,1)=1,1,IF(ISBLANK(K180),"",IF(OR(rotationDays=1,K180&lt;First_Instructional_Day1),0,IF(AND(rotationDays&gt;1,K180=First_Instructional_Day1),1,IF(P179+IF(OR(N179="Instructional",N179="Not Scheduled"),1,0)&gt;rotationDays,1,P179+IF(OR(N179="Instructional",N179="Not Scheduled"),1,0))))))</f>
        <v>1</v>
      </c>
      <c r="Q180" t="str">
        <f t="shared" si="26"/>
        <v/>
      </c>
      <c r="R180" t="str">
        <f>IF(ISBLANK(K180),"",IF(N180="Operational (no students)",99,IF(N180="Instructional",IF(rotationDays=1,Q180,P180),_xlfn.XLOOKUP(N180,TimeTable_Codes[Description],TimeTable_Codes[TimetableCode]))))</f>
        <v/>
      </c>
      <c r="S180" t="str">
        <f>IF(NOT(ISBLANK(K180)),VLOOKUP(K180,term_lookups[],2),"")</f>
        <v/>
      </c>
      <c r="T180" cm="1">
        <f t="array" ref="T180">IF(ISBLANK(K180),0,_xlfn.XLOOKUP(R180&amp;S180,Daily_Totals[Day]&amp;Daily_Totals[Term],Daily_Totals[Instruction]))</f>
        <v>0</v>
      </c>
      <c r="U180" cm="1">
        <f t="array" ref="U180">IF(ISBLANK(K180),0,_xlfn.XLOOKUP(R180&amp;S180,Daily_Totals[Day]&amp;Daily_Totals[Term],Daily_Totals[Non-Instruction]))</f>
        <v>0</v>
      </c>
    </row>
    <row r="181" spans="3:21" x14ac:dyDescent="0.3">
      <c r="C181">
        <f t="shared" si="29"/>
        <v>12</v>
      </c>
      <c r="D181" s="37">
        <v>46003</v>
      </c>
      <c r="E181">
        <v>0</v>
      </c>
      <c r="F181">
        <f t="shared" si="25"/>
        <v>0</v>
      </c>
      <c r="K181" s="37"/>
      <c r="L181"/>
      <c r="N181" t="str">
        <f t="shared" si="27"/>
        <v/>
      </c>
      <c r="O181">
        <f t="shared" si="28"/>
        <v>0</v>
      </c>
      <c r="P181">
        <f>IF(IF(ISERROR(MATCH(K181,Rotation_Reset_Dates[Date],0)),0,1)=1,1,IF(ISBLANK(K181),"",IF(OR(rotationDays=1,K181&lt;First_Instructional_Day1),0,IF(AND(rotationDays&gt;1,K181=First_Instructional_Day1),1,IF(P180+IF(OR(N180="Instructional",N180="Not Scheduled"),1,0)&gt;rotationDays,1,P180+IF(OR(N180="Instructional",N180="Not Scheduled"),1,0))))))</f>
        <v>1</v>
      </c>
      <c r="Q181" t="str">
        <f t="shared" si="26"/>
        <v/>
      </c>
      <c r="R181" t="str">
        <f>IF(ISBLANK(K181),"",IF(N181="Operational (no students)",99,IF(N181="Instructional",IF(rotationDays=1,Q181,P181),_xlfn.XLOOKUP(N181,TimeTable_Codes[Description],TimeTable_Codes[TimetableCode]))))</f>
        <v/>
      </c>
      <c r="S181" t="str">
        <f>IF(NOT(ISBLANK(K181)),VLOOKUP(K181,term_lookups[],2),"")</f>
        <v/>
      </c>
      <c r="T181" cm="1">
        <f t="array" ref="T181">IF(ISBLANK(K181),0,_xlfn.XLOOKUP(R181&amp;S181,Daily_Totals[Day]&amp;Daily_Totals[Term],Daily_Totals[Instruction]))</f>
        <v>0</v>
      </c>
      <c r="U181" cm="1">
        <f t="array" ref="U181">IF(ISBLANK(K181),0,_xlfn.XLOOKUP(R181&amp;S181,Daily_Totals[Day]&amp;Daily_Totals[Term],Daily_Totals[Non-Instruction]))</f>
        <v>0</v>
      </c>
    </row>
    <row r="182" spans="3:21" x14ac:dyDescent="0.3">
      <c r="C182">
        <f t="shared" si="29"/>
        <v>12</v>
      </c>
      <c r="D182" s="37">
        <v>46004</v>
      </c>
      <c r="E182">
        <v>0</v>
      </c>
      <c r="F182">
        <f t="shared" si="25"/>
        <v>0</v>
      </c>
      <c r="K182" s="37"/>
      <c r="L182"/>
      <c r="N182" t="str">
        <f t="shared" si="27"/>
        <v/>
      </c>
      <c r="O182">
        <f t="shared" si="28"/>
        <v>0</v>
      </c>
      <c r="P182">
        <f>IF(IF(ISERROR(MATCH(K182,Rotation_Reset_Dates[Date],0)),0,1)=1,1,IF(ISBLANK(K182),"",IF(OR(rotationDays=1,K182&lt;First_Instructional_Day1),0,IF(AND(rotationDays&gt;1,K182=First_Instructional_Day1),1,IF(P181+IF(OR(N181="Instructional",N181="Not Scheduled"),1,0)&gt;rotationDays,1,P181+IF(OR(N181="Instructional",N181="Not Scheduled"),1,0))))))</f>
        <v>1</v>
      </c>
      <c r="Q182" t="str">
        <f t="shared" si="26"/>
        <v/>
      </c>
      <c r="R182" t="str">
        <f>IF(ISBLANK(K182),"",IF(N182="Operational (no students)",99,IF(N182="Instructional",IF(rotationDays=1,Q182,P182),_xlfn.XLOOKUP(N182,TimeTable_Codes[Description],TimeTable_Codes[TimetableCode]))))</f>
        <v/>
      </c>
      <c r="S182" t="str">
        <f>IF(NOT(ISBLANK(K182)),VLOOKUP(K182,term_lookups[],2),"")</f>
        <v/>
      </c>
      <c r="T182" cm="1">
        <f t="array" ref="T182">IF(ISBLANK(K182),0,_xlfn.XLOOKUP(R182&amp;S182,Daily_Totals[Day]&amp;Daily_Totals[Term],Daily_Totals[Instruction]))</f>
        <v>0</v>
      </c>
      <c r="U182" cm="1">
        <f t="array" ref="U182">IF(ISBLANK(K182),0,_xlfn.XLOOKUP(R182&amp;S182,Daily_Totals[Day]&amp;Daily_Totals[Term],Daily_Totals[Non-Instruction]))</f>
        <v>0</v>
      </c>
    </row>
    <row r="183" spans="3:21" x14ac:dyDescent="0.3">
      <c r="C183">
        <f t="shared" si="29"/>
        <v>12</v>
      </c>
      <c r="D183" s="37" cm="1">
        <f t="array" ref="D183:D189">TRANSPOSE(Calendar!B81:H81)</f>
        <v>46005</v>
      </c>
      <c r="E183" cm="1">
        <f t="array" ref="E183:E189">TRANSPOSE(Calendar!B82:H82)</f>
        <v>0</v>
      </c>
      <c r="F183">
        <f t="shared" si="25"/>
        <v>0</v>
      </c>
      <c r="K183" s="37"/>
      <c r="L183"/>
      <c r="N183" t="str">
        <f t="shared" si="27"/>
        <v/>
      </c>
      <c r="O183">
        <f t="shared" si="28"/>
        <v>0</v>
      </c>
      <c r="P183">
        <f>IF(IF(ISERROR(MATCH(K183,Rotation_Reset_Dates[Date],0)),0,1)=1,1,IF(ISBLANK(K183),"",IF(OR(rotationDays=1,K183&lt;First_Instructional_Day1),0,IF(AND(rotationDays&gt;1,K183=First_Instructional_Day1),1,IF(P182+IF(OR(N182="Instructional",N182="Not Scheduled"),1,0)&gt;rotationDays,1,P182+IF(OR(N182="Instructional",N182="Not Scheduled"),1,0))))))</f>
        <v>1</v>
      </c>
      <c r="Q183" t="str">
        <f t="shared" si="26"/>
        <v/>
      </c>
      <c r="R183" t="str">
        <f>IF(ISBLANK(K183),"",IF(N183="Operational (no students)",99,IF(N183="Instructional",IF(rotationDays=1,Q183,P183),_xlfn.XLOOKUP(N183,TimeTable_Codes[Description],TimeTable_Codes[TimetableCode]))))</f>
        <v/>
      </c>
      <c r="S183" t="str">
        <f>IF(NOT(ISBLANK(K183)),VLOOKUP(K183,term_lookups[],2),"")</f>
        <v/>
      </c>
      <c r="T183" cm="1">
        <f t="array" ref="T183">IF(ISBLANK(K183),0,_xlfn.XLOOKUP(R183&amp;S183,Daily_Totals[Day]&amp;Daily_Totals[Term],Daily_Totals[Instruction]))</f>
        <v>0</v>
      </c>
      <c r="U183" cm="1">
        <f t="array" ref="U183">IF(ISBLANK(K183),0,_xlfn.XLOOKUP(R183&amp;S183,Daily_Totals[Day]&amp;Daily_Totals[Term],Daily_Totals[Non-Instruction]))</f>
        <v>0</v>
      </c>
    </row>
    <row r="184" spans="3:21" x14ac:dyDescent="0.3">
      <c r="C184">
        <f t="shared" si="29"/>
        <v>12</v>
      </c>
      <c r="D184" s="37">
        <v>46006</v>
      </c>
      <c r="E184">
        <v>0</v>
      </c>
      <c r="F184">
        <f t="shared" si="25"/>
        <v>0</v>
      </c>
      <c r="K184" s="37"/>
      <c r="L184"/>
      <c r="N184" t="str">
        <f t="shared" si="27"/>
        <v/>
      </c>
      <c r="O184">
        <f t="shared" si="28"/>
        <v>0</v>
      </c>
      <c r="P184">
        <f>IF(IF(ISERROR(MATCH(K184,Rotation_Reset_Dates[Date],0)),0,1)=1,1,IF(ISBLANK(K184),"",IF(OR(rotationDays=1,K184&lt;First_Instructional_Day1),0,IF(AND(rotationDays&gt;1,K184=First_Instructional_Day1),1,IF(P183+IF(OR(N183="Instructional",N183="Not Scheduled"),1,0)&gt;rotationDays,1,P183+IF(OR(N183="Instructional",N183="Not Scheduled"),1,0))))))</f>
        <v>1</v>
      </c>
      <c r="Q184" t="str">
        <f t="shared" si="26"/>
        <v/>
      </c>
      <c r="R184" t="str">
        <f>IF(ISBLANK(K184),"",IF(N184="Operational (no students)",99,IF(N184="Instructional",IF(rotationDays=1,Q184,P184),_xlfn.XLOOKUP(N184,TimeTable_Codes[Description],TimeTable_Codes[TimetableCode]))))</f>
        <v/>
      </c>
      <c r="S184" t="str">
        <f>IF(NOT(ISBLANK(K184)),VLOOKUP(K184,term_lookups[],2),"")</f>
        <v/>
      </c>
      <c r="T184" cm="1">
        <f t="array" ref="T184">IF(ISBLANK(K184),0,_xlfn.XLOOKUP(R184&amp;S184,Daily_Totals[Day]&amp;Daily_Totals[Term],Daily_Totals[Instruction]))</f>
        <v>0</v>
      </c>
      <c r="U184" cm="1">
        <f t="array" ref="U184">IF(ISBLANK(K184),0,_xlfn.XLOOKUP(R184&amp;S184,Daily_Totals[Day]&amp;Daily_Totals[Term],Daily_Totals[Non-Instruction]))</f>
        <v>0</v>
      </c>
    </row>
    <row r="185" spans="3:21" x14ac:dyDescent="0.3">
      <c r="C185">
        <f t="shared" si="29"/>
        <v>12</v>
      </c>
      <c r="D185" s="37">
        <v>46007</v>
      </c>
      <c r="E185">
        <v>0</v>
      </c>
      <c r="F185">
        <f t="shared" si="25"/>
        <v>0</v>
      </c>
      <c r="K185" s="37"/>
      <c r="L185"/>
      <c r="N185" t="str">
        <f t="shared" si="27"/>
        <v/>
      </c>
      <c r="O185">
        <f t="shared" si="28"/>
        <v>0</v>
      </c>
      <c r="P185">
        <f>IF(IF(ISERROR(MATCH(K185,Rotation_Reset_Dates[Date],0)),0,1)=1,1,IF(ISBLANK(K185),"",IF(OR(rotationDays=1,K185&lt;First_Instructional_Day1),0,IF(AND(rotationDays&gt;1,K185=First_Instructional_Day1),1,IF(P184+IF(OR(N184="Instructional",N184="Not Scheduled"),1,0)&gt;rotationDays,1,P184+IF(OR(N184="Instructional",N184="Not Scheduled"),1,0))))))</f>
        <v>1</v>
      </c>
      <c r="Q185" t="str">
        <f t="shared" si="26"/>
        <v/>
      </c>
      <c r="R185" t="str">
        <f>IF(ISBLANK(K185),"",IF(N185="Operational (no students)",99,IF(N185="Instructional",IF(rotationDays=1,Q185,P185),_xlfn.XLOOKUP(N185,TimeTable_Codes[Description],TimeTable_Codes[TimetableCode]))))</f>
        <v/>
      </c>
      <c r="S185" t="str">
        <f>IF(NOT(ISBLANK(K185)),VLOOKUP(K185,term_lookups[],2),"")</f>
        <v/>
      </c>
      <c r="T185" cm="1">
        <f t="array" ref="T185">IF(ISBLANK(K185),0,_xlfn.XLOOKUP(R185&amp;S185,Daily_Totals[Day]&amp;Daily_Totals[Term],Daily_Totals[Instruction]))</f>
        <v>0</v>
      </c>
      <c r="U185" cm="1">
        <f t="array" ref="U185">IF(ISBLANK(K185),0,_xlfn.XLOOKUP(R185&amp;S185,Daily_Totals[Day]&amp;Daily_Totals[Term],Daily_Totals[Non-Instruction]))</f>
        <v>0</v>
      </c>
    </row>
    <row r="186" spans="3:21" x14ac:dyDescent="0.3">
      <c r="C186">
        <f t="shared" si="29"/>
        <v>12</v>
      </c>
      <c r="D186" s="37">
        <v>46008</v>
      </c>
      <c r="E186">
        <v>0</v>
      </c>
      <c r="F186">
        <f t="shared" si="25"/>
        <v>0</v>
      </c>
      <c r="K186" s="37"/>
      <c r="L186"/>
      <c r="N186" t="str">
        <f t="shared" si="27"/>
        <v/>
      </c>
      <c r="O186">
        <f t="shared" si="28"/>
        <v>0</v>
      </c>
      <c r="P186">
        <f>IF(IF(ISERROR(MATCH(K186,Rotation_Reset_Dates[Date],0)),0,1)=1,1,IF(ISBLANK(K186),"",IF(OR(rotationDays=1,K186&lt;First_Instructional_Day1),0,IF(AND(rotationDays&gt;1,K186=First_Instructional_Day1),1,IF(P185+IF(OR(N185="Instructional",N185="Not Scheduled"),1,0)&gt;rotationDays,1,P185+IF(OR(N185="Instructional",N185="Not Scheduled"),1,0))))))</f>
        <v>1</v>
      </c>
      <c r="Q186" t="str">
        <f t="shared" si="26"/>
        <v/>
      </c>
      <c r="R186" t="str">
        <f>IF(ISBLANK(K186),"",IF(N186="Operational (no students)",99,IF(N186="Instructional",IF(rotationDays=1,Q186,P186),_xlfn.XLOOKUP(N186,TimeTable_Codes[Description],TimeTable_Codes[TimetableCode]))))</f>
        <v/>
      </c>
      <c r="S186" t="str">
        <f>IF(NOT(ISBLANK(K186)),VLOOKUP(K186,term_lookups[],2),"")</f>
        <v/>
      </c>
      <c r="T186" cm="1">
        <f t="array" ref="T186">IF(ISBLANK(K186),0,_xlfn.XLOOKUP(R186&amp;S186,Daily_Totals[Day]&amp;Daily_Totals[Term],Daily_Totals[Instruction]))</f>
        <v>0</v>
      </c>
      <c r="U186" cm="1">
        <f t="array" ref="U186">IF(ISBLANK(K186),0,_xlfn.XLOOKUP(R186&amp;S186,Daily_Totals[Day]&amp;Daily_Totals[Term],Daily_Totals[Non-Instruction]))</f>
        <v>0</v>
      </c>
    </row>
    <row r="187" spans="3:21" x14ac:dyDescent="0.3">
      <c r="C187">
        <f t="shared" si="29"/>
        <v>12</v>
      </c>
      <c r="D187" s="37">
        <v>46009</v>
      </c>
      <c r="E187">
        <v>0</v>
      </c>
      <c r="F187">
        <f t="shared" si="25"/>
        <v>0</v>
      </c>
      <c r="K187" s="37"/>
      <c r="L187"/>
      <c r="N187" t="str">
        <f t="shared" si="27"/>
        <v/>
      </c>
      <c r="O187">
        <f t="shared" si="28"/>
        <v>0</v>
      </c>
      <c r="P187">
        <f>IF(IF(ISERROR(MATCH(K187,Rotation_Reset_Dates[Date],0)),0,1)=1,1,IF(ISBLANK(K187),"",IF(OR(rotationDays=1,K187&lt;First_Instructional_Day1),0,IF(AND(rotationDays&gt;1,K187=First_Instructional_Day1),1,IF(P186+IF(OR(N186="Instructional",N186="Not Scheduled"),1,0)&gt;rotationDays,1,P186+IF(OR(N186="Instructional",N186="Not Scheduled"),1,0))))))</f>
        <v>1</v>
      </c>
      <c r="Q187" t="str">
        <f t="shared" si="26"/>
        <v/>
      </c>
      <c r="R187" t="str">
        <f>IF(ISBLANK(K187),"",IF(N187="Operational (no students)",99,IF(N187="Instructional",IF(rotationDays=1,Q187,P187),_xlfn.XLOOKUP(N187,TimeTable_Codes[Description],TimeTable_Codes[TimetableCode]))))</f>
        <v/>
      </c>
      <c r="S187" t="str">
        <f>IF(NOT(ISBLANK(K187)),VLOOKUP(K187,term_lookups[],2),"")</f>
        <v/>
      </c>
      <c r="T187" cm="1">
        <f t="array" ref="T187">IF(ISBLANK(K187),0,_xlfn.XLOOKUP(R187&amp;S187,Daily_Totals[Day]&amp;Daily_Totals[Term],Daily_Totals[Instruction]))</f>
        <v>0</v>
      </c>
      <c r="U187" cm="1">
        <f t="array" ref="U187">IF(ISBLANK(K187),0,_xlfn.XLOOKUP(R187&amp;S187,Daily_Totals[Day]&amp;Daily_Totals[Term],Daily_Totals[Non-Instruction]))</f>
        <v>0</v>
      </c>
    </row>
    <row r="188" spans="3:21" x14ac:dyDescent="0.3">
      <c r="C188">
        <f t="shared" si="29"/>
        <v>12</v>
      </c>
      <c r="D188" s="37">
        <v>46010</v>
      </c>
      <c r="E188">
        <v>0</v>
      </c>
      <c r="F188">
        <f t="shared" si="25"/>
        <v>0</v>
      </c>
      <c r="K188" s="37"/>
      <c r="L188"/>
      <c r="N188" t="str">
        <f t="shared" si="27"/>
        <v/>
      </c>
      <c r="O188">
        <f t="shared" si="28"/>
        <v>0</v>
      </c>
      <c r="P188">
        <f>IF(IF(ISERROR(MATCH(K188,Rotation_Reset_Dates[Date],0)),0,1)=1,1,IF(ISBLANK(K188),"",IF(OR(rotationDays=1,K188&lt;First_Instructional_Day1),0,IF(AND(rotationDays&gt;1,K188=First_Instructional_Day1),1,IF(P187+IF(OR(N187="Instructional",N187="Not Scheduled"),1,0)&gt;rotationDays,1,P187+IF(OR(N187="Instructional",N187="Not Scheduled"),1,0))))))</f>
        <v>1</v>
      </c>
      <c r="Q188" t="str">
        <f t="shared" si="26"/>
        <v/>
      </c>
      <c r="R188" t="str">
        <f>IF(ISBLANK(K188),"",IF(N188="Operational (no students)",99,IF(N188="Instructional",IF(rotationDays=1,Q188,P188),_xlfn.XLOOKUP(N188,TimeTable_Codes[Description],TimeTable_Codes[TimetableCode]))))</f>
        <v/>
      </c>
      <c r="S188" t="str">
        <f>IF(NOT(ISBLANK(K188)),VLOOKUP(K188,term_lookups[],2),"")</f>
        <v/>
      </c>
      <c r="T188" cm="1">
        <f t="array" ref="T188">IF(ISBLANK(K188),0,_xlfn.XLOOKUP(R188&amp;S188,Daily_Totals[Day]&amp;Daily_Totals[Term],Daily_Totals[Instruction]))</f>
        <v>0</v>
      </c>
      <c r="U188" cm="1">
        <f t="array" ref="U188">IF(ISBLANK(K188),0,_xlfn.XLOOKUP(R188&amp;S188,Daily_Totals[Day]&amp;Daily_Totals[Term],Daily_Totals[Non-Instruction]))</f>
        <v>0</v>
      </c>
    </row>
    <row r="189" spans="3:21" x14ac:dyDescent="0.3">
      <c r="C189">
        <f t="shared" si="29"/>
        <v>12</v>
      </c>
      <c r="D189" s="37">
        <v>46011</v>
      </c>
      <c r="E189">
        <v>0</v>
      </c>
      <c r="F189">
        <f t="shared" si="25"/>
        <v>0</v>
      </c>
      <c r="K189" s="37"/>
      <c r="L189"/>
      <c r="N189" t="str">
        <f t="shared" si="27"/>
        <v/>
      </c>
      <c r="O189">
        <f t="shared" si="28"/>
        <v>0</v>
      </c>
      <c r="P189">
        <f>IF(IF(ISERROR(MATCH(K189,Rotation_Reset_Dates[Date],0)),0,1)=1,1,IF(ISBLANK(K189),"",IF(OR(rotationDays=1,K189&lt;First_Instructional_Day1),0,IF(AND(rotationDays&gt;1,K189=First_Instructional_Day1),1,IF(P188+IF(OR(N188="Instructional",N188="Not Scheduled"),1,0)&gt;rotationDays,1,P188+IF(OR(N188="Instructional",N188="Not Scheduled"),1,0))))))</f>
        <v>1</v>
      </c>
      <c r="Q189" t="str">
        <f t="shared" si="26"/>
        <v/>
      </c>
      <c r="R189" t="str">
        <f>IF(ISBLANK(K189),"",IF(N189="Operational (no students)",99,IF(N189="Instructional",IF(rotationDays=1,Q189,P189),_xlfn.XLOOKUP(N189,TimeTable_Codes[Description],TimeTable_Codes[TimetableCode]))))</f>
        <v/>
      </c>
      <c r="S189" t="str">
        <f>IF(NOT(ISBLANK(K189)),VLOOKUP(K189,term_lookups[],2),"")</f>
        <v/>
      </c>
      <c r="T189" cm="1">
        <f t="array" ref="T189">IF(ISBLANK(K189),0,_xlfn.XLOOKUP(R189&amp;S189,Daily_Totals[Day]&amp;Daily_Totals[Term],Daily_Totals[Instruction]))</f>
        <v>0</v>
      </c>
      <c r="U189" cm="1">
        <f t="array" ref="U189">IF(ISBLANK(K189),0,_xlfn.XLOOKUP(R189&amp;S189,Daily_Totals[Day]&amp;Daily_Totals[Term],Daily_Totals[Non-Instruction]))</f>
        <v>0</v>
      </c>
    </row>
    <row r="190" spans="3:21" x14ac:dyDescent="0.3">
      <c r="C190">
        <f t="shared" si="29"/>
        <v>12</v>
      </c>
      <c r="D190" s="37" cm="1">
        <f t="array" ref="D190:D196">TRANSPOSE(Calendar!B83:H83)</f>
        <v>46012</v>
      </c>
      <c r="E190" cm="1">
        <f t="array" ref="E190:E196">TRANSPOSE(Calendar!B84:H84)</f>
        <v>0</v>
      </c>
      <c r="F190">
        <f t="shared" si="25"/>
        <v>0</v>
      </c>
      <c r="K190" s="37"/>
      <c r="L190"/>
      <c r="N190" t="str">
        <f t="shared" si="27"/>
        <v/>
      </c>
      <c r="O190">
        <f t="shared" si="28"/>
        <v>0</v>
      </c>
      <c r="P190">
        <f>IF(IF(ISERROR(MATCH(K190,Rotation_Reset_Dates[Date],0)),0,1)=1,1,IF(ISBLANK(K190),"",IF(OR(rotationDays=1,K190&lt;First_Instructional_Day1),0,IF(AND(rotationDays&gt;1,K190=First_Instructional_Day1),1,IF(P189+IF(OR(N189="Instructional",N189="Not Scheduled"),1,0)&gt;rotationDays,1,P189+IF(OR(N189="Instructional",N189="Not Scheduled"),1,0))))))</f>
        <v>1</v>
      </c>
      <c r="Q190" t="str">
        <f t="shared" si="26"/>
        <v/>
      </c>
      <c r="R190" t="str">
        <f>IF(ISBLANK(K190),"",IF(N190="Operational (no students)",99,IF(N190="Instructional",IF(rotationDays=1,Q190,P190),_xlfn.XLOOKUP(N190,TimeTable_Codes[Description],TimeTable_Codes[TimetableCode]))))</f>
        <v/>
      </c>
      <c r="S190" t="str">
        <f>IF(NOT(ISBLANK(K190)),VLOOKUP(K190,term_lookups[],2),"")</f>
        <v/>
      </c>
      <c r="T190" cm="1">
        <f t="array" ref="T190">IF(ISBLANK(K190),0,_xlfn.XLOOKUP(R190&amp;S190,Daily_Totals[Day]&amp;Daily_Totals[Term],Daily_Totals[Instruction]))</f>
        <v>0</v>
      </c>
      <c r="U190" cm="1">
        <f t="array" ref="U190">IF(ISBLANK(K190),0,_xlfn.XLOOKUP(R190&amp;S190,Daily_Totals[Day]&amp;Daily_Totals[Term],Daily_Totals[Non-Instruction]))</f>
        <v>0</v>
      </c>
    </row>
    <row r="191" spans="3:21" x14ac:dyDescent="0.3">
      <c r="C191">
        <f t="shared" si="29"/>
        <v>12</v>
      </c>
      <c r="D191" s="37">
        <v>46013</v>
      </c>
      <c r="E191" t="str">
        <v>Closed (non-operational)</v>
      </c>
      <c r="F191">
        <f t="shared" si="25"/>
        <v>0</v>
      </c>
      <c r="K191" s="37"/>
      <c r="L191"/>
      <c r="N191" t="str">
        <f t="shared" si="27"/>
        <v/>
      </c>
      <c r="O191">
        <f t="shared" si="28"/>
        <v>0</v>
      </c>
      <c r="P191">
        <f>IF(IF(ISERROR(MATCH(K191,Rotation_Reset_Dates[Date],0)),0,1)=1,1,IF(ISBLANK(K191),"",IF(OR(rotationDays=1,K191&lt;First_Instructional_Day1),0,IF(AND(rotationDays&gt;1,K191=First_Instructional_Day1),1,IF(P190+IF(OR(N190="Instructional",N190="Not Scheduled"),1,0)&gt;rotationDays,1,P190+IF(OR(N190="Instructional",N190="Not Scheduled"),1,0))))))</f>
        <v>1</v>
      </c>
      <c r="Q191" t="str">
        <f t="shared" si="26"/>
        <v/>
      </c>
      <c r="R191" t="str">
        <f>IF(ISBLANK(K191),"",IF(N191="Operational (no students)",99,IF(N191="Instructional",IF(rotationDays=1,Q191,P191),_xlfn.XLOOKUP(N191,TimeTable_Codes[Description],TimeTable_Codes[TimetableCode]))))</f>
        <v/>
      </c>
      <c r="S191" t="str">
        <f>IF(NOT(ISBLANK(K191)),VLOOKUP(K191,term_lookups[],2),"")</f>
        <v/>
      </c>
      <c r="T191" cm="1">
        <f t="array" ref="T191">IF(ISBLANK(K191),0,_xlfn.XLOOKUP(R191&amp;S191,Daily_Totals[Day]&amp;Daily_Totals[Term],Daily_Totals[Instruction]))</f>
        <v>0</v>
      </c>
      <c r="U191" cm="1">
        <f t="array" ref="U191">IF(ISBLANK(K191),0,_xlfn.XLOOKUP(R191&amp;S191,Daily_Totals[Day]&amp;Daily_Totals[Term],Daily_Totals[Non-Instruction]))</f>
        <v>0</v>
      </c>
    </row>
    <row r="192" spans="3:21" x14ac:dyDescent="0.3">
      <c r="C192">
        <f t="shared" si="29"/>
        <v>12</v>
      </c>
      <c r="D192" s="37">
        <v>46014</v>
      </c>
      <c r="E192" t="str">
        <v>Closed (non-operational)</v>
      </c>
      <c r="F192">
        <f t="shared" si="25"/>
        <v>0</v>
      </c>
      <c r="K192" s="37"/>
      <c r="L192"/>
      <c r="N192" t="str">
        <f t="shared" si="27"/>
        <v/>
      </c>
      <c r="O192">
        <f t="shared" si="28"/>
        <v>0</v>
      </c>
      <c r="P192">
        <f>IF(IF(ISERROR(MATCH(K192,Rotation_Reset_Dates[Date],0)),0,1)=1,1,IF(ISBLANK(K192),"",IF(OR(rotationDays=1,K192&lt;First_Instructional_Day1),0,IF(AND(rotationDays&gt;1,K192=First_Instructional_Day1),1,IF(P191+IF(OR(N191="Instructional",N191="Not Scheduled"),1,0)&gt;rotationDays,1,P191+IF(OR(N191="Instructional",N191="Not Scheduled"),1,0))))))</f>
        <v>1</v>
      </c>
      <c r="Q192" t="str">
        <f t="shared" si="26"/>
        <v/>
      </c>
      <c r="R192" t="str">
        <f>IF(ISBLANK(K192),"",IF(N192="Operational (no students)",99,IF(N192="Instructional",IF(rotationDays=1,Q192,P192),_xlfn.XLOOKUP(N192,TimeTable_Codes[Description],TimeTable_Codes[TimetableCode]))))</f>
        <v/>
      </c>
      <c r="S192" t="str">
        <f>IF(NOT(ISBLANK(K192)),VLOOKUP(K192,term_lookups[],2),"")</f>
        <v/>
      </c>
      <c r="T192" cm="1">
        <f t="array" ref="T192">IF(ISBLANK(K192),0,_xlfn.XLOOKUP(R192&amp;S192,Daily_Totals[Day]&amp;Daily_Totals[Term],Daily_Totals[Instruction]))</f>
        <v>0</v>
      </c>
      <c r="U192" cm="1">
        <f t="array" ref="U192">IF(ISBLANK(K192),0,_xlfn.XLOOKUP(R192&amp;S192,Daily_Totals[Day]&amp;Daily_Totals[Term],Daily_Totals[Non-Instruction]))</f>
        <v>0</v>
      </c>
    </row>
    <row r="193" spans="3:21" x14ac:dyDescent="0.3">
      <c r="C193">
        <f t="shared" si="29"/>
        <v>12</v>
      </c>
      <c r="D193" s="37">
        <v>46015</v>
      </c>
      <c r="E193" t="str">
        <v>Closed (non-operational)</v>
      </c>
      <c r="F193">
        <f t="shared" si="25"/>
        <v>0</v>
      </c>
      <c r="K193" s="37"/>
      <c r="L193"/>
      <c r="N193" t="str">
        <f t="shared" si="27"/>
        <v/>
      </c>
      <c r="O193">
        <f t="shared" si="28"/>
        <v>0</v>
      </c>
      <c r="P193">
        <f>IF(IF(ISERROR(MATCH(K193,Rotation_Reset_Dates[Date],0)),0,1)=1,1,IF(ISBLANK(K193),"",IF(OR(rotationDays=1,K193&lt;First_Instructional_Day1),0,IF(AND(rotationDays&gt;1,K193=First_Instructional_Day1),1,IF(P192+IF(OR(N192="Instructional",N192="Not Scheduled"),1,0)&gt;rotationDays,1,P192+IF(OR(N192="Instructional",N192="Not Scheduled"),1,0))))))</f>
        <v>1</v>
      </c>
      <c r="Q193" t="str">
        <f t="shared" si="26"/>
        <v/>
      </c>
      <c r="R193" t="str">
        <f>IF(ISBLANK(K193),"",IF(N193="Operational (no students)",99,IF(N193="Instructional",IF(rotationDays=1,Q193,P193),_xlfn.XLOOKUP(N193,TimeTable_Codes[Description],TimeTable_Codes[TimetableCode]))))</f>
        <v/>
      </c>
      <c r="S193" t="str">
        <f>IF(NOT(ISBLANK(K193)),VLOOKUP(K193,term_lookups[],2),"")</f>
        <v/>
      </c>
      <c r="T193" cm="1">
        <f t="array" ref="T193">IF(ISBLANK(K193),0,_xlfn.XLOOKUP(R193&amp;S193,Daily_Totals[Day]&amp;Daily_Totals[Term],Daily_Totals[Instruction]))</f>
        <v>0</v>
      </c>
      <c r="U193" cm="1">
        <f t="array" ref="U193">IF(ISBLANK(K193),0,_xlfn.XLOOKUP(R193&amp;S193,Daily_Totals[Day]&amp;Daily_Totals[Term],Daily_Totals[Non-Instruction]))</f>
        <v>0</v>
      </c>
    </row>
    <row r="194" spans="3:21" x14ac:dyDescent="0.3">
      <c r="C194">
        <f t="shared" si="29"/>
        <v>12</v>
      </c>
      <c r="D194" s="37">
        <v>46016</v>
      </c>
      <c r="E194" t="str">
        <v>Closed (non-operational)</v>
      </c>
      <c r="F194">
        <f t="shared" si="25"/>
        <v>0</v>
      </c>
      <c r="K194" s="37"/>
      <c r="L194"/>
      <c r="N194" t="str">
        <f t="shared" si="27"/>
        <v/>
      </c>
      <c r="O194">
        <f t="shared" si="28"/>
        <v>0</v>
      </c>
      <c r="P194">
        <f>IF(IF(ISERROR(MATCH(K194,Rotation_Reset_Dates[Date],0)),0,1)=1,1,IF(ISBLANK(K194),"",IF(OR(rotationDays=1,K194&lt;First_Instructional_Day1),0,IF(AND(rotationDays&gt;1,K194=First_Instructional_Day1),1,IF(P193+IF(OR(N193="Instructional",N193="Not Scheduled"),1,0)&gt;rotationDays,1,P193+IF(OR(N193="Instructional",N193="Not Scheduled"),1,0))))))</f>
        <v>1</v>
      </c>
      <c r="Q194" t="str">
        <f t="shared" si="26"/>
        <v/>
      </c>
      <c r="R194" t="str">
        <f>IF(ISBLANK(K194),"",IF(N194="Operational (no students)",99,IF(N194="Instructional",IF(rotationDays=1,Q194,P194),_xlfn.XLOOKUP(N194,TimeTable_Codes[Description],TimeTable_Codes[TimetableCode]))))</f>
        <v/>
      </c>
      <c r="S194" t="str">
        <f>IF(NOT(ISBLANK(K194)),VLOOKUP(K194,term_lookups[],2),"")</f>
        <v/>
      </c>
      <c r="T194" cm="1">
        <f t="array" ref="T194">IF(ISBLANK(K194),0,_xlfn.XLOOKUP(R194&amp;S194,Daily_Totals[Day]&amp;Daily_Totals[Term],Daily_Totals[Instruction]))</f>
        <v>0</v>
      </c>
      <c r="U194" cm="1">
        <f t="array" ref="U194">IF(ISBLANK(K194),0,_xlfn.XLOOKUP(R194&amp;S194,Daily_Totals[Day]&amp;Daily_Totals[Term],Daily_Totals[Non-Instruction]))</f>
        <v>0</v>
      </c>
    </row>
    <row r="195" spans="3:21" x14ac:dyDescent="0.3">
      <c r="C195">
        <f t="shared" si="29"/>
        <v>12</v>
      </c>
      <c r="D195" s="37">
        <v>46017</v>
      </c>
      <c r="E195" t="str">
        <v>Closed (non-operational)</v>
      </c>
      <c r="F195">
        <f t="shared" si="25"/>
        <v>0</v>
      </c>
      <c r="K195" s="37"/>
      <c r="L195"/>
      <c r="N195" t="str">
        <f t="shared" si="27"/>
        <v/>
      </c>
      <c r="O195">
        <f t="shared" si="28"/>
        <v>0</v>
      </c>
      <c r="P195">
        <f>IF(IF(ISERROR(MATCH(K195,Rotation_Reset_Dates[Date],0)),0,1)=1,1,IF(ISBLANK(K195),"",IF(OR(rotationDays=1,K195&lt;First_Instructional_Day1),0,IF(AND(rotationDays&gt;1,K195=First_Instructional_Day1),1,IF(P194+IF(OR(N194="Instructional",N194="Not Scheduled"),1,0)&gt;rotationDays,1,P194+IF(OR(N194="Instructional",N194="Not Scheduled"),1,0))))))</f>
        <v>1</v>
      </c>
      <c r="Q195" t="str">
        <f t="shared" si="26"/>
        <v/>
      </c>
      <c r="R195" t="str">
        <f>IF(ISBLANK(K195),"",IF(N195="Operational (no students)",99,IF(N195="Instructional",IF(rotationDays=1,Q195,P195),_xlfn.XLOOKUP(N195,TimeTable_Codes[Description],TimeTable_Codes[TimetableCode]))))</f>
        <v/>
      </c>
      <c r="S195" t="str">
        <f>IF(NOT(ISBLANK(K195)),VLOOKUP(K195,term_lookups[],2),"")</f>
        <v/>
      </c>
      <c r="T195" cm="1">
        <f t="array" ref="T195">IF(ISBLANK(K195),0,_xlfn.XLOOKUP(R195&amp;S195,Daily_Totals[Day]&amp;Daily_Totals[Term],Daily_Totals[Instruction]))</f>
        <v>0</v>
      </c>
      <c r="U195" cm="1">
        <f t="array" ref="U195">IF(ISBLANK(K195),0,_xlfn.XLOOKUP(R195&amp;S195,Daily_Totals[Day]&amp;Daily_Totals[Term],Daily_Totals[Non-Instruction]))</f>
        <v>0</v>
      </c>
    </row>
    <row r="196" spans="3:21" x14ac:dyDescent="0.3">
      <c r="C196">
        <f t="shared" si="29"/>
        <v>12</v>
      </c>
      <c r="D196" s="37">
        <v>46018</v>
      </c>
      <c r="E196">
        <v>0</v>
      </c>
      <c r="F196">
        <f t="shared" si="25"/>
        <v>0</v>
      </c>
      <c r="K196" s="37"/>
      <c r="L196"/>
      <c r="N196" t="str">
        <f t="shared" si="27"/>
        <v/>
      </c>
      <c r="O196">
        <f t="shared" si="28"/>
        <v>0</v>
      </c>
      <c r="P196">
        <f>IF(IF(ISERROR(MATCH(K196,Rotation_Reset_Dates[Date],0)),0,1)=1,1,IF(ISBLANK(K196),"",IF(OR(rotationDays=1,K196&lt;First_Instructional_Day1),0,IF(AND(rotationDays&gt;1,K196=First_Instructional_Day1),1,IF(P195+IF(OR(N195="Instructional",N195="Not Scheduled"),1,0)&gt;rotationDays,1,P195+IF(OR(N195="Instructional",N195="Not Scheduled"),1,0))))))</f>
        <v>1</v>
      </c>
      <c r="Q196" t="str">
        <f t="shared" si="26"/>
        <v/>
      </c>
      <c r="R196" t="str">
        <f>IF(ISBLANK(K196),"",IF(N196="Operational (no students)",99,IF(N196="Instructional",IF(rotationDays=1,Q196,P196),_xlfn.XLOOKUP(N196,TimeTable_Codes[Description],TimeTable_Codes[TimetableCode]))))</f>
        <v/>
      </c>
      <c r="S196" t="str">
        <f>IF(NOT(ISBLANK(K196)),VLOOKUP(K196,term_lookups[],2),"")</f>
        <v/>
      </c>
      <c r="T196" cm="1">
        <f t="array" ref="T196">IF(ISBLANK(K196),0,_xlfn.XLOOKUP(R196&amp;S196,Daily_Totals[Day]&amp;Daily_Totals[Term],Daily_Totals[Instruction]))</f>
        <v>0</v>
      </c>
      <c r="U196" cm="1">
        <f t="array" ref="U196">IF(ISBLANK(K196),0,_xlfn.XLOOKUP(R196&amp;S196,Daily_Totals[Day]&amp;Daily_Totals[Term],Daily_Totals[Non-Instruction]))</f>
        <v>0</v>
      </c>
    </row>
    <row r="197" spans="3:21" x14ac:dyDescent="0.3">
      <c r="C197">
        <f t="shared" si="29"/>
        <v>12</v>
      </c>
      <c r="D197" s="37" cm="1">
        <f t="array" ref="D197:D203">TRANSPOSE(Calendar!B85:H85)</f>
        <v>46019</v>
      </c>
      <c r="E197" cm="1">
        <f t="array" ref="E197:E203">TRANSPOSE(Calendar!B86:H86)</f>
        <v>0</v>
      </c>
      <c r="F197">
        <f t="shared" si="25"/>
        <v>0</v>
      </c>
      <c r="K197" s="37"/>
      <c r="L197"/>
      <c r="N197" t="str">
        <f t="shared" si="27"/>
        <v/>
      </c>
      <c r="O197">
        <f t="shared" si="28"/>
        <v>0</v>
      </c>
      <c r="P197">
        <f>IF(IF(ISERROR(MATCH(K197,Rotation_Reset_Dates[Date],0)),0,1)=1,1,IF(ISBLANK(K197),"",IF(OR(rotationDays=1,K197&lt;First_Instructional_Day1),0,IF(AND(rotationDays&gt;1,K197=First_Instructional_Day1),1,IF(P196+IF(OR(N196="Instructional",N196="Not Scheduled"),1,0)&gt;rotationDays,1,P196+IF(OR(N196="Instructional",N196="Not Scheduled"),1,0))))))</f>
        <v>1</v>
      </c>
      <c r="Q197" t="str">
        <f t="shared" si="26"/>
        <v/>
      </c>
      <c r="R197" t="str">
        <f>IF(ISBLANK(K197),"",IF(N197="Operational (no students)",99,IF(N197="Instructional",IF(rotationDays=1,Q197,P197),_xlfn.XLOOKUP(N197,TimeTable_Codes[Description],TimeTable_Codes[TimetableCode]))))</f>
        <v/>
      </c>
      <c r="S197" t="str">
        <f>IF(NOT(ISBLANK(K197)),VLOOKUP(K197,term_lookups[],2),"")</f>
        <v/>
      </c>
      <c r="T197" cm="1">
        <f t="array" ref="T197">IF(ISBLANK(K197),0,_xlfn.XLOOKUP(R197&amp;S197,Daily_Totals[Day]&amp;Daily_Totals[Term],Daily_Totals[Instruction]))</f>
        <v>0</v>
      </c>
      <c r="U197" cm="1">
        <f t="array" ref="U197">IF(ISBLANK(K197),0,_xlfn.XLOOKUP(R197&amp;S197,Daily_Totals[Day]&amp;Daily_Totals[Term],Daily_Totals[Non-Instruction]))</f>
        <v>0</v>
      </c>
    </row>
    <row r="198" spans="3:21" x14ac:dyDescent="0.3">
      <c r="C198">
        <f t="shared" si="29"/>
        <v>12</v>
      </c>
      <c r="D198" s="37">
        <v>46020</v>
      </c>
      <c r="E198" t="str">
        <v>Closed (non-operational)</v>
      </c>
      <c r="F198">
        <f t="shared" si="25"/>
        <v>0</v>
      </c>
      <c r="K198" s="37"/>
      <c r="L198"/>
      <c r="N198" t="str">
        <f t="shared" si="27"/>
        <v/>
      </c>
      <c r="O198">
        <f t="shared" si="28"/>
        <v>0</v>
      </c>
      <c r="P198">
        <f>IF(IF(ISERROR(MATCH(K198,Rotation_Reset_Dates[Date],0)),0,1)=1,1,IF(ISBLANK(K198),"",IF(OR(rotationDays=1,K198&lt;First_Instructional_Day1),0,IF(AND(rotationDays&gt;1,K198=First_Instructional_Day1),1,IF(P197+IF(OR(N197="Instructional",N197="Not Scheduled"),1,0)&gt;rotationDays,1,P197+IF(OR(N197="Instructional",N197="Not Scheduled"),1,0))))))</f>
        <v>1</v>
      </c>
      <c r="Q198" t="str">
        <f t="shared" si="26"/>
        <v/>
      </c>
      <c r="R198" t="str">
        <f>IF(ISBLANK(K198),"",IF(N198="Operational (no students)",99,IF(N198="Instructional",IF(rotationDays=1,Q198,P198),_xlfn.XLOOKUP(N198,TimeTable_Codes[Description],TimeTable_Codes[TimetableCode]))))</f>
        <v/>
      </c>
      <c r="S198" t="str">
        <f>IF(NOT(ISBLANK(K198)),VLOOKUP(K198,term_lookups[],2),"")</f>
        <v/>
      </c>
      <c r="T198" cm="1">
        <f t="array" ref="T198">IF(ISBLANK(K198),0,_xlfn.XLOOKUP(R198&amp;S198,Daily_Totals[Day]&amp;Daily_Totals[Term],Daily_Totals[Instruction]))</f>
        <v>0</v>
      </c>
      <c r="U198" cm="1">
        <f t="array" ref="U198">IF(ISBLANK(K198),0,_xlfn.XLOOKUP(R198&amp;S198,Daily_Totals[Day]&amp;Daily_Totals[Term],Daily_Totals[Non-Instruction]))</f>
        <v>0</v>
      </c>
    </row>
    <row r="199" spans="3:21" x14ac:dyDescent="0.3">
      <c r="C199">
        <f t="shared" si="29"/>
        <v>12</v>
      </c>
      <c r="D199" s="37">
        <v>46021</v>
      </c>
      <c r="E199" t="str">
        <v>Closed (non-operational)</v>
      </c>
      <c r="F199">
        <f t="shared" si="25"/>
        <v>0</v>
      </c>
      <c r="K199" s="37"/>
      <c r="L199"/>
      <c r="N199" t="str">
        <f t="shared" si="27"/>
        <v/>
      </c>
      <c r="O199">
        <f t="shared" si="28"/>
        <v>0</v>
      </c>
      <c r="P199">
        <f>IF(IF(ISERROR(MATCH(K199,Rotation_Reset_Dates[Date],0)),0,1)=1,1,IF(ISBLANK(K199),"",IF(OR(rotationDays=1,K199&lt;First_Instructional_Day1),0,IF(AND(rotationDays&gt;1,K199=First_Instructional_Day1),1,IF(P198+IF(OR(N198="Instructional",N198="Not Scheduled"),1,0)&gt;rotationDays,1,P198+IF(OR(N198="Instructional",N198="Not Scheduled"),1,0))))))</f>
        <v>1</v>
      </c>
      <c r="Q199" t="str">
        <f t="shared" si="26"/>
        <v/>
      </c>
      <c r="R199" t="str">
        <f>IF(ISBLANK(K199),"",IF(N199="Operational (no students)",99,IF(N199="Instructional",IF(rotationDays=1,Q199,P199),_xlfn.XLOOKUP(N199,TimeTable_Codes[Description],TimeTable_Codes[TimetableCode]))))</f>
        <v/>
      </c>
      <c r="S199" t="str">
        <f>IF(NOT(ISBLANK(K199)),VLOOKUP(K199,term_lookups[],2),"")</f>
        <v/>
      </c>
      <c r="T199" cm="1">
        <f t="array" ref="T199">IF(ISBLANK(K199),0,_xlfn.XLOOKUP(R199&amp;S199,Daily_Totals[Day]&amp;Daily_Totals[Term],Daily_Totals[Instruction]))</f>
        <v>0</v>
      </c>
      <c r="U199" cm="1">
        <f t="array" ref="U199">IF(ISBLANK(K199),0,_xlfn.XLOOKUP(R199&amp;S199,Daily_Totals[Day]&amp;Daily_Totals[Term],Daily_Totals[Non-Instruction]))</f>
        <v>0</v>
      </c>
    </row>
    <row r="200" spans="3:21" x14ac:dyDescent="0.3">
      <c r="C200">
        <f t="shared" si="29"/>
        <v>12</v>
      </c>
      <c r="D200" s="37">
        <v>46022</v>
      </c>
      <c r="E200" t="str">
        <v>Closed (non-operational)</v>
      </c>
      <c r="F200">
        <f t="shared" si="25"/>
        <v>0</v>
      </c>
      <c r="K200" s="37"/>
      <c r="L200"/>
      <c r="N200" t="str">
        <f t="shared" si="27"/>
        <v/>
      </c>
      <c r="O200">
        <f t="shared" si="28"/>
        <v>0</v>
      </c>
      <c r="P200">
        <f>IF(IF(ISERROR(MATCH(K200,Rotation_Reset_Dates[Date],0)),0,1)=1,1,IF(ISBLANK(K200),"",IF(OR(rotationDays=1,K200&lt;First_Instructional_Day1),0,IF(AND(rotationDays&gt;1,K200=First_Instructional_Day1),1,IF(P199+IF(OR(N199="Instructional",N199="Not Scheduled"),1,0)&gt;rotationDays,1,P199+IF(OR(N199="Instructional",N199="Not Scheduled"),1,0))))))</f>
        <v>1</v>
      </c>
      <c r="Q200" t="str">
        <f t="shared" si="26"/>
        <v/>
      </c>
      <c r="R200" t="str">
        <f>IF(ISBLANK(K200),"",IF(N200="Operational (no students)",99,IF(N200="Instructional",IF(rotationDays=1,Q200,P200),_xlfn.XLOOKUP(N200,TimeTable_Codes[Description],TimeTable_Codes[TimetableCode]))))</f>
        <v/>
      </c>
      <c r="S200" t="str">
        <f>IF(NOT(ISBLANK(K200)),VLOOKUP(K200,term_lookups[],2),"")</f>
        <v/>
      </c>
      <c r="T200" cm="1">
        <f t="array" ref="T200">IF(ISBLANK(K200),0,_xlfn.XLOOKUP(R200&amp;S200,Daily_Totals[Day]&amp;Daily_Totals[Term],Daily_Totals[Instruction]))</f>
        <v>0</v>
      </c>
      <c r="U200" cm="1">
        <f t="array" ref="U200">IF(ISBLANK(K200),0,_xlfn.XLOOKUP(R200&amp;S200,Daily_Totals[Day]&amp;Daily_Totals[Term],Daily_Totals[Non-Instruction]))</f>
        <v>0</v>
      </c>
    </row>
    <row r="201" spans="3:21" x14ac:dyDescent="0.3">
      <c r="C201">
        <f t="shared" si="29"/>
        <v>12</v>
      </c>
      <c r="D201" s="37">
        <v>46023</v>
      </c>
      <c r="E201">
        <v>0</v>
      </c>
      <c r="F201">
        <f t="shared" si="25"/>
        <v>0</v>
      </c>
      <c r="K201" s="37"/>
      <c r="L201"/>
      <c r="N201" t="str">
        <f t="shared" si="27"/>
        <v/>
      </c>
      <c r="O201">
        <f t="shared" si="28"/>
        <v>0</v>
      </c>
      <c r="P201">
        <f>IF(IF(ISERROR(MATCH(K201,Rotation_Reset_Dates[Date],0)),0,1)=1,1,IF(ISBLANK(K201),"",IF(OR(rotationDays=1,K201&lt;First_Instructional_Day1),0,IF(AND(rotationDays&gt;1,K201=First_Instructional_Day1),1,IF(P200+IF(OR(N200="Instructional",N200="Not Scheduled"),1,0)&gt;rotationDays,1,P200+IF(OR(N200="Instructional",N200="Not Scheduled"),1,0))))))</f>
        <v>1</v>
      </c>
      <c r="Q201" t="str">
        <f t="shared" si="26"/>
        <v/>
      </c>
      <c r="R201" t="str">
        <f>IF(ISBLANK(K201),"",IF(N201="Operational (no students)",99,IF(N201="Instructional",IF(rotationDays=1,Q201,P201),_xlfn.XLOOKUP(N201,TimeTable_Codes[Description],TimeTable_Codes[TimetableCode]))))</f>
        <v/>
      </c>
      <c r="S201" t="str">
        <f>IF(NOT(ISBLANK(K201)),VLOOKUP(K201,term_lookups[],2),"")</f>
        <v/>
      </c>
      <c r="T201" cm="1">
        <f t="array" ref="T201">IF(ISBLANK(K201),0,_xlfn.XLOOKUP(R201&amp;S201,Daily_Totals[Day]&amp;Daily_Totals[Term],Daily_Totals[Instruction]))</f>
        <v>0</v>
      </c>
      <c r="U201" cm="1">
        <f t="array" ref="U201">IF(ISBLANK(K201),0,_xlfn.XLOOKUP(R201&amp;S201,Daily_Totals[Day]&amp;Daily_Totals[Term],Daily_Totals[Non-Instruction]))</f>
        <v>0</v>
      </c>
    </row>
    <row r="202" spans="3:21" x14ac:dyDescent="0.3">
      <c r="C202">
        <f t="shared" si="29"/>
        <v>12</v>
      </c>
      <c r="D202" s="37">
        <v>46024</v>
      </c>
      <c r="E202">
        <v>0</v>
      </c>
      <c r="F202">
        <f t="shared" si="25"/>
        <v>0</v>
      </c>
      <c r="K202" s="37"/>
      <c r="L202"/>
      <c r="N202" t="str">
        <f t="shared" si="27"/>
        <v/>
      </c>
      <c r="O202">
        <f t="shared" si="28"/>
        <v>0</v>
      </c>
      <c r="P202">
        <f>IF(IF(ISERROR(MATCH(K202,Rotation_Reset_Dates[Date],0)),0,1)=1,1,IF(ISBLANK(K202),"",IF(OR(rotationDays=1,K202&lt;First_Instructional_Day1),0,IF(AND(rotationDays&gt;1,K202=First_Instructional_Day1),1,IF(P201+IF(OR(N201="Instructional",N201="Not Scheduled"),1,0)&gt;rotationDays,1,P201+IF(OR(N201="Instructional",N201="Not Scheduled"),1,0))))))</f>
        <v>1</v>
      </c>
      <c r="Q202" t="str">
        <f t="shared" si="26"/>
        <v/>
      </c>
      <c r="R202" t="str">
        <f>IF(ISBLANK(K202),"",IF(N202="Operational (no students)",99,IF(N202="Instructional",IF(rotationDays=1,Q202,P202),_xlfn.XLOOKUP(N202,TimeTable_Codes[Description],TimeTable_Codes[TimetableCode]))))</f>
        <v/>
      </c>
      <c r="S202" t="str">
        <f>IF(NOT(ISBLANK(K202)),VLOOKUP(K202,term_lookups[],2),"")</f>
        <v/>
      </c>
      <c r="T202" cm="1">
        <f t="array" ref="T202">IF(ISBLANK(K202),0,_xlfn.XLOOKUP(R202&amp;S202,Daily_Totals[Day]&amp;Daily_Totals[Term],Daily_Totals[Instruction]))</f>
        <v>0</v>
      </c>
      <c r="U202" cm="1">
        <f t="array" ref="U202">IF(ISBLANK(K202),0,_xlfn.XLOOKUP(R202&amp;S202,Daily_Totals[Day]&amp;Daily_Totals[Term],Daily_Totals[Non-Instruction]))</f>
        <v>0</v>
      </c>
    </row>
    <row r="203" spans="3:21" x14ac:dyDescent="0.3">
      <c r="C203">
        <f t="shared" si="29"/>
        <v>12</v>
      </c>
      <c r="D203" s="37">
        <v>46025</v>
      </c>
      <c r="E203">
        <v>0</v>
      </c>
      <c r="F203">
        <f t="shared" si="25"/>
        <v>0</v>
      </c>
      <c r="K203" s="37"/>
      <c r="L203"/>
      <c r="N203" t="str">
        <f t="shared" si="27"/>
        <v/>
      </c>
      <c r="O203">
        <f t="shared" si="28"/>
        <v>0</v>
      </c>
      <c r="P203">
        <f>IF(IF(ISERROR(MATCH(K203,Rotation_Reset_Dates[Date],0)),0,1)=1,1,IF(ISBLANK(K203),"",IF(OR(rotationDays=1,K203&lt;First_Instructional_Day1),0,IF(AND(rotationDays&gt;1,K203=First_Instructional_Day1),1,IF(P202+IF(OR(N202="Instructional",N202="Not Scheduled"),1,0)&gt;rotationDays,1,P202+IF(OR(N202="Instructional",N202="Not Scheduled"),1,0))))))</f>
        <v>1</v>
      </c>
      <c r="Q203" t="str">
        <f t="shared" si="26"/>
        <v/>
      </c>
      <c r="R203" t="str">
        <f>IF(ISBLANK(K203),"",IF(N203="Operational (no students)",99,IF(N203="Instructional",IF(rotationDays=1,Q203,P203),_xlfn.XLOOKUP(N203,TimeTable_Codes[Description],TimeTable_Codes[TimetableCode]))))</f>
        <v/>
      </c>
      <c r="S203" t="str">
        <f>IF(NOT(ISBLANK(K203)),VLOOKUP(K203,term_lookups[],2),"")</f>
        <v/>
      </c>
      <c r="T203" cm="1">
        <f t="array" ref="T203">IF(ISBLANK(K203),0,_xlfn.XLOOKUP(R203&amp;S203,Daily_Totals[Day]&amp;Daily_Totals[Term],Daily_Totals[Instruction]))</f>
        <v>0</v>
      </c>
      <c r="U203" cm="1">
        <f t="array" ref="U203">IF(ISBLANK(K203),0,_xlfn.XLOOKUP(R203&amp;S203,Daily_Totals[Day]&amp;Daily_Totals[Term],Daily_Totals[Non-Instruction]))</f>
        <v>0</v>
      </c>
    </row>
    <row r="204" spans="3:21" x14ac:dyDescent="0.3">
      <c r="C204">
        <f t="shared" si="29"/>
        <v>12</v>
      </c>
      <c r="D204" s="37" cm="1">
        <f t="array" ref="D204:D205">TRANSPOSE(Calendar!B87:C87)</f>
        <v>46026</v>
      </c>
      <c r="E204" cm="1">
        <f t="array" ref="E204">TRANSPOSE(Calendar!B88:B88)</f>
        <v>0</v>
      </c>
      <c r="F204">
        <f t="shared" si="25"/>
        <v>0</v>
      </c>
      <c r="K204" s="37"/>
      <c r="L204"/>
      <c r="N204" t="str">
        <f t="shared" si="27"/>
        <v/>
      </c>
      <c r="O204">
        <f t="shared" si="28"/>
        <v>0</v>
      </c>
      <c r="P204">
        <f>IF(IF(ISERROR(MATCH(K204,Rotation_Reset_Dates[Date],0)),0,1)=1,1,IF(ISBLANK(K204),"",IF(OR(rotationDays=1,K204&lt;First_Instructional_Day1),0,IF(AND(rotationDays&gt;1,K204=First_Instructional_Day1),1,IF(P203+IF(OR(N203="Instructional",N203="Not Scheduled"),1,0)&gt;rotationDays,1,P203+IF(OR(N203="Instructional",N203="Not Scheduled"),1,0))))))</f>
        <v>1</v>
      </c>
      <c r="Q204" t="str">
        <f t="shared" si="26"/>
        <v/>
      </c>
      <c r="R204" t="str">
        <f>IF(ISBLANK(K204),"",IF(N204="Operational (no students)",99,IF(N204="Instructional",IF(rotationDays=1,Q204,P204),_xlfn.XLOOKUP(N204,TimeTable_Codes[Description],TimeTable_Codes[TimetableCode]))))</f>
        <v/>
      </c>
      <c r="S204" t="str">
        <f>IF(NOT(ISBLANK(K204)),VLOOKUP(K204,term_lookups[],2),"")</f>
        <v/>
      </c>
      <c r="T204" cm="1">
        <f t="array" ref="T204">IF(ISBLANK(K204),0,_xlfn.XLOOKUP(R204&amp;S204,Daily_Totals[Day]&amp;Daily_Totals[Term],Daily_Totals[Instruction]))</f>
        <v>0</v>
      </c>
      <c r="U204" cm="1">
        <f t="array" ref="U204">IF(ISBLANK(K204),0,_xlfn.XLOOKUP(R204&amp;S204,Daily_Totals[Day]&amp;Daily_Totals[Term],Daily_Totals[Non-Instruction]))</f>
        <v>0</v>
      </c>
    </row>
    <row r="205" spans="3:21" x14ac:dyDescent="0.3">
      <c r="C205">
        <f t="shared" si="29"/>
        <v>12</v>
      </c>
      <c r="D205" s="37">
        <v>46027</v>
      </c>
      <c r="E205"/>
      <c r="F205">
        <f t="shared" si="25"/>
        <v>0</v>
      </c>
      <c r="K205" s="37"/>
      <c r="L205"/>
      <c r="N205" t="str">
        <f t="shared" si="27"/>
        <v/>
      </c>
      <c r="O205">
        <f t="shared" si="28"/>
        <v>0</v>
      </c>
      <c r="P205">
        <f>IF(IF(ISERROR(MATCH(K205,Rotation_Reset_Dates[Date],0)),0,1)=1,1,IF(ISBLANK(K205),"",IF(OR(rotationDays=1,K205&lt;First_Instructional_Day1),0,IF(AND(rotationDays&gt;1,K205=First_Instructional_Day1),1,IF(P204+IF(OR(N204="Instructional",N204="Not Scheduled"),1,0)&gt;rotationDays,1,P204+IF(OR(N204="Instructional",N204="Not Scheduled"),1,0))))))</f>
        <v>1</v>
      </c>
      <c r="Q205" t="str">
        <f t="shared" si="26"/>
        <v/>
      </c>
      <c r="R205" t="str">
        <f>IF(ISBLANK(K205),"",IF(N205="Operational (no students)",99,IF(N205="Instructional",IF(rotationDays=1,Q205,P205),_xlfn.XLOOKUP(N205,TimeTable_Codes[Description],TimeTable_Codes[TimetableCode]))))</f>
        <v/>
      </c>
      <c r="S205" t="str">
        <f>IF(NOT(ISBLANK(K205)),VLOOKUP(K205,term_lookups[],2),"")</f>
        <v/>
      </c>
      <c r="T205" cm="1">
        <f t="array" ref="T205">IF(ISBLANK(K205),0,_xlfn.XLOOKUP(R205&amp;S205,Daily_Totals[Day]&amp;Daily_Totals[Term],Daily_Totals[Instruction]))</f>
        <v>0</v>
      </c>
      <c r="U205" cm="1">
        <f t="array" ref="U205">IF(ISBLANK(K205),0,_xlfn.XLOOKUP(R205&amp;S205,Daily_Totals[Day]&amp;Daily_Totals[Term],Daily_Totals[Non-Instruction]))</f>
        <v>0</v>
      </c>
    </row>
    <row r="206" spans="3:21" x14ac:dyDescent="0.3">
      <c r="C206">
        <v>1</v>
      </c>
      <c r="D206" s="37" cm="1">
        <f t="array" ref="D206:D212">TRANSPOSE(Calendar!B93:H93)</f>
        <v>46019</v>
      </c>
      <c r="E206" cm="1">
        <f t="array" ref="E206:E212">TRANSPOSE(Calendar!B94:H94)</f>
        <v>0</v>
      </c>
      <c r="F206">
        <f t="shared" si="25"/>
        <v>0</v>
      </c>
      <c r="K206" s="37"/>
      <c r="L206"/>
      <c r="N206" t="str">
        <f t="shared" si="27"/>
        <v/>
      </c>
      <c r="O206">
        <f t="shared" si="28"/>
        <v>0</v>
      </c>
      <c r="P206">
        <f>IF(IF(ISERROR(MATCH(K206,Rotation_Reset_Dates[Date],0)),0,1)=1,1,IF(ISBLANK(K206),"",IF(OR(rotationDays=1,K206&lt;First_Instructional_Day1),0,IF(AND(rotationDays&gt;1,K206=First_Instructional_Day1),1,IF(P205+IF(OR(N205="Instructional",N205="Not Scheduled"),1,0)&gt;rotationDays,1,P205+IF(OR(N205="Instructional",N205="Not Scheduled"),1,0))))))</f>
        <v>1</v>
      </c>
      <c r="Q206" t="str">
        <f t="shared" si="26"/>
        <v/>
      </c>
      <c r="R206" t="str">
        <f>IF(ISBLANK(K206),"",IF(N206="Operational (no students)",99,IF(N206="Instructional",IF(rotationDays=1,Q206,P206),_xlfn.XLOOKUP(N206,TimeTable_Codes[Description],TimeTable_Codes[TimetableCode]))))</f>
        <v/>
      </c>
      <c r="S206" t="str">
        <f>IF(NOT(ISBLANK(K206)),VLOOKUP(K206,term_lookups[],2),"")</f>
        <v/>
      </c>
      <c r="T206" cm="1">
        <f t="array" ref="T206">IF(ISBLANK(K206),0,_xlfn.XLOOKUP(R206&amp;S206,Daily_Totals[Day]&amp;Daily_Totals[Term],Daily_Totals[Instruction]))</f>
        <v>0</v>
      </c>
      <c r="U206" cm="1">
        <f t="array" ref="U206">IF(ISBLANK(K206),0,_xlfn.XLOOKUP(R206&amp;S206,Daily_Totals[Day]&amp;Daily_Totals[Term],Daily_Totals[Non-Instruction]))</f>
        <v>0</v>
      </c>
    </row>
    <row r="207" spans="3:21" x14ac:dyDescent="0.3">
      <c r="C207">
        <v>1</v>
      </c>
      <c r="D207" s="37">
        <v>46020</v>
      </c>
      <c r="E207">
        <v>0</v>
      </c>
      <c r="F207">
        <f t="shared" si="25"/>
        <v>0</v>
      </c>
      <c r="K207" s="37"/>
      <c r="L207"/>
      <c r="N207" t="str">
        <f t="shared" si="27"/>
        <v/>
      </c>
      <c r="O207">
        <f t="shared" si="28"/>
        <v>0</v>
      </c>
      <c r="P207">
        <f>IF(IF(ISERROR(MATCH(K207,Rotation_Reset_Dates[Date],0)),0,1)=1,1,IF(ISBLANK(K207),"",IF(OR(rotationDays=1,K207&lt;First_Instructional_Day1),0,IF(AND(rotationDays&gt;1,K207=First_Instructional_Day1),1,IF(P206+IF(OR(N206="Instructional",N206="Not Scheduled"),1,0)&gt;rotationDays,1,P206+IF(OR(N206="Instructional",N206="Not Scheduled"),1,0))))))</f>
        <v>1</v>
      </c>
      <c r="Q207" t="str">
        <f t="shared" si="26"/>
        <v/>
      </c>
      <c r="R207" t="str">
        <f>IF(ISBLANK(K207),"",IF(N207="Operational (no students)",99,IF(N207="Instructional",IF(rotationDays=1,Q207,P207),_xlfn.XLOOKUP(N207,TimeTable_Codes[Description],TimeTable_Codes[TimetableCode]))))</f>
        <v/>
      </c>
      <c r="S207" t="str">
        <f>IF(NOT(ISBLANK(K207)),VLOOKUP(K207,term_lookups[],2),"")</f>
        <v/>
      </c>
      <c r="T207" cm="1">
        <f t="array" ref="T207">IF(ISBLANK(K207),0,_xlfn.XLOOKUP(R207&amp;S207,Daily_Totals[Day]&amp;Daily_Totals[Term],Daily_Totals[Instruction]))</f>
        <v>0</v>
      </c>
      <c r="U207" cm="1">
        <f t="array" ref="U207">IF(ISBLANK(K207),0,_xlfn.XLOOKUP(R207&amp;S207,Daily_Totals[Day]&amp;Daily_Totals[Term],Daily_Totals[Non-Instruction]))</f>
        <v>0</v>
      </c>
    </row>
    <row r="208" spans="3:21" x14ac:dyDescent="0.3">
      <c r="C208">
        <v>1</v>
      </c>
      <c r="D208" s="37">
        <v>46021</v>
      </c>
      <c r="E208">
        <v>0</v>
      </c>
      <c r="F208">
        <f t="shared" si="25"/>
        <v>0</v>
      </c>
      <c r="K208" s="37"/>
      <c r="L208"/>
      <c r="N208" t="str">
        <f t="shared" si="27"/>
        <v/>
      </c>
      <c r="O208">
        <f t="shared" si="28"/>
        <v>0</v>
      </c>
      <c r="P208">
        <f>IF(IF(ISERROR(MATCH(K208,Rotation_Reset_Dates[Date],0)),0,1)=1,1,IF(ISBLANK(K208),"",IF(OR(rotationDays=1,K208&lt;First_Instructional_Day1),0,IF(AND(rotationDays&gt;1,K208=First_Instructional_Day1),1,IF(P207+IF(OR(N207="Instructional",N207="Not Scheduled"),1,0)&gt;rotationDays,1,P207+IF(OR(N207="Instructional",N207="Not Scheduled"),1,0))))))</f>
        <v>1</v>
      </c>
      <c r="Q208" t="str">
        <f t="shared" si="26"/>
        <v/>
      </c>
      <c r="R208" t="str">
        <f>IF(ISBLANK(K208),"",IF(N208="Operational (no students)",99,IF(N208="Instructional",IF(rotationDays=1,Q208,P208),_xlfn.XLOOKUP(N208,TimeTable_Codes[Description],TimeTable_Codes[TimetableCode]))))</f>
        <v/>
      </c>
      <c r="S208" t="str">
        <f>IF(NOT(ISBLANK(K208)),VLOOKUP(K208,term_lookups[],2),"")</f>
        <v/>
      </c>
      <c r="T208" cm="1">
        <f t="array" ref="T208">IF(ISBLANK(K208),0,_xlfn.XLOOKUP(R208&amp;S208,Daily_Totals[Day]&amp;Daily_Totals[Term],Daily_Totals[Instruction]))</f>
        <v>0</v>
      </c>
      <c r="U208" cm="1">
        <f t="array" ref="U208">IF(ISBLANK(K208),0,_xlfn.XLOOKUP(R208&amp;S208,Daily_Totals[Day]&amp;Daily_Totals[Term],Daily_Totals[Non-Instruction]))</f>
        <v>0</v>
      </c>
    </row>
    <row r="209" spans="3:21" x14ac:dyDescent="0.3">
      <c r="C209">
        <v>1</v>
      </c>
      <c r="D209" s="37">
        <v>46022</v>
      </c>
      <c r="E209">
        <v>0</v>
      </c>
      <c r="F209">
        <f t="shared" si="25"/>
        <v>0</v>
      </c>
      <c r="K209" s="37"/>
      <c r="L209"/>
      <c r="N209" t="str">
        <f t="shared" si="27"/>
        <v/>
      </c>
      <c r="O209">
        <f t="shared" si="28"/>
        <v>0</v>
      </c>
      <c r="P209">
        <f>IF(IF(ISERROR(MATCH(K209,Rotation_Reset_Dates[Date],0)),0,1)=1,1,IF(ISBLANK(K209),"",IF(OR(rotationDays=1,K209&lt;First_Instructional_Day1),0,IF(AND(rotationDays&gt;1,K209=First_Instructional_Day1),1,IF(P208+IF(OR(N208="Instructional",N208="Not Scheduled"),1,0)&gt;rotationDays,1,P208+IF(OR(N208="Instructional",N208="Not Scheduled"),1,0))))))</f>
        <v>1</v>
      </c>
      <c r="Q209" t="str">
        <f t="shared" si="26"/>
        <v/>
      </c>
      <c r="R209" t="str">
        <f>IF(ISBLANK(K209),"",IF(N209="Operational (no students)",99,IF(N209="Instructional",IF(rotationDays=1,Q209,P209),_xlfn.XLOOKUP(N209,TimeTable_Codes[Description],TimeTable_Codes[TimetableCode]))))</f>
        <v/>
      </c>
      <c r="S209" t="str">
        <f>IF(NOT(ISBLANK(K209)),VLOOKUP(K209,term_lookups[],2),"")</f>
        <v/>
      </c>
      <c r="T209" cm="1">
        <f t="array" ref="T209">IF(ISBLANK(K209),0,_xlfn.XLOOKUP(R209&amp;S209,Daily_Totals[Day]&amp;Daily_Totals[Term],Daily_Totals[Instruction]))</f>
        <v>0</v>
      </c>
      <c r="U209" cm="1">
        <f t="array" ref="U209">IF(ISBLANK(K209),0,_xlfn.XLOOKUP(R209&amp;S209,Daily_Totals[Day]&amp;Daily_Totals[Term],Daily_Totals[Non-Instruction]))</f>
        <v>0</v>
      </c>
    </row>
    <row r="210" spans="3:21" x14ac:dyDescent="0.3">
      <c r="C210">
        <v>1</v>
      </c>
      <c r="D210" s="37">
        <v>46023</v>
      </c>
      <c r="E210" t="str">
        <v>Closed (non-operational)</v>
      </c>
      <c r="F210">
        <f t="shared" si="25"/>
        <v>0</v>
      </c>
      <c r="K210" s="37"/>
      <c r="L210"/>
      <c r="N210" t="str">
        <f t="shared" si="27"/>
        <v/>
      </c>
      <c r="O210">
        <f t="shared" si="28"/>
        <v>0</v>
      </c>
      <c r="P210">
        <f>IF(IF(ISERROR(MATCH(K210,Rotation_Reset_Dates[Date],0)),0,1)=1,1,IF(ISBLANK(K210),"",IF(OR(rotationDays=1,K210&lt;First_Instructional_Day1),0,IF(AND(rotationDays&gt;1,K210=First_Instructional_Day1),1,IF(P209+IF(OR(N209="Instructional",N209="Not Scheduled"),1,0)&gt;rotationDays,1,P209+IF(OR(N209="Instructional",N209="Not Scheduled"),1,0))))))</f>
        <v>1</v>
      </c>
      <c r="Q210" t="str">
        <f t="shared" si="26"/>
        <v/>
      </c>
      <c r="R210" t="str">
        <f>IF(ISBLANK(K210),"",IF(N210="Operational (no students)",99,IF(N210="Instructional",IF(rotationDays=1,Q210,P210),_xlfn.XLOOKUP(N210,TimeTable_Codes[Description],TimeTable_Codes[TimetableCode]))))</f>
        <v/>
      </c>
      <c r="S210" t="str">
        <f>IF(NOT(ISBLANK(K210)),VLOOKUP(K210,term_lookups[],2),"")</f>
        <v/>
      </c>
      <c r="T210" cm="1">
        <f t="array" ref="T210">IF(ISBLANK(K210),0,_xlfn.XLOOKUP(R210&amp;S210,Daily_Totals[Day]&amp;Daily_Totals[Term],Daily_Totals[Instruction]))</f>
        <v>0</v>
      </c>
      <c r="U210" cm="1">
        <f t="array" ref="U210">IF(ISBLANK(K210),0,_xlfn.XLOOKUP(R210&amp;S210,Daily_Totals[Day]&amp;Daily_Totals[Term],Daily_Totals[Non-Instruction]))</f>
        <v>0</v>
      </c>
    </row>
    <row r="211" spans="3:21" x14ac:dyDescent="0.3">
      <c r="C211">
        <v>1</v>
      </c>
      <c r="D211" s="37">
        <v>46024</v>
      </c>
      <c r="E211" t="str">
        <v>Closed (non-operational)</v>
      </c>
      <c r="F211">
        <f t="shared" si="25"/>
        <v>0</v>
      </c>
      <c r="K211" s="37"/>
      <c r="L211"/>
      <c r="N211" t="str">
        <f t="shared" si="27"/>
        <v/>
      </c>
      <c r="O211">
        <f t="shared" si="28"/>
        <v>0</v>
      </c>
      <c r="P211">
        <f>IF(IF(ISERROR(MATCH(K211,Rotation_Reset_Dates[Date],0)),0,1)=1,1,IF(ISBLANK(K211),"",IF(OR(rotationDays=1,K211&lt;First_Instructional_Day1),0,IF(AND(rotationDays&gt;1,K211=First_Instructional_Day1),1,IF(P210+IF(OR(N210="Instructional",N210="Not Scheduled"),1,0)&gt;rotationDays,1,P210+IF(OR(N210="Instructional",N210="Not Scheduled"),1,0))))))</f>
        <v>1</v>
      </c>
      <c r="Q211" t="str">
        <f t="shared" si="26"/>
        <v/>
      </c>
      <c r="R211" t="str">
        <f>IF(ISBLANK(K211),"",IF(N211="Operational (no students)",99,IF(N211="Instructional",IF(rotationDays=1,Q211,P211),_xlfn.XLOOKUP(N211,TimeTable_Codes[Description],TimeTable_Codes[TimetableCode]))))</f>
        <v/>
      </c>
      <c r="S211" t="str">
        <f>IF(NOT(ISBLANK(K211)),VLOOKUP(K211,term_lookups[],2),"")</f>
        <v/>
      </c>
      <c r="T211" cm="1">
        <f t="array" ref="T211">IF(ISBLANK(K211),0,_xlfn.XLOOKUP(R211&amp;S211,Daily_Totals[Day]&amp;Daily_Totals[Term],Daily_Totals[Instruction]))</f>
        <v>0</v>
      </c>
      <c r="U211" cm="1">
        <f t="array" ref="U211">IF(ISBLANK(K211),0,_xlfn.XLOOKUP(R211&amp;S211,Daily_Totals[Day]&amp;Daily_Totals[Term],Daily_Totals[Non-Instruction]))</f>
        <v>0</v>
      </c>
    </row>
    <row r="212" spans="3:21" x14ac:dyDescent="0.3">
      <c r="C212">
        <v>1</v>
      </c>
      <c r="D212" s="37">
        <v>46025</v>
      </c>
      <c r="E212">
        <v>0</v>
      </c>
      <c r="F212">
        <f t="shared" si="25"/>
        <v>0</v>
      </c>
      <c r="K212" s="37"/>
      <c r="L212"/>
      <c r="N212" t="str">
        <f t="shared" si="27"/>
        <v/>
      </c>
      <c r="O212">
        <f t="shared" si="28"/>
        <v>0</v>
      </c>
      <c r="P212">
        <f>IF(IF(ISERROR(MATCH(K212,Rotation_Reset_Dates[Date],0)),0,1)=1,1,IF(ISBLANK(K212),"",IF(OR(rotationDays=1,K212&lt;First_Instructional_Day1),0,IF(AND(rotationDays&gt;1,K212=First_Instructional_Day1),1,IF(P211+IF(OR(N211="Instructional",N211="Not Scheduled"),1,0)&gt;rotationDays,1,P211+IF(OR(N211="Instructional",N211="Not Scheduled"),1,0))))))</f>
        <v>1</v>
      </c>
      <c r="Q212" t="str">
        <f t="shared" si="26"/>
        <v/>
      </c>
      <c r="R212" t="str">
        <f>IF(ISBLANK(K212),"",IF(N212="Operational (no students)",99,IF(N212="Instructional",IF(rotationDays=1,Q212,P212),_xlfn.XLOOKUP(N212,TimeTable_Codes[Description],TimeTable_Codes[TimetableCode]))))</f>
        <v/>
      </c>
      <c r="S212" t="str">
        <f>IF(NOT(ISBLANK(K212)),VLOOKUP(K212,term_lookups[],2),"")</f>
        <v/>
      </c>
      <c r="T212" cm="1">
        <f t="array" ref="T212">IF(ISBLANK(K212),0,_xlfn.XLOOKUP(R212&amp;S212,Daily_Totals[Day]&amp;Daily_Totals[Term],Daily_Totals[Instruction]))</f>
        <v>0</v>
      </c>
      <c r="U212" cm="1">
        <f t="array" ref="U212">IF(ISBLANK(K212),0,_xlfn.XLOOKUP(R212&amp;S212,Daily_Totals[Day]&amp;Daily_Totals[Term],Daily_Totals[Non-Instruction]))</f>
        <v>0</v>
      </c>
    </row>
    <row r="213" spans="3:21" x14ac:dyDescent="0.3">
      <c r="C213">
        <v>1</v>
      </c>
      <c r="D213" s="37" cm="1">
        <f t="array" ref="D213:D219">TRANSPOSE(Calendar!B95:H95)</f>
        <v>46026</v>
      </c>
      <c r="E213" cm="1">
        <f t="array" ref="E213:E219">TRANSPOSE(Calendar!B96:H96)</f>
        <v>0</v>
      </c>
      <c r="F213">
        <f t="shared" ref="F213:F276" si="30">IF(AND(MONTH(D213)=C213,D213&gt;=First_Operational_Day,D213&lt;=Last_Operational_Day,WEEKDAY(D213)&lt;&gt;1,WEEKDAY(D213)&lt;&gt;7,E213&lt;&gt;"Closed (non-operational)"),1,0)</f>
        <v>0</v>
      </c>
      <c r="K213" s="37"/>
      <c r="L213"/>
      <c r="N213" t="str">
        <f t="shared" si="27"/>
        <v/>
      </c>
      <c r="O213">
        <f t="shared" si="28"/>
        <v>0</v>
      </c>
      <c r="P213">
        <f>IF(IF(ISERROR(MATCH(K213,Rotation_Reset_Dates[Date],0)),0,1)=1,1,IF(ISBLANK(K213),"",IF(OR(rotationDays=1,K213&lt;First_Instructional_Day1),0,IF(AND(rotationDays&gt;1,K213=First_Instructional_Day1),1,IF(P212+IF(OR(N212="Instructional",N212="Not Scheduled"),1,0)&gt;rotationDays,1,P212+IF(OR(N212="Instructional",N212="Not Scheduled"),1,0))))))</f>
        <v>1</v>
      </c>
      <c r="Q213" t="str">
        <f t="shared" ref="Q213:Q226" si="31">IF(ISBLANK(K213),"",IF(K213&gt;=First_Instructional_Day1,WEEKDAY(K213)-1,0))</f>
        <v/>
      </c>
      <c r="R213" t="str">
        <f>IF(ISBLANK(K213),"",IF(N213="Operational (no students)",99,IF(N213="Instructional",IF(rotationDays=1,Q213,P213),_xlfn.XLOOKUP(N213,TimeTable_Codes[Description],TimeTable_Codes[TimetableCode]))))</f>
        <v/>
      </c>
      <c r="S213" t="str">
        <f>IF(NOT(ISBLANK(K213)),VLOOKUP(K213,term_lookups[],2),"")</f>
        <v/>
      </c>
      <c r="T213" cm="1">
        <f t="array" ref="T213">IF(ISBLANK(K213),0,_xlfn.XLOOKUP(R213&amp;S213,Daily_Totals[Day]&amp;Daily_Totals[Term],Daily_Totals[Instruction]))</f>
        <v>0</v>
      </c>
      <c r="U213" cm="1">
        <f t="array" ref="U213">IF(ISBLANK(K213),0,_xlfn.XLOOKUP(R213&amp;S213,Daily_Totals[Day]&amp;Daily_Totals[Term],Daily_Totals[Non-Instruction]))</f>
        <v>0</v>
      </c>
    </row>
    <row r="214" spans="3:21" x14ac:dyDescent="0.3">
      <c r="C214">
        <v>1</v>
      </c>
      <c r="D214" s="37">
        <v>46027</v>
      </c>
      <c r="E214">
        <v>0</v>
      </c>
      <c r="F214">
        <f t="shared" si="30"/>
        <v>0</v>
      </c>
      <c r="K214" s="37"/>
      <c r="L214"/>
      <c r="N214" t="str">
        <f t="shared" ref="N214:N226" si="32">IF(ISBLANK(K214),"",IF(L214=0,"Instructional",L214))</f>
        <v/>
      </c>
      <c r="O214">
        <f t="shared" ref="O214:O226" si="33">IF(OR(N214="Planning Day",N214="PD/In-Service Day"),1,0)</f>
        <v>0</v>
      </c>
      <c r="P214">
        <f>IF(IF(ISERROR(MATCH(K214,Rotation_Reset_Dates[Date],0)),0,1)=1,1,IF(ISBLANK(K214),"",IF(OR(rotationDays=1,K214&lt;First_Instructional_Day1),0,IF(AND(rotationDays&gt;1,K214=First_Instructional_Day1),1,IF(P213+IF(OR(N213="Instructional",N213="Not Scheduled"),1,0)&gt;rotationDays,1,P213+IF(OR(N213="Instructional",N213="Not Scheduled"),1,0))))))</f>
        <v>1</v>
      </c>
      <c r="Q214" t="str">
        <f t="shared" si="31"/>
        <v/>
      </c>
      <c r="R214" t="str">
        <f>IF(ISBLANK(K214),"",IF(N214="Operational (no students)",99,IF(N214="Instructional",IF(rotationDays=1,Q214,P214),_xlfn.XLOOKUP(N214,TimeTable_Codes[Description],TimeTable_Codes[TimetableCode]))))</f>
        <v/>
      </c>
      <c r="S214" t="str">
        <f>IF(NOT(ISBLANK(K214)),VLOOKUP(K214,term_lookups[],2),"")</f>
        <v/>
      </c>
      <c r="T214" cm="1">
        <f t="array" ref="T214">IF(ISBLANK(K214),0,_xlfn.XLOOKUP(R214&amp;S214,Daily_Totals[Day]&amp;Daily_Totals[Term],Daily_Totals[Instruction]))</f>
        <v>0</v>
      </c>
      <c r="U214" cm="1">
        <f t="array" ref="U214">IF(ISBLANK(K214),0,_xlfn.XLOOKUP(R214&amp;S214,Daily_Totals[Day]&amp;Daily_Totals[Term],Daily_Totals[Non-Instruction]))</f>
        <v>0</v>
      </c>
    </row>
    <row r="215" spans="3:21" x14ac:dyDescent="0.3">
      <c r="C215">
        <v>1</v>
      </c>
      <c r="D215" s="37">
        <v>46028</v>
      </c>
      <c r="E215">
        <v>0</v>
      </c>
      <c r="F215">
        <f t="shared" si="30"/>
        <v>0</v>
      </c>
      <c r="K215" s="37"/>
      <c r="L215"/>
      <c r="N215" t="str">
        <f t="shared" si="32"/>
        <v/>
      </c>
      <c r="O215">
        <f t="shared" si="33"/>
        <v>0</v>
      </c>
      <c r="P215">
        <f>IF(IF(ISERROR(MATCH(K215,Rotation_Reset_Dates[Date],0)),0,1)=1,1,IF(ISBLANK(K215),"",IF(OR(rotationDays=1,K215&lt;First_Instructional_Day1),0,IF(AND(rotationDays&gt;1,K215=First_Instructional_Day1),1,IF(P214+IF(OR(N214="Instructional",N214="Not Scheduled"),1,0)&gt;rotationDays,1,P214+IF(OR(N214="Instructional",N214="Not Scheduled"),1,0))))))</f>
        <v>1</v>
      </c>
      <c r="Q215" t="str">
        <f t="shared" si="31"/>
        <v/>
      </c>
      <c r="R215" t="str">
        <f>IF(ISBLANK(K215),"",IF(N215="Operational (no students)",99,IF(N215="Instructional",IF(rotationDays=1,Q215,P215),_xlfn.XLOOKUP(N215,TimeTable_Codes[Description],TimeTable_Codes[TimetableCode]))))</f>
        <v/>
      </c>
      <c r="S215" t="str">
        <f>IF(NOT(ISBLANK(K215)),VLOOKUP(K215,term_lookups[],2),"")</f>
        <v/>
      </c>
      <c r="T215" cm="1">
        <f t="array" ref="T215">IF(ISBLANK(K215),0,_xlfn.XLOOKUP(R215&amp;S215,Daily_Totals[Day]&amp;Daily_Totals[Term],Daily_Totals[Instruction]))</f>
        <v>0</v>
      </c>
      <c r="U215" cm="1">
        <f t="array" ref="U215">IF(ISBLANK(K215),0,_xlfn.XLOOKUP(R215&amp;S215,Daily_Totals[Day]&amp;Daily_Totals[Term],Daily_Totals[Non-Instruction]))</f>
        <v>0</v>
      </c>
    </row>
    <row r="216" spans="3:21" x14ac:dyDescent="0.3">
      <c r="C216">
        <v>1</v>
      </c>
      <c r="D216" s="37">
        <v>46029</v>
      </c>
      <c r="E216">
        <v>0</v>
      </c>
      <c r="F216">
        <f t="shared" si="30"/>
        <v>0</v>
      </c>
      <c r="K216" s="37"/>
      <c r="L216"/>
      <c r="N216" t="str">
        <f t="shared" si="32"/>
        <v/>
      </c>
      <c r="O216">
        <f t="shared" si="33"/>
        <v>0</v>
      </c>
      <c r="P216">
        <f>IF(IF(ISERROR(MATCH(K216,Rotation_Reset_Dates[Date],0)),0,1)=1,1,IF(ISBLANK(K216),"",IF(OR(rotationDays=1,K216&lt;First_Instructional_Day1),0,IF(AND(rotationDays&gt;1,K216=First_Instructional_Day1),1,IF(P215+IF(OR(N215="Instructional",N215="Not Scheduled"),1,0)&gt;rotationDays,1,P215+IF(OR(N215="Instructional",N215="Not Scheduled"),1,0))))))</f>
        <v>1</v>
      </c>
      <c r="Q216" t="str">
        <f t="shared" si="31"/>
        <v/>
      </c>
      <c r="R216" t="str">
        <f>IF(ISBLANK(K216),"",IF(N216="Operational (no students)",99,IF(N216="Instructional",IF(rotationDays=1,Q216,P216),_xlfn.XLOOKUP(N216,TimeTable_Codes[Description],TimeTable_Codes[TimetableCode]))))</f>
        <v/>
      </c>
      <c r="S216" t="str">
        <f>IF(NOT(ISBLANK(K216)),VLOOKUP(K216,term_lookups[],2),"")</f>
        <v/>
      </c>
      <c r="T216" cm="1">
        <f t="array" ref="T216">IF(ISBLANK(K216),0,_xlfn.XLOOKUP(R216&amp;S216,Daily_Totals[Day]&amp;Daily_Totals[Term],Daily_Totals[Instruction]))</f>
        <v>0</v>
      </c>
      <c r="U216" cm="1">
        <f t="array" ref="U216">IF(ISBLANK(K216),0,_xlfn.XLOOKUP(R216&amp;S216,Daily_Totals[Day]&amp;Daily_Totals[Term],Daily_Totals[Non-Instruction]))</f>
        <v>0</v>
      </c>
    </row>
    <row r="217" spans="3:21" x14ac:dyDescent="0.3">
      <c r="C217">
        <v>1</v>
      </c>
      <c r="D217" s="37">
        <v>46030</v>
      </c>
      <c r="E217">
        <v>0</v>
      </c>
      <c r="F217">
        <f t="shared" si="30"/>
        <v>0</v>
      </c>
      <c r="K217" s="37"/>
      <c r="L217"/>
      <c r="N217" t="str">
        <f t="shared" si="32"/>
        <v/>
      </c>
      <c r="O217">
        <f t="shared" si="33"/>
        <v>0</v>
      </c>
      <c r="P217">
        <f>IF(IF(ISERROR(MATCH(K217,Rotation_Reset_Dates[Date],0)),0,1)=1,1,IF(ISBLANK(K217),"",IF(OR(rotationDays=1,K217&lt;First_Instructional_Day1),0,IF(AND(rotationDays&gt;1,K217=First_Instructional_Day1),1,IF(P216+IF(OR(N216="Instructional",N216="Not Scheduled"),1,0)&gt;rotationDays,1,P216+IF(OR(N216="Instructional",N216="Not Scheduled"),1,0))))))</f>
        <v>1</v>
      </c>
      <c r="Q217" t="str">
        <f t="shared" si="31"/>
        <v/>
      </c>
      <c r="R217" t="str">
        <f>IF(ISBLANK(K217),"",IF(N217="Operational (no students)",99,IF(N217="Instructional",IF(rotationDays=1,Q217,P217),_xlfn.XLOOKUP(N217,TimeTable_Codes[Description],TimeTable_Codes[TimetableCode]))))</f>
        <v/>
      </c>
      <c r="S217" t="str">
        <f>IF(NOT(ISBLANK(K217)),VLOOKUP(K217,term_lookups[],2),"")</f>
        <v/>
      </c>
      <c r="T217" cm="1">
        <f t="array" ref="T217">IF(ISBLANK(K217),0,_xlfn.XLOOKUP(R217&amp;S217,Daily_Totals[Day]&amp;Daily_Totals[Term],Daily_Totals[Instruction]))</f>
        <v>0</v>
      </c>
      <c r="U217" cm="1">
        <f t="array" ref="U217">IF(ISBLANK(K217),0,_xlfn.XLOOKUP(R217&amp;S217,Daily_Totals[Day]&amp;Daily_Totals[Term],Daily_Totals[Non-Instruction]))</f>
        <v>0</v>
      </c>
    </row>
    <row r="218" spans="3:21" x14ac:dyDescent="0.3">
      <c r="C218">
        <v>1</v>
      </c>
      <c r="D218" s="37">
        <v>46031</v>
      </c>
      <c r="E218">
        <v>0</v>
      </c>
      <c r="F218">
        <f t="shared" si="30"/>
        <v>0</v>
      </c>
      <c r="K218" s="37"/>
      <c r="L218"/>
      <c r="N218" t="str">
        <f t="shared" si="32"/>
        <v/>
      </c>
      <c r="O218">
        <f t="shared" si="33"/>
        <v>0</v>
      </c>
      <c r="P218">
        <f>IF(IF(ISERROR(MATCH(K218,Rotation_Reset_Dates[Date],0)),0,1)=1,1,IF(ISBLANK(K218),"",IF(OR(rotationDays=1,K218&lt;First_Instructional_Day1),0,IF(AND(rotationDays&gt;1,K218=First_Instructional_Day1),1,IF(P217+IF(OR(N217="Instructional",N217="Not Scheduled"),1,0)&gt;rotationDays,1,P217+IF(OR(N217="Instructional",N217="Not Scheduled"),1,0))))))</f>
        <v>1</v>
      </c>
      <c r="Q218" t="str">
        <f t="shared" si="31"/>
        <v/>
      </c>
      <c r="R218" t="str">
        <f>IF(ISBLANK(K218),"",IF(N218="Operational (no students)",99,IF(N218="Instructional",IF(rotationDays=1,Q218,P218),_xlfn.XLOOKUP(N218,TimeTable_Codes[Description],TimeTable_Codes[TimetableCode]))))</f>
        <v/>
      </c>
      <c r="S218" t="str">
        <f>IF(NOT(ISBLANK(K218)),VLOOKUP(K218,term_lookups[],2),"")</f>
        <v/>
      </c>
      <c r="T218" cm="1">
        <f t="array" ref="T218">IF(ISBLANK(K218),0,_xlfn.XLOOKUP(R218&amp;S218,Daily_Totals[Day]&amp;Daily_Totals[Term],Daily_Totals[Instruction]))</f>
        <v>0</v>
      </c>
      <c r="U218" cm="1">
        <f t="array" ref="U218">IF(ISBLANK(K218),0,_xlfn.XLOOKUP(R218&amp;S218,Daily_Totals[Day]&amp;Daily_Totals[Term],Daily_Totals[Non-Instruction]))</f>
        <v>0</v>
      </c>
    </row>
    <row r="219" spans="3:21" x14ac:dyDescent="0.3">
      <c r="C219">
        <v>1</v>
      </c>
      <c r="D219" s="37">
        <v>46032</v>
      </c>
      <c r="E219">
        <v>0</v>
      </c>
      <c r="F219">
        <f t="shared" si="30"/>
        <v>0</v>
      </c>
      <c r="K219" s="37"/>
      <c r="L219"/>
      <c r="N219" t="str">
        <f t="shared" si="32"/>
        <v/>
      </c>
      <c r="O219">
        <f t="shared" si="33"/>
        <v>0</v>
      </c>
      <c r="P219">
        <f>IF(IF(ISERROR(MATCH(K219,Rotation_Reset_Dates[Date],0)),0,1)=1,1,IF(ISBLANK(K219),"",IF(OR(rotationDays=1,K219&lt;First_Instructional_Day1),0,IF(AND(rotationDays&gt;1,K219=First_Instructional_Day1),1,IF(P218+IF(OR(N218="Instructional",N218="Not Scheduled"),1,0)&gt;rotationDays,1,P218+IF(OR(N218="Instructional",N218="Not Scheduled"),1,0))))))</f>
        <v>1</v>
      </c>
      <c r="Q219" t="str">
        <f t="shared" si="31"/>
        <v/>
      </c>
      <c r="R219" t="str">
        <f>IF(ISBLANK(K219),"",IF(N219="Operational (no students)",99,IF(N219="Instructional",IF(rotationDays=1,Q219,P219),_xlfn.XLOOKUP(N219,TimeTable_Codes[Description],TimeTable_Codes[TimetableCode]))))</f>
        <v/>
      </c>
      <c r="S219" t="str">
        <f>IF(NOT(ISBLANK(K219)),VLOOKUP(K219,term_lookups[],2),"")</f>
        <v/>
      </c>
      <c r="T219" cm="1">
        <f t="array" ref="T219">IF(ISBLANK(K219),0,_xlfn.XLOOKUP(R219&amp;S219,Daily_Totals[Day]&amp;Daily_Totals[Term],Daily_Totals[Instruction]))</f>
        <v>0</v>
      </c>
      <c r="U219" cm="1">
        <f t="array" ref="U219">IF(ISBLANK(K219),0,_xlfn.XLOOKUP(R219&amp;S219,Daily_Totals[Day]&amp;Daily_Totals[Term],Daily_Totals[Non-Instruction]))</f>
        <v>0</v>
      </c>
    </row>
    <row r="220" spans="3:21" x14ac:dyDescent="0.3">
      <c r="C220">
        <v>1</v>
      </c>
      <c r="D220" s="37" cm="1">
        <f t="array" ref="D220:D226">TRANSPOSE(Calendar!B97:H97)</f>
        <v>46033</v>
      </c>
      <c r="E220" cm="1">
        <f t="array" ref="E220:E226">TRANSPOSE(Calendar!B98:H98)</f>
        <v>0</v>
      </c>
      <c r="F220">
        <f t="shared" si="30"/>
        <v>0</v>
      </c>
      <c r="K220" s="37"/>
      <c r="L220"/>
      <c r="N220" t="str">
        <f t="shared" si="32"/>
        <v/>
      </c>
      <c r="O220">
        <f t="shared" si="33"/>
        <v>0</v>
      </c>
      <c r="P220">
        <f>IF(IF(ISERROR(MATCH(K220,Rotation_Reset_Dates[Date],0)),0,1)=1,1,IF(ISBLANK(K220),"",IF(OR(rotationDays=1,K220&lt;First_Instructional_Day1),0,IF(AND(rotationDays&gt;1,K220=First_Instructional_Day1),1,IF(P219+IF(OR(N219="Instructional",N219="Not Scheduled"),1,0)&gt;rotationDays,1,P219+IF(OR(N219="Instructional",N219="Not Scheduled"),1,0))))))</f>
        <v>1</v>
      </c>
      <c r="Q220" t="str">
        <f t="shared" si="31"/>
        <v/>
      </c>
      <c r="R220" t="str">
        <f>IF(ISBLANK(K220),"",IF(N220="Operational (no students)",99,IF(N220="Instructional",IF(rotationDays=1,Q220,P220),_xlfn.XLOOKUP(N220,TimeTable_Codes[Description],TimeTable_Codes[TimetableCode]))))</f>
        <v/>
      </c>
      <c r="S220" t="str">
        <f>IF(NOT(ISBLANK(K220)),VLOOKUP(K220,term_lookups[],2),"")</f>
        <v/>
      </c>
      <c r="T220" cm="1">
        <f t="array" ref="T220">IF(ISBLANK(K220),0,_xlfn.XLOOKUP(R220&amp;S220,Daily_Totals[Day]&amp;Daily_Totals[Term],Daily_Totals[Instruction]))</f>
        <v>0</v>
      </c>
      <c r="U220" cm="1">
        <f t="array" ref="U220">IF(ISBLANK(K220),0,_xlfn.XLOOKUP(R220&amp;S220,Daily_Totals[Day]&amp;Daily_Totals[Term],Daily_Totals[Non-Instruction]))</f>
        <v>0</v>
      </c>
    </row>
    <row r="221" spans="3:21" x14ac:dyDescent="0.3">
      <c r="C221">
        <v>1</v>
      </c>
      <c r="D221" s="37">
        <v>46034</v>
      </c>
      <c r="E221">
        <v>0</v>
      </c>
      <c r="F221">
        <f t="shared" si="30"/>
        <v>0</v>
      </c>
      <c r="K221" s="37"/>
      <c r="L221"/>
      <c r="N221" t="str">
        <f t="shared" si="32"/>
        <v/>
      </c>
      <c r="O221">
        <f t="shared" si="33"/>
        <v>0</v>
      </c>
      <c r="P221">
        <f>IF(IF(ISERROR(MATCH(K221,Rotation_Reset_Dates[Date],0)),0,1)=1,1,IF(ISBLANK(K221),"",IF(OR(rotationDays=1,K221&lt;First_Instructional_Day1),0,IF(AND(rotationDays&gt;1,K221=First_Instructional_Day1),1,IF(P220+IF(OR(N220="Instructional",N220="Not Scheduled"),1,0)&gt;rotationDays,1,P220+IF(OR(N220="Instructional",N220="Not Scheduled"),1,0))))))</f>
        <v>1</v>
      </c>
      <c r="Q221" t="str">
        <f t="shared" si="31"/>
        <v/>
      </c>
      <c r="R221" t="str">
        <f>IF(ISBLANK(K221),"",IF(N221="Operational (no students)",99,IF(N221="Instructional",IF(rotationDays=1,Q221,P221),_xlfn.XLOOKUP(N221,TimeTable_Codes[Description],TimeTable_Codes[TimetableCode]))))</f>
        <v/>
      </c>
      <c r="S221" t="str">
        <f>IF(NOT(ISBLANK(K221)),VLOOKUP(K221,term_lookups[],2),"")</f>
        <v/>
      </c>
      <c r="T221" cm="1">
        <f t="array" ref="T221">IF(ISBLANK(K221),0,_xlfn.XLOOKUP(R221&amp;S221,Daily_Totals[Day]&amp;Daily_Totals[Term],Daily_Totals[Instruction]))</f>
        <v>0</v>
      </c>
      <c r="U221" cm="1">
        <f t="array" ref="U221">IF(ISBLANK(K221),0,_xlfn.XLOOKUP(R221&amp;S221,Daily_Totals[Day]&amp;Daily_Totals[Term],Daily_Totals[Non-Instruction]))</f>
        <v>0</v>
      </c>
    </row>
    <row r="222" spans="3:21" x14ac:dyDescent="0.3">
      <c r="C222">
        <v>1</v>
      </c>
      <c r="D222" s="37">
        <v>46035</v>
      </c>
      <c r="E222">
        <v>0</v>
      </c>
      <c r="F222">
        <f t="shared" si="30"/>
        <v>0</v>
      </c>
      <c r="K222" s="37"/>
      <c r="L222"/>
      <c r="N222" t="str">
        <f t="shared" si="32"/>
        <v/>
      </c>
      <c r="O222">
        <f t="shared" si="33"/>
        <v>0</v>
      </c>
      <c r="P222">
        <f>IF(IF(ISERROR(MATCH(K222,Rotation_Reset_Dates[Date],0)),0,1)=1,1,IF(ISBLANK(K222),"",IF(OR(rotationDays=1,K222&lt;First_Instructional_Day1),0,IF(AND(rotationDays&gt;1,K222=First_Instructional_Day1),1,IF(P221+IF(OR(N221="Instructional",N221="Not Scheduled"),1,0)&gt;rotationDays,1,P221+IF(OR(N221="Instructional",N221="Not Scheduled"),1,0))))))</f>
        <v>1</v>
      </c>
      <c r="Q222" t="str">
        <f t="shared" si="31"/>
        <v/>
      </c>
      <c r="R222" t="str">
        <f>IF(ISBLANK(K222),"",IF(N222="Operational (no students)",99,IF(N222="Instructional",IF(rotationDays=1,Q222,P222),_xlfn.XLOOKUP(N222,TimeTable_Codes[Description],TimeTable_Codes[TimetableCode]))))</f>
        <v/>
      </c>
      <c r="S222" t="str">
        <f>IF(NOT(ISBLANK(K222)),VLOOKUP(K222,term_lookups[],2),"")</f>
        <v/>
      </c>
      <c r="T222" cm="1">
        <f t="array" ref="T222">IF(ISBLANK(K222),0,_xlfn.XLOOKUP(R222&amp;S222,Daily_Totals[Day]&amp;Daily_Totals[Term],Daily_Totals[Instruction]))</f>
        <v>0</v>
      </c>
      <c r="U222" cm="1">
        <f t="array" ref="U222">IF(ISBLANK(K222),0,_xlfn.XLOOKUP(R222&amp;S222,Daily_Totals[Day]&amp;Daily_Totals[Term],Daily_Totals[Non-Instruction]))</f>
        <v>0</v>
      </c>
    </row>
    <row r="223" spans="3:21" x14ac:dyDescent="0.3">
      <c r="C223">
        <v>1</v>
      </c>
      <c r="D223" s="37">
        <v>46036</v>
      </c>
      <c r="E223">
        <v>0</v>
      </c>
      <c r="F223">
        <f t="shared" si="30"/>
        <v>0</v>
      </c>
      <c r="K223" s="37"/>
      <c r="L223"/>
      <c r="N223" t="str">
        <f t="shared" si="32"/>
        <v/>
      </c>
      <c r="O223">
        <f t="shared" si="33"/>
        <v>0</v>
      </c>
      <c r="P223">
        <f>IF(IF(ISERROR(MATCH(K223,Rotation_Reset_Dates[Date],0)),0,1)=1,1,IF(ISBLANK(K223),"",IF(OR(rotationDays=1,K223&lt;First_Instructional_Day1),0,IF(AND(rotationDays&gt;1,K223=First_Instructional_Day1),1,IF(P222+IF(OR(N222="Instructional",N222="Not Scheduled"),1,0)&gt;rotationDays,1,P222+IF(OR(N222="Instructional",N222="Not Scheduled"),1,0))))))</f>
        <v>1</v>
      </c>
      <c r="Q223" t="str">
        <f t="shared" si="31"/>
        <v/>
      </c>
      <c r="R223" t="str">
        <f>IF(ISBLANK(K223),"",IF(N223="Operational (no students)",99,IF(N223="Instructional",IF(rotationDays=1,Q223,P223),_xlfn.XLOOKUP(N223,TimeTable_Codes[Description],TimeTable_Codes[TimetableCode]))))</f>
        <v/>
      </c>
      <c r="S223" t="str">
        <f>IF(NOT(ISBLANK(K223)),VLOOKUP(K223,term_lookups[],2),"")</f>
        <v/>
      </c>
      <c r="T223" cm="1">
        <f t="array" ref="T223">IF(ISBLANK(K223),0,_xlfn.XLOOKUP(R223&amp;S223,Daily_Totals[Day]&amp;Daily_Totals[Term],Daily_Totals[Instruction]))</f>
        <v>0</v>
      </c>
      <c r="U223" cm="1">
        <f t="array" ref="U223">IF(ISBLANK(K223),0,_xlfn.XLOOKUP(R223&amp;S223,Daily_Totals[Day]&amp;Daily_Totals[Term],Daily_Totals[Non-Instruction]))</f>
        <v>0</v>
      </c>
    </row>
    <row r="224" spans="3:21" x14ac:dyDescent="0.3">
      <c r="C224">
        <v>1</v>
      </c>
      <c r="D224" s="37">
        <v>46037</v>
      </c>
      <c r="E224">
        <v>0</v>
      </c>
      <c r="F224">
        <f t="shared" si="30"/>
        <v>0</v>
      </c>
      <c r="K224" s="37"/>
      <c r="L224"/>
      <c r="N224" t="str">
        <f t="shared" si="32"/>
        <v/>
      </c>
      <c r="O224">
        <f t="shared" si="33"/>
        <v>0</v>
      </c>
      <c r="P224">
        <f>IF(IF(ISERROR(MATCH(K224,Rotation_Reset_Dates[Date],0)),0,1)=1,1,IF(ISBLANK(K224),"",IF(OR(rotationDays=1,K224&lt;First_Instructional_Day1),0,IF(AND(rotationDays&gt;1,K224=First_Instructional_Day1),1,IF(P223+IF(OR(N223="Instructional",N223="Not Scheduled"),1,0)&gt;rotationDays,1,P223+IF(OR(N223="Instructional",N223="Not Scheduled"),1,0))))))</f>
        <v>1</v>
      </c>
      <c r="Q224" t="str">
        <f t="shared" si="31"/>
        <v/>
      </c>
      <c r="R224" t="str">
        <f>IF(ISBLANK(K224),"",IF(N224="Operational (no students)",99,IF(N224="Instructional",IF(rotationDays=1,Q224,P224),_xlfn.XLOOKUP(N224,TimeTable_Codes[Description],TimeTable_Codes[TimetableCode]))))</f>
        <v/>
      </c>
      <c r="S224" t="str">
        <f>IF(NOT(ISBLANK(K224)),VLOOKUP(K224,term_lookups[],2),"")</f>
        <v/>
      </c>
      <c r="T224" cm="1">
        <f t="array" ref="T224">IF(ISBLANK(K224),0,_xlfn.XLOOKUP(R224&amp;S224,Daily_Totals[Day]&amp;Daily_Totals[Term],Daily_Totals[Instruction]))</f>
        <v>0</v>
      </c>
      <c r="U224" cm="1">
        <f t="array" ref="U224">IF(ISBLANK(K224),0,_xlfn.XLOOKUP(R224&amp;S224,Daily_Totals[Day]&amp;Daily_Totals[Term],Daily_Totals[Non-Instruction]))</f>
        <v>0</v>
      </c>
    </row>
    <row r="225" spans="3:21" x14ac:dyDescent="0.3">
      <c r="C225">
        <v>1</v>
      </c>
      <c r="D225" s="37">
        <v>46038</v>
      </c>
      <c r="E225">
        <v>0</v>
      </c>
      <c r="F225">
        <f t="shared" si="30"/>
        <v>0</v>
      </c>
      <c r="K225" s="37"/>
      <c r="L225"/>
      <c r="N225" t="str">
        <f t="shared" si="32"/>
        <v/>
      </c>
      <c r="O225">
        <f t="shared" si="33"/>
        <v>0</v>
      </c>
      <c r="P225">
        <f>IF(IF(ISERROR(MATCH(K225,Rotation_Reset_Dates[Date],0)),0,1)=1,1,IF(ISBLANK(K225),"",IF(OR(rotationDays=1,K225&lt;First_Instructional_Day1),0,IF(AND(rotationDays&gt;1,K225=First_Instructional_Day1),1,IF(P224+IF(OR(N224="Instructional",N224="Not Scheduled"),1,0)&gt;rotationDays,1,P224+IF(OR(N224="Instructional",N224="Not Scheduled"),1,0))))))</f>
        <v>1</v>
      </c>
      <c r="Q225" t="str">
        <f t="shared" si="31"/>
        <v/>
      </c>
      <c r="R225" t="str">
        <f>IF(ISBLANK(K225),"",IF(N225="Operational (no students)",99,IF(N225="Instructional",IF(rotationDays=1,Q225,P225),_xlfn.XLOOKUP(N225,TimeTable_Codes[Description],TimeTable_Codes[TimetableCode]))))</f>
        <v/>
      </c>
      <c r="S225" t="str">
        <f>IF(NOT(ISBLANK(K225)),VLOOKUP(K225,term_lookups[],2),"")</f>
        <v/>
      </c>
      <c r="T225" cm="1">
        <f t="array" ref="T225">IF(ISBLANK(K225),0,_xlfn.XLOOKUP(R225&amp;S225,Daily_Totals[Day]&amp;Daily_Totals[Term],Daily_Totals[Instruction]))</f>
        <v>0</v>
      </c>
      <c r="U225" cm="1">
        <f t="array" ref="U225">IF(ISBLANK(K225),0,_xlfn.XLOOKUP(R225&amp;S225,Daily_Totals[Day]&amp;Daily_Totals[Term],Daily_Totals[Non-Instruction]))</f>
        <v>0</v>
      </c>
    </row>
    <row r="226" spans="3:21" x14ac:dyDescent="0.3">
      <c r="C226">
        <v>1</v>
      </c>
      <c r="D226" s="37">
        <v>46039</v>
      </c>
      <c r="E226">
        <v>0</v>
      </c>
      <c r="F226">
        <f t="shared" si="30"/>
        <v>0</v>
      </c>
      <c r="K226" s="37"/>
      <c r="L226"/>
      <c r="N226" t="str">
        <f t="shared" si="32"/>
        <v/>
      </c>
      <c r="O226">
        <f t="shared" si="33"/>
        <v>0</v>
      </c>
      <c r="P226">
        <f>IF(IF(ISERROR(MATCH(K226,Rotation_Reset_Dates[Date],0)),0,1)=1,1,IF(ISBLANK(K226),"",IF(OR(rotationDays=1,K226&lt;First_Instructional_Day1),0,IF(AND(rotationDays&gt;1,K226=First_Instructional_Day1),1,IF(P225+IF(OR(N225="Instructional",N225="Not Scheduled"),1,0)&gt;rotationDays,1,P225+IF(OR(N225="Instructional",N225="Not Scheduled"),1,0))))))</f>
        <v>1</v>
      </c>
      <c r="Q226" t="str">
        <f t="shared" si="31"/>
        <v/>
      </c>
      <c r="R226" t="str">
        <f>IF(ISBLANK(K226),"",IF(N226="Operational (no students)",99,IF(N226="Instructional",IF(rotationDays=1,Q226,P226),_xlfn.XLOOKUP(N226,TimeTable_Codes[Description],TimeTable_Codes[TimetableCode]))))</f>
        <v/>
      </c>
      <c r="S226" t="str">
        <f>IF(NOT(ISBLANK(K226)),VLOOKUP(K226,term_lookups[],2),"")</f>
        <v/>
      </c>
      <c r="T226" cm="1">
        <f t="array" ref="T226">IF(ISBLANK(K226),0,_xlfn.XLOOKUP(R226&amp;S226,Daily_Totals[Day]&amp;Daily_Totals[Term],Daily_Totals[Instruction]))</f>
        <v>0</v>
      </c>
      <c r="U226" cm="1">
        <f t="array" ref="U226">IF(ISBLANK(K226),0,_xlfn.XLOOKUP(R226&amp;S226,Daily_Totals[Day]&amp;Daily_Totals[Term],Daily_Totals[Non-Instruction]))</f>
        <v>0</v>
      </c>
    </row>
    <row r="227" spans="3:21" x14ac:dyDescent="0.3">
      <c r="C227">
        <v>1</v>
      </c>
      <c r="D227" s="37" cm="1">
        <f t="array" ref="D227:D233">TRANSPOSE(Calendar!B99:H99)</f>
        <v>46040</v>
      </c>
      <c r="E227" cm="1">
        <f t="array" ref="E227:E233">TRANSPOSE(Calendar!B100:H100)</f>
        <v>0</v>
      </c>
      <c r="F227">
        <f t="shared" si="30"/>
        <v>0</v>
      </c>
      <c r="K227" s="37"/>
      <c r="L227"/>
    </row>
    <row r="228" spans="3:21" x14ac:dyDescent="0.3">
      <c r="C228">
        <v>1</v>
      </c>
      <c r="D228" s="37">
        <v>46041</v>
      </c>
      <c r="E228">
        <v>0</v>
      </c>
      <c r="F228">
        <f t="shared" si="30"/>
        <v>0</v>
      </c>
      <c r="K228" s="37"/>
      <c r="L228"/>
    </row>
    <row r="229" spans="3:21" x14ac:dyDescent="0.3">
      <c r="C229">
        <v>1</v>
      </c>
      <c r="D229" s="37">
        <v>46042</v>
      </c>
      <c r="E229">
        <v>0</v>
      </c>
      <c r="F229">
        <f t="shared" si="30"/>
        <v>0</v>
      </c>
      <c r="K229" s="37"/>
      <c r="L229"/>
    </row>
    <row r="230" spans="3:21" x14ac:dyDescent="0.3">
      <c r="C230">
        <v>1</v>
      </c>
      <c r="D230" s="37">
        <v>46043</v>
      </c>
      <c r="E230">
        <v>0</v>
      </c>
      <c r="F230">
        <f t="shared" si="30"/>
        <v>0</v>
      </c>
      <c r="K230" s="37"/>
      <c r="L230"/>
    </row>
    <row r="231" spans="3:21" x14ac:dyDescent="0.3">
      <c r="C231">
        <v>1</v>
      </c>
      <c r="D231" s="37">
        <v>46044</v>
      </c>
      <c r="E231">
        <v>0</v>
      </c>
      <c r="F231">
        <f t="shared" si="30"/>
        <v>0</v>
      </c>
      <c r="K231" s="37"/>
      <c r="L231"/>
    </row>
    <row r="232" spans="3:21" x14ac:dyDescent="0.3">
      <c r="C232">
        <v>1</v>
      </c>
      <c r="D232" s="37">
        <v>46045</v>
      </c>
      <c r="E232">
        <v>0</v>
      </c>
      <c r="F232">
        <f t="shared" si="30"/>
        <v>0</v>
      </c>
      <c r="K232" s="37"/>
      <c r="L232"/>
    </row>
    <row r="233" spans="3:21" x14ac:dyDescent="0.3">
      <c r="C233">
        <v>1</v>
      </c>
      <c r="D233" s="37">
        <v>46046</v>
      </c>
      <c r="E233">
        <v>0</v>
      </c>
      <c r="F233">
        <f t="shared" si="30"/>
        <v>0</v>
      </c>
      <c r="K233" s="37"/>
      <c r="L233"/>
    </row>
    <row r="234" spans="3:21" x14ac:dyDescent="0.3">
      <c r="C234">
        <v>1</v>
      </c>
      <c r="D234" s="37" cm="1">
        <f t="array" ref="D234:D240">TRANSPOSE(Calendar!B101:H101)</f>
        <v>46047</v>
      </c>
      <c r="E234" cm="1">
        <f t="array" ref="E234:E240">TRANSPOSE(Calendar!B102:H102)</f>
        <v>0</v>
      </c>
      <c r="F234">
        <f t="shared" si="30"/>
        <v>0</v>
      </c>
      <c r="K234" s="37"/>
      <c r="L234"/>
    </row>
    <row r="235" spans="3:21" x14ac:dyDescent="0.3">
      <c r="C235">
        <v>1</v>
      </c>
      <c r="D235" s="37">
        <v>46048</v>
      </c>
      <c r="E235">
        <v>0</v>
      </c>
      <c r="F235">
        <f t="shared" si="30"/>
        <v>0</v>
      </c>
      <c r="K235" s="37"/>
      <c r="L235"/>
    </row>
    <row r="236" spans="3:21" x14ac:dyDescent="0.3">
      <c r="C236">
        <v>1</v>
      </c>
      <c r="D236" s="37">
        <v>46049</v>
      </c>
      <c r="E236" s="117">
        <v>0</v>
      </c>
      <c r="F236">
        <f t="shared" si="30"/>
        <v>0</v>
      </c>
      <c r="K236" s="37"/>
      <c r="L236"/>
    </row>
    <row r="237" spans="3:21" x14ac:dyDescent="0.3">
      <c r="C237">
        <v>1</v>
      </c>
      <c r="D237" s="37">
        <v>46050</v>
      </c>
      <c r="E237">
        <v>0</v>
      </c>
      <c r="F237">
        <f t="shared" si="30"/>
        <v>0</v>
      </c>
      <c r="K237" s="37"/>
      <c r="L237"/>
    </row>
    <row r="238" spans="3:21" x14ac:dyDescent="0.3">
      <c r="C238">
        <v>1</v>
      </c>
      <c r="D238" s="37">
        <v>46051</v>
      </c>
      <c r="E238">
        <v>0</v>
      </c>
      <c r="F238">
        <f t="shared" si="30"/>
        <v>0</v>
      </c>
      <c r="K238" s="37"/>
      <c r="L238"/>
    </row>
    <row r="239" spans="3:21" x14ac:dyDescent="0.3">
      <c r="C239">
        <v>1</v>
      </c>
      <c r="D239" s="37">
        <v>46052</v>
      </c>
      <c r="E239">
        <v>0</v>
      </c>
      <c r="F239">
        <f t="shared" si="30"/>
        <v>0</v>
      </c>
      <c r="K239" s="37"/>
      <c r="L239"/>
    </row>
    <row r="240" spans="3:21" x14ac:dyDescent="0.3">
      <c r="C240">
        <v>1</v>
      </c>
      <c r="D240" s="37">
        <v>46053</v>
      </c>
      <c r="E240">
        <v>0</v>
      </c>
      <c r="F240">
        <f t="shared" si="30"/>
        <v>0</v>
      </c>
      <c r="K240" s="37"/>
      <c r="L240"/>
    </row>
    <row r="241" spans="3:12" x14ac:dyDescent="0.3">
      <c r="C241">
        <v>1</v>
      </c>
      <c r="D241" s="37" cm="1">
        <f t="array" ref="D241:D242">TRANSPOSE(Calendar!B103:C103)</f>
        <v>46054</v>
      </c>
      <c r="E241" cm="1">
        <f t="array" ref="E241">TRANSPOSE(Calendar!B104:B104)</f>
        <v>0</v>
      </c>
      <c r="F241">
        <f t="shared" si="30"/>
        <v>0</v>
      </c>
      <c r="K241" s="37"/>
      <c r="L241"/>
    </row>
    <row r="242" spans="3:12" x14ac:dyDescent="0.3">
      <c r="C242">
        <v>1</v>
      </c>
      <c r="D242" s="37">
        <v>46055</v>
      </c>
      <c r="E242"/>
      <c r="F242">
        <f t="shared" si="30"/>
        <v>0</v>
      </c>
      <c r="K242" s="37"/>
      <c r="L242"/>
    </row>
    <row r="243" spans="3:12" x14ac:dyDescent="0.3">
      <c r="C243">
        <v>2</v>
      </c>
      <c r="D243" s="37" cm="1">
        <f t="array" ref="D243:D249">TRANSPOSE(Calendar!B109:H109)</f>
        <v>46054</v>
      </c>
      <c r="E243" cm="1">
        <f t="array" ref="E243:E249">TRANSPOSE(Calendar!B110:H110)</f>
        <v>0</v>
      </c>
      <c r="F243">
        <f t="shared" si="30"/>
        <v>0</v>
      </c>
      <c r="K243" s="37"/>
      <c r="L243"/>
    </row>
    <row r="244" spans="3:12" x14ac:dyDescent="0.3">
      <c r="C244">
        <v>2</v>
      </c>
      <c r="D244" s="37">
        <v>46055</v>
      </c>
      <c r="E244">
        <v>0</v>
      </c>
      <c r="F244">
        <f t="shared" si="30"/>
        <v>0</v>
      </c>
      <c r="K244" s="37"/>
      <c r="L244"/>
    </row>
    <row r="245" spans="3:12" x14ac:dyDescent="0.3">
      <c r="C245">
        <v>2</v>
      </c>
      <c r="D245" s="37">
        <v>46056</v>
      </c>
      <c r="E245">
        <v>0</v>
      </c>
      <c r="F245">
        <f t="shared" si="30"/>
        <v>0</v>
      </c>
      <c r="K245" s="37"/>
      <c r="L245"/>
    </row>
    <row r="246" spans="3:12" x14ac:dyDescent="0.3">
      <c r="C246">
        <v>2</v>
      </c>
      <c r="D246" s="37">
        <v>46057</v>
      </c>
      <c r="E246">
        <v>0</v>
      </c>
      <c r="F246">
        <f t="shared" si="30"/>
        <v>0</v>
      </c>
      <c r="K246" s="37"/>
      <c r="L246"/>
    </row>
    <row r="247" spans="3:12" x14ac:dyDescent="0.3">
      <c r="C247">
        <v>2</v>
      </c>
      <c r="D247" s="37">
        <v>46058</v>
      </c>
      <c r="E247">
        <v>0</v>
      </c>
      <c r="F247">
        <f t="shared" si="30"/>
        <v>0</v>
      </c>
      <c r="K247" s="37"/>
      <c r="L247"/>
    </row>
    <row r="248" spans="3:12" x14ac:dyDescent="0.3">
      <c r="C248">
        <v>2</v>
      </c>
      <c r="D248" s="37">
        <v>46059</v>
      </c>
      <c r="E248">
        <v>0</v>
      </c>
      <c r="F248">
        <f t="shared" si="30"/>
        <v>0</v>
      </c>
      <c r="K248" s="37"/>
      <c r="L248"/>
    </row>
    <row r="249" spans="3:12" x14ac:dyDescent="0.3">
      <c r="C249">
        <v>2</v>
      </c>
      <c r="D249" s="37">
        <v>46060</v>
      </c>
      <c r="E249">
        <v>0</v>
      </c>
      <c r="F249">
        <f t="shared" si="30"/>
        <v>0</v>
      </c>
      <c r="K249" s="37"/>
      <c r="L249"/>
    </row>
    <row r="250" spans="3:12" x14ac:dyDescent="0.3">
      <c r="C250">
        <v>2</v>
      </c>
      <c r="D250" s="37" cm="1">
        <f t="array" ref="D250:D256">TRANSPOSE(Calendar!B111:H111)</f>
        <v>46061</v>
      </c>
      <c r="E250" cm="1">
        <f t="array" ref="E250:E256">TRANSPOSE(Calendar!B112:H112)</f>
        <v>0</v>
      </c>
      <c r="F250">
        <f t="shared" si="30"/>
        <v>0</v>
      </c>
      <c r="K250" s="37"/>
      <c r="L250"/>
    </row>
    <row r="251" spans="3:12" x14ac:dyDescent="0.3">
      <c r="C251">
        <v>2</v>
      </c>
      <c r="D251" s="37">
        <v>46062</v>
      </c>
      <c r="E251">
        <v>0</v>
      </c>
      <c r="F251">
        <f t="shared" si="30"/>
        <v>0</v>
      </c>
      <c r="K251" s="37"/>
      <c r="L251"/>
    </row>
    <row r="252" spans="3:12" x14ac:dyDescent="0.3">
      <c r="C252">
        <v>2</v>
      </c>
      <c r="D252" s="37">
        <v>46063</v>
      </c>
      <c r="E252">
        <v>0</v>
      </c>
      <c r="F252">
        <f t="shared" si="30"/>
        <v>0</v>
      </c>
      <c r="K252" s="37"/>
      <c r="L252"/>
    </row>
    <row r="253" spans="3:12" x14ac:dyDescent="0.3">
      <c r="C253">
        <v>2</v>
      </c>
      <c r="D253" s="37">
        <v>46064</v>
      </c>
      <c r="E253">
        <v>0</v>
      </c>
      <c r="F253">
        <f t="shared" si="30"/>
        <v>0</v>
      </c>
      <c r="K253" s="37"/>
      <c r="L253"/>
    </row>
    <row r="254" spans="3:12" x14ac:dyDescent="0.3">
      <c r="C254">
        <v>2</v>
      </c>
      <c r="D254" s="37">
        <v>46065</v>
      </c>
      <c r="E254">
        <v>0</v>
      </c>
      <c r="F254">
        <f t="shared" si="30"/>
        <v>0</v>
      </c>
      <c r="K254" s="37"/>
      <c r="L254"/>
    </row>
    <row r="255" spans="3:12" x14ac:dyDescent="0.3">
      <c r="C255">
        <v>2</v>
      </c>
      <c r="D255" s="37">
        <v>46066</v>
      </c>
      <c r="E255">
        <v>0</v>
      </c>
      <c r="F255">
        <f t="shared" si="30"/>
        <v>0</v>
      </c>
      <c r="K255" s="37"/>
      <c r="L255"/>
    </row>
    <row r="256" spans="3:12" x14ac:dyDescent="0.3">
      <c r="C256">
        <v>2</v>
      </c>
      <c r="D256" s="37">
        <v>46067</v>
      </c>
      <c r="E256">
        <v>0</v>
      </c>
      <c r="F256">
        <f t="shared" si="30"/>
        <v>0</v>
      </c>
      <c r="K256" s="37"/>
      <c r="L256"/>
    </row>
    <row r="257" spans="3:12" x14ac:dyDescent="0.3">
      <c r="C257">
        <v>2</v>
      </c>
      <c r="D257" s="37" cm="1">
        <f t="array" ref="D257:D263">TRANSPOSE(Calendar!B113:H113)</f>
        <v>46068</v>
      </c>
      <c r="E257" cm="1">
        <f t="array" ref="E257:E263">TRANSPOSE(Calendar!B114:H114)</f>
        <v>0</v>
      </c>
      <c r="F257">
        <f t="shared" si="30"/>
        <v>0</v>
      </c>
      <c r="K257" s="37"/>
      <c r="L257"/>
    </row>
    <row r="258" spans="3:12" x14ac:dyDescent="0.3">
      <c r="C258">
        <v>2</v>
      </c>
      <c r="D258" s="37">
        <v>46069</v>
      </c>
      <c r="E258" t="str">
        <v>Closed (non-operational)</v>
      </c>
      <c r="F258">
        <f t="shared" si="30"/>
        <v>0</v>
      </c>
      <c r="K258" s="37"/>
      <c r="L258"/>
    </row>
    <row r="259" spans="3:12" x14ac:dyDescent="0.3">
      <c r="C259">
        <v>2</v>
      </c>
      <c r="D259" s="37">
        <v>46070</v>
      </c>
      <c r="E259">
        <v>0</v>
      </c>
      <c r="F259">
        <f t="shared" si="30"/>
        <v>0</v>
      </c>
      <c r="K259" s="37"/>
      <c r="L259"/>
    </row>
    <row r="260" spans="3:12" x14ac:dyDescent="0.3">
      <c r="C260">
        <v>2</v>
      </c>
      <c r="D260" s="37">
        <v>46071</v>
      </c>
      <c r="E260">
        <v>0</v>
      </c>
      <c r="F260">
        <f t="shared" si="30"/>
        <v>0</v>
      </c>
      <c r="K260" s="37"/>
      <c r="L260"/>
    </row>
    <row r="261" spans="3:12" x14ac:dyDescent="0.3">
      <c r="C261">
        <v>2</v>
      </c>
      <c r="D261" s="37">
        <v>46072</v>
      </c>
      <c r="E261">
        <v>0</v>
      </c>
      <c r="F261">
        <f t="shared" si="30"/>
        <v>0</v>
      </c>
      <c r="K261" s="37"/>
      <c r="L261"/>
    </row>
    <row r="262" spans="3:12" x14ac:dyDescent="0.3">
      <c r="C262">
        <v>2</v>
      </c>
      <c r="D262" s="37">
        <v>46073</v>
      </c>
      <c r="E262">
        <v>0</v>
      </c>
      <c r="F262">
        <f t="shared" si="30"/>
        <v>0</v>
      </c>
      <c r="K262" s="37"/>
      <c r="L262"/>
    </row>
    <row r="263" spans="3:12" x14ac:dyDescent="0.3">
      <c r="C263">
        <v>2</v>
      </c>
      <c r="D263" s="37">
        <v>46074</v>
      </c>
      <c r="E263">
        <v>0</v>
      </c>
      <c r="F263">
        <f t="shared" si="30"/>
        <v>0</v>
      </c>
      <c r="K263" s="37"/>
      <c r="L263"/>
    </row>
    <row r="264" spans="3:12" x14ac:dyDescent="0.3">
      <c r="C264">
        <v>2</v>
      </c>
      <c r="D264" s="37" cm="1">
        <f t="array" ref="D264:D270">TRANSPOSE(Calendar!B115:H115)</f>
        <v>46075</v>
      </c>
      <c r="E264" cm="1">
        <f t="array" ref="E264:E270">TRANSPOSE(Calendar!B116:H116)</f>
        <v>0</v>
      </c>
      <c r="F264">
        <f t="shared" si="30"/>
        <v>0</v>
      </c>
      <c r="K264" s="37"/>
      <c r="L264"/>
    </row>
    <row r="265" spans="3:12" x14ac:dyDescent="0.3">
      <c r="C265">
        <v>2</v>
      </c>
      <c r="D265" s="37">
        <v>46076</v>
      </c>
      <c r="E265">
        <v>0</v>
      </c>
      <c r="F265">
        <f t="shared" si="30"/>
        <v>0</v>
      </c>
      <c r="K265" s="37"/>
      <c r="L265"/>
    </row>
    <row r="266" spans="3:12" x14ac:dyDescent="0.3">
      <c r="C266">
        <v>2</v>
      </c>
      <c r="D266" s="37">
        <v>46077</v>
      </c>
      <c r="E266">
        <v>0</v>
      </c>
      <c r="F266">
        <f t="shared" si="30"/>
        <v>0</v>
      </c>
      <c r="K266" s="37"/>
      <c r="L266"/>
    </row>
    <row r="267" spans="3:12" x14ac:dyDescent="0.3">
      <c r="C267">
        <v>2</v>
      </c>
      <c r="D267" s="37">
        <v>46078</v>
      </c>
      <c r="E267">
        <v>0</v>
      </c>
      <c r="F267">
        <f t="shared" si="30"/>
        <v>0</v>
      </c>
      <c r="K267" s="37"/>
      <c r="L267"/>
    </row>
    <row r="268" spans="3:12" x14ac:dyDescent="0.3">
      <c r="C268">
        <v>2</v>
      </c>
      <c r="D268" s="37">
        <v>46079</v>
      </c>
      <c r="E268">
        <v>0</v>
      </c>
      <c r="F268">
        <f t="shared" si="30"/>
        <v>0</v>
      </c>
      <c r="K268" s="37"/>
      <c r="L268"/>
    </row>
    <row r="269" spans="3:12" x14ac:dyDescent="0.3">
      <c r="C269">
        <v>2</v>
      </c>
      <c r="D269" s="37">
        <v>46080</v>
      </c>
      <c r="E269">
        <v>0</v>
      </c>
      <c r="F269">
        <f t="shared" si="30"/>
        <v>0</v>
      </c>
      <c r="K269" s="37"/>
      <c r="L269"/>
    </row>
    <row r="270" spans="3:12" x14ac:dyDescent="0.3">
      <c r="C270">
        <v>2</v>
      </c>
      <c r="D270" s="37">
        <v>46081</v>
      </c>
      <c r="E270">
        <v>0</v>
      </c>
      <c r="F270">
        <f t="shared" si="30"/>
        <v>0</v>
      </c>
      <c r="K270" s="37"/>
      <c r="L270"/>
    </row>
    <row r="271" spans="3:12" x14ac:dyDescent="0.3">
      <c r="C271">
        <v>2</v>
      </c>
      <c r="D271" s="37" cm="1">
        <f t="array" ref="D271:D277">TRANSPOSE(Calendar!B117:H117)</f>
        <v>46082</v>
      </c>
      <c r="E271" cm="1">
        <f t="array" ref="E271:E277">TRANSPOSE(Calendar!B118:H118)</f>
        <v>0</v>
      </c>
      <c r="F271">
        <f t="shared" si="30"/>
        <v>0</v>
      </c>
      <c r="K271" s="37"/>
      <c r="L271"/>
    </row>
    <row r="272" spans="3:12" x14ac:dyDescent="0.3">
      <c r="C272">
        <v>2</v>
      </c>
      <c r="D272" s="37">
        <v>46083</v>
      </c>
      <c r="E272">
        <v>0</v>
      </c>
      <c r="F272">
        <f t="shared" si="30"/>
        <v>0</v>
      </c>
      <c r="K272" s="37"/>
      <c r="L272"/>
    </row>
    <row r="273" spans="3:12" x14ac:dyDescent="0.3">
      <c r="C273">
        <v>2</v>
      </c>
      <c r="D273" s="37">
        <v>46084</v>
      </c>
      <c r="E273">
        <v>0</v>
      </c>
      <c r="F273">
        <f t="shared" si="30"/>
        <v>0</v>
      </c>
      <c r="K273" s="37"/>
      <c r="L273"/>
    </row>
    <row r="274" spans="3:12" x14ac:dyDescent="0.3">
      <c r="C274">
        <v>2</v>
      </c>
      <c r="D274" s="37">
        <v>46085</v>
      </c>
      <c r="E274">
        <v>0</v>
      </c>
      <c r="F274">
        <f t="shared" si="30"/>
        <v>0</v>
      </c>
      <c r="K274" s="37"/>
      <c r="L274"/>
    </row>
    <row r="275" spans="3:12" x14ac:dyDescent="0.3">
      <c r="C275">
        <v>2</v>
      </c>
      <c r="D275" s="37">
        <v>46086</v>
      </c>
      <c r="E275">
        <v>0</v>
      </c>
      <c r="F275">
        <f t="shared" si="30"/>
        <v>0</v>
      </c>
      <c r="K275" s="37"/>
      <c r="L275"/>
    </row>
    <row r="276" spans="3:12" x14ac:dyDescent="0.3">
      <c r="C276">
        <v>2</v>
      </c>
      <c r="D276" s="37">
        <v>46087</v>
      </c>
      <c r="E276">
        <v>0</v>
      </c>
      <c r="F276">
        <f t="shared" si="30"/>
        <v>0</v>
      </c>
      <c r="K276" s="37"/>
      <c r="L276"/>
    </row>
    <row r="277" spans="3:12" x14ac:dyDescent="0.3">
      <c r="C277">
        <v>2</v>
      </c>
      <c r="D277" s="37">
        <v>46088</v>
      </c>
      <c r="E277">
        <v>0</v>
      </c>
      <c r="F277">
        <f t="shared" ref="F277:F340" si="34">IF(AND(MONTH(D277)=C277,D277&gt;=First_Operational_Day,D277&lt;=Last_Operational_Day,WEEKDAY(D277)&lt;&gt;1,WEEKDAY(D277)&lt;&gt;7,E277&lt;&gt;"Closed (non-operational)"),1,0)</f>
        <v>0</v>
      </c>
      <c r="K277" s="37"/>
      <c r="L277"/>
    </row>
    <row r="278" spans="3:12" x14ac:dyDescent="0.3">
      <c r="C278">
        <v>2</v>
      </c>
      <c r="D278" s="37" cm="1">
        <f t="array" ref="D278:D279">TRANSPOSE(Calendar!B119:C119)</f>
        <v>46089</v>
      </c>
      <c r="E278" cm="1">
        <f t="array" ref="E278">TRANSPOSE(Calendar!B120:B120)</f>
        <v>0</v>
      </c>
      <c r="F278">
        <f t="shared" si="34"/>
        <v>0</v>
      </c>
      <c r="K278" s="37"/>
      <c r="L278"/>
    </row>
    <row r="279" spans="3:12" x14ac:dyDescent="0.3">
      <c r="C279">
        <v>2</v>
      </c>
      <c r="D279" s="37">
        <v>46090</v>
      </c>
      <c r="E279"/>
      <c r="F279">
        <f t="shared" si="34"/>
        <v>0</v>
      </c>
      <c r="K279" s="37"/>
      <c r="L279"/>
    </row>
    <row r="280" spans="3:12" x14ac:dyDescent="0.3">
      <c r="C280">
        <v>3</v>
      </c>
      <c r="D280" s="37" cm="1">
        <f t="array" ref="D280:D286">TRANSPOSE(Calendar!B125:H125)</f>
        <v>46082</v>
      </c>
      <c r="E280" cm="1">
        <f t="array" ref="E280:E286">TRANSPOSE(Calendar!B126:H126)</f>
        <v>0</v>
      </c>
      <c r="F280">
        <f t="shared" si="34"/>
        <v>0</v>
      </c>
      <c r="K280" s="37"/>
      <c r="L280"/>
    </row>
    <row r="281" spans="3:12" x14ac:dyDescent="0.3">
      <c r="C281">
        <v>3</v>
      </c>
      <c r="D281" s="37">
        <v>46083</v>
      </c>
      <c r="E281">
        <v>0</v>
      </c>
      <c r="F281">
        <f t="shared" si="34"/>
        <v>0</v>
      </c>
      <c r="K281" s="37"/>
      <c r="L281"/>
    </row>
    <row r="282" spans="3:12" x14ac:dyDescent="0.3">
      <c r="C282">
        <v>3</v>
      </c>
      <c r="D282" s="37">
        <v>46084</v>
      </c>
      <c r="E282">
        <v>0</v>
      </c>
      <c r="F282">
        <f t="shared" si="34"/>
        <v>0</v>
      </c>
      <c r="K282" s="37"/>
      <c r="L282"/>
    </row>
    <row r="283" spans="3:12" x14ac:dyDescent="0.3">
      <c r="C283">
        <v>3</v>
      </c>
      <c r="D283" s="37">
        <v>46085</v>
      </c>
      <c r="E283">
        <v>0</v>
      </c>
      <c r="F283">
        <f t="shared" si="34"/>
        <v>0</v>
      </c>
      <c r="K283" s="37"/>
      <c r="L283"/>
    </row>
    <row r="284" spans="3:12" x14ac:dyDescent="0.3">
      <c r="C284">
        <v>3</v>
      </c>
      <c r="D284" s="37">
        <v>46086</v>
      </c>
      <c r="E284">
        <v>0</v>
      </c>
      <c r="F284">
        <f t="shared" si="34"/>
        <v>0</v>
      </c>
      <c r="K284" s="37"/>
      <c r="L284"/>
    </row>
    <row r="285" spans="3:12" x14ac:dyDescent="0.3">
      <c r="C285">
        <v>3</v>
      </c>
      <c r="D285" s="37">
        <v>46087</v>
      </c>
      <c r="E285">
        <v>0</v>
      </c>
      <c r="F285">
        <f t="shared" si="34"/>
        <v>0</v>
      </c>
      <c r="K285" s="37"/>
      <c r="L285"/>
    </row>
    <row r="286" spans="3:12" x14ac:dyDescent="0.3">
      <c r="C286">
        <v>3</v>
      </c>
      <c r="D286" s="37">
        <v>46088</v>
      </c>
      <c r="E286">
        <v>0</v>
      </c>
      <c r="F286">
        <f t="shared" si="34"/>
        <v>0</v>
      </c>
      <c r="K286" s="37"/>
      <c r="L286"/>
    </row>
    <row r="287" spans="3:12" x14ac:dyDescent="0.3">
      <c r="C287">
        <v>3</v>
      </c>
      <c r="D287" s="37" cm="1">
        <f t="array" ref="D287:D293">TRANSPOSE(Calendar!B127:H127)</f>
        <v>46089</v>
      </c>
      <c r="E287" cm="1">
        <f t="array" ref="E287:E293">TRANSPOSE(Calendar!B128:H128)</f>
        <v>0</v>
      </c>
      <c r="F287">
        <f t="shared" si="34"/>
        <v>0</v>
      </c>
      <c r="K287" s="37"/>
      <c r="L287"/>
    </row>
    <row r="288" spans="3:12" x14ac:dyDescent="0.3">
      <c r="C288">
        <v>3</v>
      </c>
      <c r="D288" s="37">
        <v>46090</v>
      </c>
      <c r="E288">
        <v>0</v>
      </c>
      <c r="F288">
        <f t="shared" si="34"/>
        <v>0</v>
      </c>
      <c r="K288" s="37"/>
      <c r="L288"/>
    </row>
    <row r="289" spans="3:12" x14ac:dyDescent="0.3">
      <c r="C289">
        <v>3</v>
      </c>
      <c r="D289" s="37">
        <v>46091</v>
      </c>
      <c r="E289">
        <v>0</v>
      </c>
      <c r="F289">
        <f t="shared" si="34"/>
        <v>0</v>
      </c>
      <c r="K289" s="37"/>
      <c r="L289"/>
    </row>
    <row r="290" spans="3:12" x14ac:dyDescent="0.3">
      <c r="C290">
        <v>3</v>
      </c>
      <c r="D290" s="37">
        <v>46092</v>
      </c>
      <c r="E290">
        <v>0</v>
      </c>
      <c r="F290">
        <f t="shared" si="34"/>
        <v>0</v>
      </c>
      <c r="K290" s="37"/>
      <c r="L290"/>
    </row>
    <row r="291" spans="3:12" x14ac:dyDescent="0.3">
      <c r="C291">
        <v>3</v>
      </c>
      <c r="D291" s="37">
        <v>46093</v>
      </c>
      <c r="E291">
        <v>0</v>
      </c>
      <c r="F291">
        <f t="shared" si="34"/>
        <v>0</v>
      </c>
      <c r="K291" s="37"/>
      <c r="L291"/>
    </row>
    <row r="292" spans="3:12" x14ac:dyDescent="0.3">
      <c r="C292">
        <v>3</v>
      </c>
      <c r="D292" s="37">
        <v>46094</v>
      </c>
      <c r="E292">
        <v>0</v>
      </c>
      <c r="F292">
        <f t="shared" si="34"/>
        <v>0</v>
      </c>
      <c r="K292" s="37"/>
      <c r="L292"/>
    </row>
    <row r="293" spans="3:12" x14ac:dyDescent="0.3">
      <c r="C293">
        <v>3</v>
      </c>
      <c r="D293" s="37">
        <v>46095</v>
      </c>
      <c r="E293">
        <v>0</v>
      </c>
      <c r="F293">
        <f t="shared" si="34"/>
        <v>0</v>
      </c>
      <c r="K293" s="37"/>
      <c r="L293"/>
    </row>
    <row r="294" spans="3:12" x14ac:dyDescent="0.3">
      <c r="C294">
        <v>3</v>
      </c>
      <c r="D294" s="37" cm="1">
        <f t="array" ref="D294:D300">TRANSPOSE(Calendar!B129:H129)</f>
        <v>46096</v>
      </c>
      <c r="E294" cm="1">
        <f t="array" ref="E294:E300">TRANSPOSE(Calendar!B130:H130)</f>
        <v>0</v>
      </c>
      <c r="F294">
        <f t="shared" si="34"/>
        <v>0</v>
      </c>
      <c r="K294" s="37"/>
      <c r="L294"/>
    </row>
    <row r="295" spans="3:12" x14ac:dyDescent="0.3">
      <c r="C295">
        <v>3</v>
      </c>
      <c r="D295" s="37">
        <v>46097</v>
      </c>
      <c r="E295">
        <v>0</v>
      </c>
      <c r="F295">
        <f t="shared" si="34"/>
        <v>0</v>
      </c>
      <c r="K295" s="37"/>
      <c r="L295"/>
    </row>
    <row r="296" spans="3:12" x14ac:dyDescent="0.3">
      <c r="C296">
        <v>3</v>
      </c>
      <c r="D296" s="37">
        <v>46098</v>
      </c>
      <c r="E296">
        <v>0</v>
      </c>
      <c r="F296">
        <f t="shared" si="34"/>
        <v>0</v>
      </c>
      <c r="K296" s="37"/>
      <c r="L296"/>
    </row>
    <row r="297" spans="3:12" x14ac:dyDescent="0.3">
      <c r="C297">
        <v>3</v>
      </c>
      <c r="D297" s="37">
        <v>46099</v>
      </c>
      <c r="E297">
        <v>0</v>
      </c>
      <c r="F297">
        <f t="shared" si="34"/>
        <v>0</v>
      </c>
      <c r="K297" s="37"/>
      <c r="L297"/>
    </row>
    <row r="298" spans="3:12" x14ac:dyDescent="0.3">
      <c r="C298">
        <v>3</v>
      </c>
      <c r="D298" s="37">
        <v>46100</v>
      </c>
      <c r="E298">
        <v>0</v>
      </c>
      <c r="F298">
        <f t="shared" si="34"/>
        <v>0</v>
      </c>
      <c r="K298" s="37"/>
      <c r="L298"/>
    </row>
    <row r="299" spans="3:12" x14ac:dyDescent="0.3">
      <c r="C299">
        <v>3</v>
      </c>
      <c r="D299" s="37">
        <v>46101</v>
      </c>
      <c r="E299">
        <v>0</v>
      </c>
      <c r="F299">
        <f t="shared" si="34"/>
        <v>0</v>
      </c>
      <c r="K299" s="37"/>
      <c r="L299"/>
    </row>
    <row r="300" spans="3:12" x14ac:dyDescent="0.3">
      <c r="C300">
        <v>3</v>
      </c>
      <c r="D300" s="37">
        <v>46102</v>
      </c>
      <c r="E300">
        <v>0</v>
      </c>
      <c r="F300">
        <f t="shared" si="34"/>
        <v>0</v>
      </c>
      <c r="K300" s="37"/>
      <c r="L300"/>
    </row>
    <row r="301" spans="3:12" x14ac:dyDescent="0.3">
      <c r="C301">
        <v>3</v>
      </c>
      <c r="D301" s="37" cm="1">
        <f t="array" ref="D301:D307">TRANSPOSE(Calendar!B131:H131)</f>
        <v>46103</v>
      </c>
      <c r="E301" cm="1">
        <f t="array" ref="E301:E307">TRANSPOSE(Calendar!B132:H132)</f>
        <v>0</v>
      </c>
      <c r="F301">
        <f t="shared" si="34"/>
        <v>0</v>
      </c>
      <c r="K301" s="37"/>
      <c r="L301"/>
    </row>
    <row r="302" spans="3:12" x14ac:dyDescent="0.3">
      <c r="C302">
        <v>3</v>
      </c>
      <c r="D302" s="37">
        <v>46104</v>
      </c>
      <c r="E302">
        <v>0</v>
      </c>
      <c r="F302">
        <f t="shared" si="34"/>
        <v>0</v>
      </c>
      <c r="K302" s="37"/>
      <c r="L302"/>
    </row>
    <row r="303" spans="3:12" x14ac:dyDescent="0.3">
      <c r="C303">
        <v>3</v>
      </c>
      <c r="D303" s="37">
        <v>46105</v>
      </c>
      <c r="E303">
        <v>0</v>
      </c>
      <c r="F303">
        <f t="shared" si="34"/>
        <v>0</v>
      </c>
      <c r="K303" s="37"/>
      <c r="L303"/>
    </row>
    <row r="304" spans="3:12" x14ac:dyDescent="0.3">
      <c r="C304">
        <v>3</v>
      </c>
      <c r="D304" s="37">
        <v>46106</v>
      </c>
      <c r="E304">
        <v>0</v>
      </c>
      <c r="F304">
        <f t="shared" si="34"/>
        <v>0</v>
      </c>
      <c r="K304" s="37"/>
      <c r="L304"/>
    </row>
    <row r="305" spans="3:12" x14ac:dyDescent="0.3">
      <c r="C305">
        <v>3</v>
      </c>
      <c r="D305" s="37">
        <v>46107</v>
      </c>
      <c r="E305">
        <v>0</v>
      </c>
      <c r="F305">
        <f t="shared" si="34"/>
        <v>0</v>
      </c>
      <c r="K305" s="37"/>
      <c r="L305"/>
    </row>
    <row r="306" spans="3:12" x14ac:dyDescent="0.3">
      <c r="C306">
        <v>3</v>
      </c>
      <c r="D306" s="37">
        <v>46108</v>
      </c>
      <c r="E306">
        <v>0</v>
      </c>
      <c r="F306">
        <f t="shared" si="34"/>
        <v>0</v>
      </c>
      <c r="K306" s="37"/>
      <c r="L306"/>
    </row>
    <row r="307" spans="3:12" x14ac:dyDescent="0.3">
      <c r="C307">
        <v>3</v>
      </c>
      <c r="D307" s="37">
        <v>46109</v>
      </c>
      <c r="E307">
        <v>0</v>
      </c>
      <c r="F307">
        <f t="shared" si="34"/>
        <v>0</v>
      </c>
      <c r="K307" s="37"/>
      <c r="L307"/>
    </row>
    <row r="308" spans="3:12" x14ac:dyDescent="0.3">
      <c r="C308">
        <v>3</v>
      </c>
      <c r="D308" s="37" cm="1">
        <f t="array" ref="D308:D314">TRANSPOSE(Calendar!B133:H133)</f>
        <v>46110</v>
      </c>
      <c r="E308" cm="1">
        <f t="array" ref="E308:E314">TRANSPOSE(Calendar!B134:H134)</f>
        <v>0</v>
      </c>
      <c r="F308">
        <f t="shared" si="34"/>
        <v>0</v>
      </c>
      <c r="K308" s="37"/>
      <c r="L308"/>
    </row>
    <row r="309" spans="3:12" x14ac:dyDescent="0.3">
      <c r="C309">
        <v>3</v>
      </c>
      <c r="D309" s="37">
        <v>46111</v>
      </c>
      <c r="E309">
        <v>0</v>
      </c>
      <c r="F309">
        <f t="shared" si="34"/>
        <v>0</v>
      </c>
      <c r="K309" s="37"/>
      <c r="L309"/>
    </row>
    <row r="310" spans="3:12" x14ac:dyDescent="0.3">
      <c r="C310">
        <v>3</v>
      </c>
      <c r="D310" s="37">
        <v>46112</v>
      </c>
      <c r="E310">
        <v>0</v>
      </c>
      <c r="F310">
        <f t="shared" si="34"/>
        <v>0</v>
      </c>
      <c r="K310" s="37"/>
      <c r="L310"/>
    </row>
    <row r="311" spans="3:12" x14ac:dyDescent="0.3">
      <c r="C311">
        <v>3</v>
      </c>
      <c r="D311" s="37">
        <v>46113</v>
      </c>
      <c r="E311">
        <v>0</v>
      </c>
      <c r="F311">
        <f t="shared" si="34"/>
        <v>0</v>
      </c>
      <c r="K311" s="37"/>
      <c r="L311"/>
    </row>
    <row r="312" spans="3:12" x14ac:dyDescent="0.3">
      <c r="C312">
        <v>3</v>
      </c>
      <c r="D312" s="37">
        <v>46114</v>
      </c>
      <c r="E312">
        <v>0</v>
      </c>
      <c r="F312">
        <f t="shared" si="34"/>
        <v>0</v>
      </c>
      <c r="K312" s="37"/>
      <c r="L312"/>
    </row>
    <row r="313" spans="3:12" x14ac:dyDescent="0.3">
      <c r="C313">
        <v>3</v>
      </c>
      <c r="D313" s="37">
        <v>46115</v>
      </c>
      <c r="E313">
        <v>0</v>
      </c>
      <c r="F313">
        <f t="shared" si="34"/>
        <v>0</v>
      </c>
      <c r="K313" s="37"/>
      <c r="L313"/>
    </row>
    <row r="314" spans="3:12" x14ac:dyDescent="0.3">
      <c r="C314">
        <v>3</v>
      </c>
      <c r="D314" s="37">
        <v>46116</v>
      </c>
      <c r="E314">
        <v>0</v>
      </c>
      <c r="F314">
        <f t="shared" si="34"/>
        <v>0</v>
      </c>
      <c r="K314" s="37"/>
      <c r="L314"/>
    </row>
    <row r="315" spans="3:12" x14ac:dyDescent="0.3">
      <c r="C315">
        <v>3</v>
      </c>
      <c r="D315" s="37" cm="1">
        <f t="array" ref="D315:D316">TRANSPOSE(Calendar!B135:C135)</f>
        <v>46117</v>
      </c>
      <c r="E315" cm="1">
        <f t="array" ref="E315:E316">TRANSPOSE(Calendar!B136:C136)</f>
        <v>0</v>
      </c>
      <c r="F315">
        <f t="shared" si="34"/>
        <v>0</v>
      </c>
      <c r="K315" s="37"/>
      <c r="L315"/>
    </row>
    <row r="316" spans="3:12" x14ac:dyDescent="0.3">
      <c r="C316">
        <v>3</v>
      </c>
      <c r="D316" s="37">
        <v>46118</v>
      </c>
      <c r="E316">
        <v>0</v>
      </c>
      <c r="F316">
        <f t="shared" si="34"/>
        <v>0</v>
      </c>
      <c r="K316" s="37"/>
      <c r="L316"/>
    </row>
    <row r="317" spans="3:12" x14ac:dyDescent="0.3">
      <c r="C317">
        <v>4</v>
      </c>
      <c r="D317" s="37" cm="1">
        <f t="array" ref="D317:D323">TRANSPOSE(Calendar!B141:H141)</f>
        <v>46110</v>
      </c>
      <c r="E317" cm="1">
        <f t="array" ref="E317:E323">TRANSPOSE(Calendar!B142:H142)</f>
        <v>0</v>
      </c>
      <c r="F317">
        <f t="shared" si="34"/>
        <v>0</v>
      </c>
      <c r="K317" s="37"/>
      <c r="L317"/>
    </row>
    <row r="318" spans="3:12" x14ac:dyDescent="0.3">
      <c r="C318">
        <v>4</v>
      </c>
      <c r="D318" s="37">
        <v>46111</v>
      </c>
      <c r="E318">
        <v>0</v>
      </c>
      <c r="F318">
        <f t="shared" si="34"/>
        <v>0</v>
      </c>
      <c r="K318" s="37"/>
      <c r="L318"/>
    </row>
    <row r="319" spans="3:12" x14ac:dyDescent="0.3">
      <c r="C319">
        <v>4</v>
      </c>
      <c r="D319" s="37">
        <v>46112</v>
      </c>
      <c r="E319">
        <v>0</v>
      </c>
      <c r="F319">
        <f t="shared" si="34"/>
        <v>0</v>
      </c>
      <c r="K319" s="37"/>
      <c r="L319"/>
    </row>
    <row r="320" spans="3:12" x14ac:dyDescent="0.3">
      <c r="C320">
        <v>4</v>
      </c>
      <c r="D320" s="37">
        <v>46113</v>
      </c>
      <c r="E320">
        <v>0</v>
      </c>
      <c r="F320">
        <f t="shared" si="34"/>
        <v>0</v>
      </c>
      <c r="K320" s="37"/>
      <c r="L320"/>
    </row>
    <row r="321" spans="3:12" x14ac:dyDescent="0.3">
      <c r="C321">
        <v>4</v>
      </c>
      <c r="D321" s="37">
        <v>46114</v>
      </c>
      <c r="E321">
        <v>0</v>
      </c>
      <c r="F321">
        <f t="shared" si="34"/>
        <v>0</v>
      </c>
      <c r="K321" s="37"/>
      <c r="L321"/>
    </row>
    <row r="322" spans="3:12" x14ac:dyDescent="0.3">
      <c r="C322">
        <v>4</v>
      </c>
      <c r="D322" s="37">
        <v>46115</v>
      </c>
      <c r="E322" t="str">
        <v>Closed (non-operational)</v>
      </c>
      <c r="F322">
        <f t="shared" si="34"/>
        <v>0</v>
      </c>
      <c r="K322" s="37"/>
      <c r="L322"/>
    </row>
    <row r="323" spans="3:12" x14ac:dyDescent="0.3">
      <c r="C323">
        <v>4</v>
      </c>
      <c r="D323" s="37">
        <v>46116</v>
      </c>
      <c r="E323">
        <v>0</v>
      </c>
      <c r="F323">
        <f t="shared" si="34"/>
        <v>0</v>
      </c>
      <c r="K323" s="37"/>
      <c r="L323"/>
    </row>
    <row r="324" spans="3:12" x14ac:dyDescent="0.3">
      <c r="C324">
        <v>4</v>
      </c>
      <c r="D324" s="37" cm="1">
        <f t="array" ref="D324:D330">TRANSPOSE(Calendar!B143:H143)</f>
        <v>46117</v>
      </c>
      <c r="E324" cm="1">
        <f t="array" ref="E324:E330">TRANSPOSE(Calendar!B144:H144)</f>
        <v>0</v>
      </c>
      <c r="F324">
        <f t="shared" si="34"/>
        <v>0</v>
      </c>
      <c r="K324" s="37"/>
      <c r="L324"/>
    </row>
    <row r="325" spans="3:12" x14ac:dyDescent="0.3">
      <c r="C325">
        <v>4</v>
      </c>
      <c r="D325" s="37">
        <v>46118</v>
      </c>
      <c r="E325">
        <v>0</v>
      </c>
      <c r="F325">
        <f t="shared" si="34"/>
        <v>0</v>
      </c>
      <c r="K325" s="37"/>
      <c r="L325"/>
    </row>
    <row r="326" spans="3:12" x14ac:dyDescent="0.3">
      <c r="C326">
        <v>4</v>
      </c>
      <c r="D326" s="37">
        <v>46119</v>
      </c>
      <c r="E326">
        <v>0</v>
      </c>
      <c r="F326">
        <f t="shared" si="34"/>
        <v>0</v>
      </c>
      <c r="K326" s="37"/>
      <c r="L326"/>
    </row>
    <row r="327" spans="3:12" x14ac:dyDescent="0.3">
      <c r="C327">
        <v>4</v>
      </c>
      <c r="D327" s="37">
        <v>46120</v>
      </c>
      <c r="E327">
        <v>0</v>
      </c>
      <c r="F327">
        <f t="shared" si="34"/>
        <v>0</v>
      </c>
      <c r="K327" s="37"/>
      <c r="L327"/>
    </row>
    <row r="328" spans="3:12" x14ac:dyDescent="0.3">
      <c r="C328">
        <v>4</v>
      </c>
      <c r="D328" s="37">
        <v>46121</v>
      </c>
      <c r="E328">
        <v>0</v>
      </c>
      <c r="F328">
        <f t="shared" si="34"/>
        <v>0</v>
      </c>
      <c r="K328" s="37"/>
      <c r="L328"/>
    </row>
    <row r="329" spans="3:12" x14ac:dyDescent="0.3">
      <c r="C329">
        <v>4</v>
      </c>
      <c r="D329" s="37">
        <v>46122</v>
      </c>
      <c r="E329">
        <v>0</v>
      </c>
      <c r="F329">
        <f t="shared" si="34"/>
        <v>0</v>
      </c>
      <c r="K329" s="37"/>
      <c r="L329"/>
    </row>
    <row r="330" spans="3:12" x14ac:dyDescent="0.3">
      <c r="C330">
        <v>4</v>
      </c>
      <c r="D330" s="37">
        <v>46123</v>
      </c>
      <c r="E330">
        <v>0</v>
      </c>
      <c r="F330">
        <f t="shared" si="34"/>
        <v>0</v>
      </c>
      <c r="K330" s="37"/>
      <c r="L330"/>
    </row>
    <row r="331" spans="3:12" x14ac:dyDescent="0.3">
      <c r="C331">
        <v>4</v>
      </c>
      <c r="D331" s="37" cm="1">
        <f t="array" ref="D331:D337">TRANSPOSE(Calendar!B145:H145)</f>
        <v>46124</v>
      </c>
      <c r="E331" cm="1">
        <f t="array" ref="E331:E337">TRANSPOSE(Calendar!B146:H146)</f>
        <v>0</v>
      </c>
      <c r="F331">
        <f t="shared" si="34"/>
        <v>0</v>
      </c>
      <c r="K331" s="37"/>
      <c r="L331"/>
    </row>
    <row r="332" spans="3:12" x14ac:dyDescent="0.3">
      <c r="C332">
        <v>4</v>
      </c>
      <c r="D332" s="37">
        <v>46125</v>
      </c>
      <c r="E332">
        <v>0</v>
      </c>
      <c r="F332">
        <f t="shared" si="34"/>
        <v>0</v>
      </c>
      <c r="K332" s="37"/>
      <c r="L332"/>
    </row>
    <row r="333" spans="3:12" x14ac:dyDescent="0.3">
      <c r="C333">
        <v>4</v>
      </c>
      <c r="D333" s="37">
        <v>46126</v>
      </c>
      <c r="E333">
        <v>0</v>
      </c>
      <c r="F333">
        <f t="shared" si="34"/>
        <v>0</v>
      </c>
      <c r="K333" s="37"/>
      <c r="L333"/>
    </row>
    <row r="334" spans="3:12" x14ac:dyDescent="0.3">
      <c r="C334">
        <v>4</v>
      </c>
      <c r="D334" s="37">
        <v>46127</v>
      </c>
      <c r="E334">
        <v>0</v>
      </c>
      <c r="F334">
        <f t="shared" si="34"/>
        <v>0</v>
      </c>
      <c r="K334" s="37"/>
      <c r="L334"/>
    </row>
    <row r="335" spans="3:12" x14ac:dyDescent="0.3">
      <c r="C335">
        <v>4</v>
      </c>
      <c r="D335" s="37">
        <v>46128</v>
      </c>
      <c r="E335">
        <v>0</v>
      </c>
      <c r="F335">
        <f t="shared" si="34"/>
        <v>0</v>
      </c>
      <c r="K335" s="37"/>
      <c r="L335"/>
    </row>
    <row r="336" spans="3:12" x14ac:dyDescent="0.3">
      <c r="C336">
        <v>4</v>
      </c>
      <c r="D336" s="37">
        <v>46129</v>
      </c>
      <c r="E336">
        <v>0</v>
      </c>
      <c r="F336">
        <f t="shared" si="34"/>
        <v>0</v>
      </c>
      <c r="K336" s="37"/>
      <c r="L336"/>
    </row>
    <row r="337" spans="3:12" x14ac:dyDescent="0.3">
      <c r="C337">
        <v>4</v>
      </c>
      <c r="D337" s="37">
        <v>46130</v>
      </c>
      <c r="E337">
        <v>0</v>
      </c>
      <c r="F337">
        <f t="shared" si="34"/>
        <v>0</v>
      </c>
      <c r="K337" s="37"/>
      <c r="L337"/>
    </row>
    <row r="338" spans="3:12" x14ac:dyDescent="0.3">
      <c r="C338">
        <v>4</v>
      </c>
      <c r="D338" s="37" cm="1">
        <f t="array" ref="D338:D344">TRANSPOSE(Calendar!B147:H147)</f>
        <v>46131</v>
      </c>
      <c r="E338" cm="1">
        <f t="array" ref="E338:E344">TRANSPOSE(Calendar!B148:H148)</f>
        <v>0</v>
      </c>
      <c r="F338">
        <f t="shared" si="34"/>
        <v>0</v>
      </c>
      <c r="K338" s="37"/>
      <c r="L338"/>
    </row>
    <row r="339" spans="3:12" x14ac:dyDescent="0.3">
      <c r="C339">
        <v>4</v>
      </c>
      <c r="D339" s="37">
        <v>46132</v>
      </c>
      <c r="E339">
        <v>0</v>
      </c>
      <c r="F339">
        <f t="shared" si="34"/>
        <v>0</v>
      </c>
      <c r="K339" s="37"/>
      <c r="L339"/>
    </row>
    <row r="340" spans="3:12" x14ac:dyDescent="0.3">
      <c r="C340">
        <v>4</v>
      </c>
      <c r="D340" s="37">
        <v>46133</v>
      </c>
      <c r="E340">
        <v>0</v>
      </c>
      <c r="F340">
        <f t="shared" si="34"/>
        <v>0</v>
      </c>
      <c r="K340" s="37"/>
      <c r="L340"/>
    </row>
    <row r="341" spans="3:12" x14ac:dyDescent="0.3">
      <c r="C341">
        <v>4</v>
      </c>
      <c r="D341" s="37">
        <v>46134</v>
      </c>
      <c r="E341">
        <v>0</v>
      </c>
      <c r="F341">
        <f t="shared" ref="F341:F404" si="35">IF(AND(MONTH(D341)=C341,D341&gt;=First_Operational_Day,D341&lt;=Last_Operational_Day,WEEKDAY(D341)&lt;&gt;1,WEEKDAY(D341)&lt;&gt;7,E341&lt;&gt;"Closed (non-operational)"),1,0)</f>
        <v>0</v>
      </c>
      <c r="K341" s="37"/>
      <c r="L341"/>
    </row>
    <row r="342" spans="3:12" x14ac:dyDescent="0.3">
      <c r="C342">
        <v>4</v>
      </c>
      <c r="D342" s="37">
        <v>46135</v>
      </c>
      <c r="E342">
        <v>0</v>
      </c>
      <c r="F342">
        <f t="shared" si="35"/>
        <v>0</v>
      </c>
      <c r="K342" s="37"/>
      <c r="L342"/>
    </row>
    <row r="343" spans="3:12" x14ac:dyDescent="0.3">
      <c r="C343">
        <v>4</v>
      </c>
      <c r="D343" s="37">
        <v>46136</v>
      </c>
      <c r="E343">
        <v>0</v>
      </c>
      <c r="F343">
        <f t="shared" si="35"/>
        <v>0</v>
      </c>
      <c r="K343" s="37"/>
      <c r="L343"/>
    </row>
    <row r="344" spans="3:12" x14ac:dyDescent="0.3">
      <c r="C344">
        <v>4</v>
      </c>
      <c r="D344" s="37">
        <v>46137</v>
      </c>
      <c r="E344">
        <v>0</v>
      </c>
      <c r="F344">
        <f t="shared" si="35"/>
        <v>0</v>
      </c>
      <c r="K344" s="37"/>
      <c r="L344"/>
    </row>
    <row r="345" spans="3:12" x14ac:dyDescent="0.3">
      <c r="C345">
        <v>4</v>
      </c>
      <c r="D345" s="37" cm="1">
        <f t="array" ref="D345:D351">TRANSPOSE(Calendar!B149:H149)</f>
        <v>46138</v>
      </c>
      <c r="E345" cm="1">
        <f t="array" ref="E345:E351">TRANSPOSE(Calendar!B150:H150)</f>
        <v>0</v>
      </c>
      <c r="F345">
        <f t="shared" si="35"/>
        <v>0</v>
      </c>
      <c r="K345" s="37"/>
      <c r="L345"/>
    </row>
    <row r="346" spans="3:12" x14ac:dyDescent="0.3">
      <c r="C346">
        <v>4</v>
      </c>
      <c r="D346" s="37">
        <v>46139</v>
      </c>
      <c r="E346">
        <v>0</v>
      </c>
      <c r="F346">
        <f t="shared" si="35"/>
        <v>0</v>
      </c>
      <c r="K346" s="37"/>
      <c r="L346"/>
    </row>
    <row r="347" spans="3:12" x14ac:dyDescent="0.3">
      <c r="C347">
        <v>4</v>
      </c>
      <c r="D347" s="37">
        <v>46140</v>
      </c>
      <c r="E347">
        <v>0</v>
      </c>
      <c r="F347">
        <f t="shared" si="35"/>
        <v>0</v>
      </c>
      <c r="K347" s="37"/>
      <c r="L347"/>
    </row>
    <row r="348" spans="3:12" x14ac:dyDescent="0.3">
      <c r="C348">
        <v>4</v>
      </c>
      <c r="D348" s="37">
        <v>46141</v>
      </c>
      <c r="E348">
        <v>0</v>
      </c>
      <c r="F348">
        <f t="shared" si="35"/>
        <v>0</v>
      </c>
      <c r="K348" s="37"/>
      <c r="L348"/>
    </row>
    <row r="349" spans="3:12" x14ac:dyDescent="0.3">
      <c r="C349">
        <v>4</v>
      </c>
      <c r="D349" s="37">
        <v>46142</v>
      </c>
      <c r="E349">
        <v>0</v>
      </c>
      <c r="F349">
        <f t="shared" si="35"/>
        <v>0</v>
      </c>
      <c r="K349" s="37"/>
      <c r="L349"/>
    </row>
    <row r="350" spans="3:12" x14ac:dyDescent="0.3">
      <c r="C350">
        <v>4</v>
      </c>
      <c r="D350" s="37">
        <v>46143</v>
      </c>
      <c r="E350">
        <v>0</v>
      </c>
      <c r="F350">
        <f t="shared" si="35"/>
        <v>0</v>
      </c>
      <c r="K350" s="37"/>
      <c r="L350"/>
    </row>
    <row r="351" spans="3:12" x14ac:dyDescent="0.3">
      <c r="C351">
        <v>4</v>
      </c>
      <c r="D351" s="37">
        <v>46144</v>
      </c>
      <c r="E351">
        <v>0</v>
      </c>
      <c r="F351">
        <f t="shared" si="35"/>
        <v>0</v>
      </c>
      <c r="K351" s="37"/>
      <c r="L351"/>
    </row>
    <row r="352" spans="3:12" x14ac:dyDescent="0.3">
      <c r="C352">
        <v>4</v>
      </c>
      <c r="D352" s="37" cm="1">
        <f t="array" ref="D352:D353">TRANSPOSE(Calendar!B151:C151)</f>
        <v>46145</v>
      </c>
      <c r="E352" cm="1">
        <f t="array" ref="E352">TRANSPOSE(Calendar!B152:B152)</f>
        <v>0</v>
      </c>
      <c r="F352">
        <f t="shared" si="35"/>
        <v>0</v>
      </c>
      <c r="K352" s="37"/>
      <c r="L352"/>
    </row>
    <row r="353" spans="3:12" x14ac:dyDescent="0.3">
      <c r="C353">
        <v>4</v>
      </c>
      <c r="D353" s="37">
        <v>46146</v>
      </c>
      <c r="E353"/>
      <c r="F353">
        <f t="shared" si="35"/>
        <v>0</v>
      </c>
      <c r="K353" s="37"/>
      <c r="L353"/>
    </row>
    <row r="354" spans="3:12" x14ac:dyDescent="0.3">
      <c r="C354">
        <v>5</v>
      </c>
      <c r="D354" s="37" cm="1">
        <f t="array" ref="D354:D360">TRANSPOSE(Calendar!B157:H157)</f>
        <v>46138</v>
      </c>
      <c r="E354" cm="1">
        <f t="array" ref="E354:E360">TRANSPOSE(Calendar!B158:H158)</f>
        <v>0</v>
      </c>
      <c r="F354">
        <f t="shared" si="35"/>
        <v>0</v>
      </c>
      <c r="K354" s="37"/>
      <c r="L354"/>
    </row>
    <row r="355" spans="3:12" x14ac:dyDescent="0.3">
      <c r="C355">
        <v>5</v>
      </c>
      <c r="D355" s="37">
        <v>46139</v>
      </c>
      <c r="E355">
        <v>0</v>
      </c>
      <c r="F355">
        <f t="shared" si="35"/>
        <v>0</v>
      </c>
      <c r="K355" s="37"/>
      <c r="L355"/>
    </row>
    <row r="356" spans="3:12" x14ac:dyDescent="0.3">
      <c r="C356">
        <v>5</v>
      </c>
      <c r="D356" s="37">
        <v>46140</v>
      </c>
      <c r="E356">
        <v>0</v>
      </c>
      <c r="F356">
        <f t="shared" si="35"/>
        <v>0</v>
      </c>
      <c r="K356" s="37"/>
      <c r="L356"/>
    </row>
    <row r="357" spans="3:12" x14ac:dyDescent="0.3">
      <c r="C357">
        <v>5</v>
      </c>
      <c r="D357" s="37">
        <v>46141</v>
      </c>
      <c r="E357">
        <v>0</v>
      </c>
      <c r="F357">
        <f t="shared" si="35"/>
        <v>0</v>
      </c>
      <c r="K357" s="37"/>
      <c r="L357"/>
    </row>
    <row r="358" spans="3:12" x14ac:dyDescent="0.3">
      <c r="C358">
        <v>5</v>
      </c>
      <c r="D358" s="37">
        <v>46142</v>
      </c>
      <c r="E358">
        <v>0</v>
      </c>
      <c r="F358">
        <f t="shared" si="35"/>
        <v>0</v>
      </c>
      <c r="K358" s="37"/>
      <c r="L358"/>
    </row>
    <row r="359" spans="3:12" x14ac:dyDescent="0.3">
      <c r="C359">
        <v>5</v>
      </c>
      <c r="D359" s="37">
        <v>46143</v>
      </c>
      <c r="E359">
        <v>0</v>
      </c>
      <c r="F359">
        <f t="shared" si="35"/>
        <v>0</v>
      </c>
      <c r="K359" s="37"/>
      <c r="L359"/>
    </row>
    <row r="360" spans="3:12" x14ac:dyDescent="0.3">
      <c r="C360">
        <v>5</v>
      </c>
      <c r="D360" s="37">
        <v>46144</v>
      </c>
      <c r="E360">
        <v>0</v>
      </c>
      <c r="F360">
        <f t="shared" si="35"/>
        <v>0</v>
      </c>
      <c r="K360" s="37"/>
      <c r="L360"/>
    </row>
    <row r="361" spans="3:12" x14ac:dyDescent="0.3">
      <c r="C361">
        <v>5</v>
      </c>
      <c r="D361" s="37" cm="1">
        <f t="array" ref="D361:D367">TRANSPOSE(Calendar!B159:H159)</f>
        <v>46145</v>
      </c>
      <c r="E361" cm="1">
        <f t="array" ref="E361:E367">TRANSPOSE(Calendar!B160:H160)</f>
        <v>0</v>
      </c>
      <c r="F361">
        <f t="shared" si="35"/>
        <v>0</v>
      </c>
      <c r="K361" s="37"/>
      <c r="L361"/>
    </row>
    <row r="362" spans="3:12" x14ac:dyDescent="0.3">
      <c r="C362">
        <v>5</v>
      </c>
      <c r="D362" s="37">
        <v>46146</v>
      </c>
      <c r="E362">
        <v>0</v>
      </c>
      <c r="F362">
        <f t="shared" si="35"/>
        <v>0</v>
      </c>
      <c r="K362" s="37"/>
      <c r="L362"/>
    </row>
    <row r="363" spans="3:12" x14ac:dyDescent="0.3">
      <c r="C363">
        <v>5</v>
      </c>
      <c r="D363" s="37">
        <v>46147</v>
      </c>
      <c r="E363">
        <v>0</v>
      </c>
      <c r="F363">
        <f t="shared" si="35"/>
        <v>0</v>
      </c>
      <c r="K363" s="37"/>
      <c r="L363"/>
    </row>
    <row r="364" spans="3:12" x14ac:dyDescent="0.3">
      <c r="C364">
        <v>5</v>
      </c>
      <c r="D364" s="37">
        <v>46148</v>
      </c>
      <c r="E364">
        <v>0</v>
      </c>
      <c r="F364">
        <f t="shared" si="35"/>
        <v>0</v>
      </c>
      <c r="K364" s="37"/>
      <c r="L364"/>
    </row>
    <row r="365" spans="3:12" x14ac:dyDescent="0.3">
      <c r="C365">
        <v>5</v>
      </c>
      <c r="D365" s="37">
        <v>46149</v>
      </c>
      <c r="E365">
        <v>0</v>
      </c>
      <c r="F365">
        <f t="shared" si="35"/>
        <v>0</v>
      </c>
      <c r="K365" s="37"/>
      <c r="L365"/>
    </row>
    <row r="366" spans="3:12" x14ac:dyDescent="0.3">
      <c r="C366">
        <v>5</v>
      </c>
      <c r="D366" s="37">
        <v>46150</v>
      </c>
      <c r="E366">
        <v>0</v>
      </c>
      <c r="F366">
        <f t="shared" si="35"/>
        <v>0</v>
      </c>
      <c r="K366" s="37"/>
      <c r="L366"/>
    </row>
    <row r="367" spans="3:12" x14ac:dyDescent="0.3">
      <c r="C367">
        <v>5</v>
      </c>
      <c r="D367" s="37">
        <v>46151</v>
      </c>
      <c r="E367">
        <v>0</v>
      </c>
      <c r="F367">
        <f t="shared" si="35"/>
        <v>0</v>
      </c>
      <c r="K367" s="37"/>
      <c r="L367"/>
    </row>
    <row r="368" spans="3:12" x14ac:dyDescent="0.3">
      <c r="C368">
        <v>5</v>
      </c>
      <c r="D368" s="37" cm="1">
        <f t="array" ref="D368:D374">TRANSPOSE(Calendar!B161:H161)</f>
        <v>46152</v>
      </c>
      <c r="E368" cm="1">
        <f t="array" ref="E368:E374">TRANSPOSE(Calendar!B162:H162)</f>
        <v>0</v>
      </c>
      <c r="F368">
        <f t="shared" si="35"/>
        <v>0</v>
      </c>
      <c r="K368" s="37"/>
      <c r="L368"/>
    </row>
    <row r="369" spans="3:12" x14ac:dyDescent="0.3">
      <c r="C369">
        <v>5</v>
      </c>
      <c r="D369" s="37">
        <v>46153</v>
      </c>
      <c r="E369">
        <v>0</v>
      </c>
      <c r="F369">
        <f t="shared" si="35"/>
        <v>0</v>
      </c>
      <c r="K369" s="37"/>
      <c r="L369"/>
    </row>
    <row r="370" spans="3:12" x14ac:dyDescent="0.3">
      <c r="C370">
        <v>5</v>
      </c>
      <c r="D370" s="37">
        <v>46154</v>
      </c>
      <c r="E370">
        <v>0</v>
      </c>
      <c r="F370">
        <f t="shared" si="35"/>
        <v>0</v>
      </c>
      <c r="K370" s="37"/>
      <c r="L370"/>
    </row>
    <row r="371" spans="3:12" x14ac:dyDescent="0.3">
      <c r="C371">
        <v>5</v>
      </c>
      <c r="D371" s="37">
        <v>46155</v>
      </c>
      <c r="E371">
        <v>0</v>
      </c>
      <c r="F371">
        <f t="shared" si="35"/>
        <v>0</v>
      </c>
      <c r="K371" s="37"/>
      <c r="L371"/>
    </row>
    <row r="372" spans="3:12" x14ac:dyDescent="0.3">
      <c r="C372">
        <v>5</v>
      </c>
      <c r="D372" s="37">
        <v>46156</v>
      </c>
      <c r="E372">
        <v>0</v>
      </c>
      <c r="F372">
        <f t="shared" si="35"/>
        <v>0</v>
      </c>
      <c r="K372" s="37"/>
      <c r="L372"/>
    </row>
    <row r="373" spans="3:12" x14ac:dyDescent="0.3">
      <c r="C373">
        <v>5</v>
      </c>
      <c r="D373" s="37">
        <v>46157</v>
      </c>
      <c r="E373">
        <v>0</v>
      </c>
      <c r="F373">
        <f t="shared" si="35"/>
        <v>0</v>
      </c>
      <c r="K373" s="37"/>
      <c r="L373"/>
    </row>
    <row r="374" spans="3:12" x14ac:dyDescent="0.3">
      <c r="C374">
        <v>5</v>
      </c>
      <c r="D374" s="37">
        <v>46158</v>
      </c>
      <c r="E374">
        <v>0</v>
      </c>
      <c r="F374">
        <f t="shared" si="35"/>
        <v>0</v>
      </c>
      <c r="K374" s="37"/>
      <c r="L374"/>
    </row>
    <row r="375" spans="3:12" x14ac:dyDescent="0.3">
      <c r="C375">
        <v>5</v>
      </c>
      <c r="D375" s="37" cm="1">
        <f t="array" ref="D375:D381">TRANSPOSE(Calendar!B163:H163)</f>
        <v>46159</v>
      </c>
      <c r="E375" cm="1">
        <f t="array" ref="E375:E381">TRANSPOSE(Calendar!B164:H164)</f>
        <v>0</v>
      </c>
      <c r="F375">
        <f t="shared" si="35"/>
        <v>0</v>
      </c>
      <c r="K375" s="37"/>
      <c r="L375"/>
    </row>
    <row r="376" spans="3:12" x14ac:dyDescent="0.3">
      <c r="C376">
        <v>5</v>
      </c>
      <c r="D376" s="37">
        <v>46160</v>
      </c>
      <c r="E376" t="str">
        <v>Closed (non-operational)</v>
      </c>
      <c r="F376">
        <f t="shared" si="35"/>
        <v>0</v>
      </c>
      <c r="K376" s="37"/>
      <c r="L376"/>
    </row>
    <row r="377" spans="3:12" x14ac:dyDescent="0.3">
      <c r="C377">
        <v>5</v>
      </c>
      <c r="D377" s="37">
        <v>46161</v>
      </c>
      <c r="E377">
        <v>0</v>
      </c>
      <c r="F377">
        <f t="shared" si="35"/>
        <v>0</v>
      </c>
      <c r="K377" s="37"/>
      <c r="L377"/>
    </row>
    <row r="378" spans="3:12" x14ac:dyDescent="0.3">
      <c r="C378">
        <v>5</v>
      </c>
      <c r="D378" s="37">
        <v>46162</v>
      </c>
      <c r="E378">
        <v>0</v>
      </c>
      <c r="F378">
        <f t="shared" si="35"/>
        <v>0</v>
      </c>
      <c r="K378" s="37"/>
      <c r="L378"/>
    </row>
    <row r="379" spans="3:12" x14ac:dyDescent="0.3">
      <c r="C379">
        <v>5</v>
      </c>
      <c r="D379" s="37">
        <v>46163</v>
      </c>
      <c r="E379">
        <v>0</v>
      </c>
      <c r="F379">
        <f t="shared" si="35"/>
        <v>0</v>
      </c>
      <c r="K379" s="37"/>
      <c r="L379"/>
    </row>
    <row r="380" spans="3:12" x14ac:dyDescent="0.3">
      <c r="C380">
        <v>5</v>
      </c>
      <c r="D380" s="37">
        <v>46164</v>
      </c>
      <c r="E380">
        <v>0</v>
      </c>
      <c r="F380">
        <f t="shared" si="35"/>
        <v>0</v>
      </c>
      <c r="K380" s="37"/>
      <c r="L380"/>
    </row>
    <row r="381" spans="3:12" x14ac:dyDescent="0.3">
      <c r="C381">
        <v>5</v>
      </c>
      <c r="D381" s="37">
        <v>46165</v>
      </c>
      <c r="E381">
        <v>0</v>
      </c>
      <c r="F381">
        <f t="shared" si="35"/>
        <v>0</v>
      </c>
      <c r="K381" s="37"/>
      <c r="L381"/>
    </row>
    <row r="382" spans="3:12" x14ac:dyDescent="0.3">
      <c r="C382">
        <v>5</v>
      </c>
      <c r="D382" s="37" cm="1">
        <f t="array" ref="D382:D388">TRANSPOSE(Calendar!B165:H165)</f>
        <v>46166</v>
      </c>
      <c r="E382" cm="1">
        <f t="array" ref="E382:E388">TRANSPOSE(Calendar!B166:H166)</f>
        <v>0</v>
      </c>
      <c r="F382">
        <f t="shared" si="35"/>
        <v>0</v>
      </c>
      <c r="K382" s="37"/>
      <c r="L382"/>
    </row>
    <row r="383" spans="3:12" x14ac:dyDescent="0.3">
      <c r="C383">
        <v>5</v>
      </c>
      <c r="D383" s="37">
        <v>46167</v>
      </c>
      <c r="E383">
        <v>0</v>
      </c>
      <c r="F383">
        <f t="shared" si="35"/>
        <v>0</v>
      </c>
      <c r="K383" s="37"/>
      <c r="L383"/>
    </row>
    <row r="384" spans="3:12" x14ac:dyDescent="0.3">
      <c r="C384">
        <v>5</v>
      </c>
      <c r="D384" s="37">
        <v>46168</v>
      </c>
      <c r="E384">
        <v>0</v>
      </c>
      <c r="F384">
        <f t="shared" si="35"/>
        <v>0</v>
      </c>
      <c r="K384" s="37"/>
      <c r="L384"/>
    </row>
    <row r="385" spans="3:12" x14ac:dyDescent="0.3">
      <c r="C385">
        <v>5</v>
      </c>
      <c r="D385" s="37">
        <v>46169</v>
      </c>
      <c r="E385">
        <v>0</v>
      </c>
      <c r="F385">
        <f t="shared" si="35"/>
        <v>0</v>
      </c>
      <c r="K385" s="37"/>
      <c r="L385"/>
    </row>
    <row r="386" spans="3:12" x14ac:dyDescent="0.3">
      <c r="C386">
        <v>5</v>
      </c>
      <c r="D386" s="37">
        <v>46170</v>
      </c>
      <c r="E386">
        <v>0</v>
      </c>
      <c r="F386">
        <f t="shared" si="35"/>
        <v>0</v>
      </c>
      <c r="K386" s="37"/>
      <c r="L386"/>
    </row>
    <row r="387" spans="3:12" x14ac:dyDescent="0.3">
      <c r="C387">
        <v>5</v>
      </c>
      <c r="D387" s="37">
        <v>46171</v>
      </c>
      <c r="E387">
        <v>0</v>
      </c>
      <c r="F387">
        <f t="shared" si="35"/>
        <v>0</v>
      </c>
      <c r="K387" s="37"/>
      <c r="L387"/>
    </row>
    <row r="388" spans="3:12" x14ac:dyDescent="0.3">
      <c r="C388">
        <v>5</v>
      </c>
      <c r="D388" s="37">
        <v>46172</v>
      </c>
      <c r="E388">
        <v>0</v>
      </c>
      <c r="F388">
        <f t="shared" si="35"/>
        <v>0</v>
      </c>
      <c r="K388" s="37"/>
      <c r="L388"/>
    </row>
    <row r="389" spans="3:12" x14ac:dyDescent="0.3">
      <c r="C389">
        <v>5</v>
      </c>
      <c r="D389" s="37" cm="1">
        <f t="array" ref="D389:D390">TRANSPOSE(Calendar!B167:C167)</f>
        <v>46173</v>
      </c>
      <c r="E389" cm="1">
        <f t="array" ref="E389:E390">TRANSPOSE(Calendar!B168:C168)</f>
        <v>0</v>
      </c>
      <c r="F389">
        <f t="shared" si="35"/>
        <v>0</v>
      </c>
      <c r="K389" s="37"/>
      <c r="L389"/>
    </row>
    <row r="390" spans="3:12" x14ac:dyDescent="0.3">
      <c r="C390">
        <v>5</v>
      </c>
      <c r="D390" s="37">
        <v>46174</v>
      </c>
      <c r="E390">
        <v>0</v>
      </c>
      <c r="F390">
        <f t="shared" si="35"/>
        <v>0</v>
      </c>
      <c r="K390" s="37"/>
      <c r="L390"/>
    </row>
    <row r="391" spans="3:12" x14ac:dyDescent="0.3">
      <c r="C391">
        <v>6</v>
      </c>
      <c r="D391" s="37" cm="1">
        <f t="array" ref="D391:D397">TRANSPOSE(Calendar!B173:H173)</f>
        <v>46173</v>
      </c>
      <c r="E391" cm="1">
        <f t="array" ref="E391:E397">TRANSPOSE(Calendar!B174:H174)</f>
        <v>0</v>
      </c>
      <c r="F391">
        <f t="shared" si="35"/>
        <v>0</v>
      </c>
      <c r="K391" s="37"/>
      <c r="L391"/>
    </row>
    <row r="392" spans="3:12" x14ac:dyDescent="0.3">
      <c r="C392">
        <v>6</v>
      </c>
      <c r="D392" s="37">
        <v>46174</v>
      </c>
      <c r="E392">
        <v>0</v>
      </c>
      <c r="F392">
        <f t="shared" si="35"/>
        <v>0</v>
      </c>
      <c r="K392" s="37"/>
      <c r="L392"/>
    </row>
    <row r="393" spans="3:12" x14ac:dyDescent="0.3">
      <c r="C393">
        <v>6</v>
      </c>
      <c r="D393" s="37">
        <v>46175</v>
      </c>
      <c r="E393">
        <v>0</v>
      </c>
      <c r="F393">
        <f t="shared" si="35"/>
        <v>0</v>
      </c>
      <c r="K393" s="37"/>
      <c r="L393"/>
    </row>
    <row r="394" spans="3:12" x14ac:dyDescent="0.3">
      <c r="C394">
        <v>6</v>
      </c>
      <c r="D394" s="37">
        <v>46176</v>
      </c>
      <c r="E394">
        <v>0</v>
      </c>
      <c r="F394">
        <f t="shared" si="35"/>
        <v>0</v>
      </c>
      <c r="K394" s="37"/>
      <c r="L394"/>
    </row>
    <row r="395" spans="3:12" x14ac:dyDescent="0.3">
      <c r="C395">
        <v>6</v>
      </c>
      <c r="D395" s="37">
        <v>46177</v>
      </c>
      <c r="E395">
        <v>0</v>
      </c>
      <c r="F395">
        <f t="shared" si="35"/>
        <v>0</v>
      </c>
      <c r="K395" s="37"/>
      <c r="L395"/>
    </row>
    <row r="396" spans="3:12" x14ac:dyDescent="0.3">
      <c r="C396">
        <v>6</v>
      </c>
      <c r="D396" s="37">
        <v>46178</v>
      </c>
      <c r="E396">
        <v>0</v>
      </c>
      <c r="F396">
        <f t="shared" si="35"/>
        <v>0</v>
      </c>
      <c r="K396" s="37"/>
      <c r="L396"/>
    </row>
    <row r="397" spans="3:12" x14ac:dyDescent="0.3">
      <c r="C397">
        <v>6</v>
      </c>
      <c r="D397" s="37">
        <v>46179</v>
      </c>
      <c r="E397">
        <v>0</v>
      </c>
      <c r="F397">
        <f t="shared" si="35"/>
        <v>0</v>
      </c>
      <c r="K397" s="37"/>
      <c r="L397"/>
    </row>
    <row r="398" spans="3:12" x14ac:dyDescent="0.3">
      <c r="C398">
        <v>6</v>
      </c>
      <c r="D398" s="37" cm="1">
        <f t="array" ref="D398:D404">TRANSPOSE(Calendar!B175:H175)</f>
        <v>46180</v>
      </c>
      <c r="E398" cm="1">
        <f t="array" ref="E398:E404">TRANSPOSE(Calendar!B176:H176)</f>
        <v>0</v>
      </c>
      <c r="F398">
        <f t="shared" si="35"/>
        <v>0</v>
      </c>
      <c r="K398" s="37"/>
      <c r="L398"/>
    </row>
    <row r="399" spans="3:12" x14ac:dyDescent="0.3">
      <c r="C399">
        <v>6</v>
      </c>
      <c r="D399" s="37">
        <v>46181</v>
      </c>
      <c r="E399">
        <v>0</v>
      </c>
      <c r="F399">
        <f t="shared" si="35"/>
        <v>0</v>
      </c>
      <c r="K399" s="37"/>
      <c r="L399"/>
    </row>
    <row r="400" spans="3:12" x14ac:dyDescent="0.3">
      <c r="C400">
        <v>6</v>
      </c>
      <c r="D400" s="37">
        <v>46182</v>
      </c>
      <c r="E400">
        <v>0</v>
      </c>
      <c r="F400">
        <f t="shared" si="35"/>
        <v>0</v>
      </c>
      <c r="K400" s="37"/>
      <c r="L400"/>
    </row>
    <row r="401" spans="3:12" x14ac:dyDescent="0.3">
      <c r="C401">
        <v>6</v>
      </c>
      <c r="D401" s="37">
        <v>46183</v>
      </c>
      <c r="E401">
        <v>0</v>
      </c>
      <c r="F401">
        <f t="shared" si="35"/>
        <v>0</v>
      </c>
      <c r="K401" s="37"/>
      <c r="L401"/>
    </row>
    <row r="402" spans="3:12" x14ac:dyDescent="0.3">
      <c r="C402">
        <v>6</v>
      </c>
      <c r="D402" s="37">
        <v>46184</v>
      </c>
      <c r="E402">
        <v>0</v>
      </c>
      <c r="F402">
        <f t="shared" si="35"/>
        <v>0</v>
      </c>
      <c r="K402" s="37"/>
      <c r="L402"/>
    </row>
    <row r="403" spans="3:12" x14ac:dyDescent="0.3">
      <c r="C403">
        <v>6</v>
      </c>
      <c r="D403" s="37">
        <v>46185</v>
      </c>
      <c r="E403">
        <v>0</v>
      </c>
      <c r="F403">
        <f t="shared" si="35"/>
        <v>0</v>
      </c>
      <c r="K403" s="37"/>
      <c r="L403"/>
    </row>
    <row r="404" spans="3:12" x14ac:dyDescent="0.3">
      <c r="C404">
        <v>6</v>
      </c>
      <c r="D404" s="37">
        <v>46186</v>
      </c>
      <c r="E404">
        <v>0</v>
      </c>
      <c r="F404">
        <f t="shared" si="35"/>
        <v>0</v>
      </c>
      <c r="K404" s="37"/>
      <c r="L404"/>
    </row>
    <row r="405" spans="3:12" x14ac:dyDescent="0.3">
      <c r="C405">
        <v>6</v>
      </c>
      <c r="D405" s="37" cm="1">
        <f t="array" ref="D405:D411">TRANSPOSE(Calendar!B177:H177)</f>
        <v>46187</v>
      </c>
      <c r="E405" cm="1">
        <f t="array" ref="E405:E411">TRANSPOSE(Calendar!B178:H178)</f>
        <v>0</v>
      </c>
      <c r="F405">
        <f t="shared" ref="F405:F464" si="36">IF(AND(MONTH(D405)=C405,D405&gt;=First_Operational_Day,D405&lt;=Last_Operational_Day,WEEKDAY(D405)&lt;&gt;1,WEEKDAY(D405)&lt;&gt;7,E405&lt;&gt;"Closed (non-operational)"),1,0)</f>
        <v>0</v>
      </c>
      <c r="K405" s="37"/>
      <c r="L405"/>
    </row>
    <row r="406" spans="3:12" x14ac:dyDescent="0.3">
      <c r="C406">
        <v>6</v>
      </c>
      <c r="D406" s="37">
        <v>46188</v>
      </c>
      <c r="E406">
        <v>0</v>
      </c>
      <c r="F406">
        <f t="shared" si="36"/>
        <v>0</v>
      </c>
      <c r="K406" s="37"/>
      <c r="L406"/>
    </row>
    <row r="407" spans="3:12" x14ac:dyDescent="0.3">
      <c r="C407">
        <v>6</v>
      </c>
      <c r="D407" s="37">
        <v>46189</v>
      </c>
      <c r="E407">
        <v>0</v>
      </c>
      <c r="F407">
        <f t="shared" si="36"/>
        <v>0</v>
      </c>
      <c r="K407" s="37"/>
      <c r="L407"/>
    </row>
    <row r="408" spans="3:12" x14ac:dyDescent="0.3">
      <c r="C408">
        <v>6</v>
      </c>
      <c r="D408" s="37">
        <v>46190</v>
      </c>
      <c r="E408">
        <v>0</v>
      </c>
      <c r="F408">
        <f t="shared" si="36"/>
        <v>0</v>
      </c>
      <c r="K408" s="37"/>
      <c r="L408"/>
    </row>
    <row r="409" spans="3:12" x14ac:dyDescent="0.3">
      <c r="C409">
        <v>6</v>
      </c>
      <c r="D409" s="37">
        <v>46191</v>
      </c>
      <c r="E409">
        <v>0</v>
      </c>
      <c r="F409">
        <f t="shared" si="36"/>
        <v>0</v>
      </c>
      <c r="K409" s="37"/>
      <c r="L409"/>
    </row>
    <row r="410" spans="3:12" x14ac:dyDescent="0.3">
      <c r="C410">
        <v>6</v>
      </c>
      <c r="D410" s="37">
        <v>46192</v>
      </c>
      <c r="E410">
        <v>0</v>
      </c>
      <c r="F410">
        <f t="shared" si="36"/>
        <v>0</v>
      </c>
      <c r="K410" s="37"/>
      <c r="L410"/>
    </row>
    <row r="411" spans="3:12" x14ac:dyDescent="0.3">
      <c r="C411">
        <v>6</v>
      </c>
      <c r="D411" s="37">
        <v>46193</v>
      </c>
      <c r="E411">
        <v>0</v>
      </c>
      <c r="F411">
        <f t="shared" si="36"/>
        <v>0</v>
      </c>
      <c r="K411" s="37"/>
      <c r="L411"/>
    </row>
    <row r="412" spans="3:12" x14ac:dyDescent="0.3">
      <c r="C412">
        <v>6</v>
      </c>
      <c r="D412" s="37" cm="1">
        <f t="array" ref="D412:D418">TRANSPOSE(Calendar!B179:H179)</f>
        <v>46194</v>
      </c>
      <c r="E412" cm="1">
        <f t="array" ref="E412:E418">TRANSPOSE(Calendar!B180:H180)</f>
        <v>0</v>
      </c>
      <c r="F412">
        <f t="shared" si="36"/>
        <v>0</v>
      </c>
      <c r="K412" s="37"/>
      <c r="L412"/>
    </row>
    <row r="413" spans="3:12" x14ac:dyDescent="0.3">
      <c r="C413">
        <v>6</v>
      </c>
      <c r="D413" s="37">
        <v>46195</v>
      </c>
      <c r="E413">
        <v>0</v>
      </c>
      <c r="F413">
        <f t="shared" si="36"/>
        <v>0</v>
      </c>
      <c r="K413" s="37"/>
      <c r="L413"/>
    </row>
    <row r="414" spans="3:12" x14ac:dyDescent="0.3">
      <c r="C414">
        <v>6</v>
      </c>
      <c r="D414" s="37">
        <v>46196</v>
      </c>
      <c r="E414">
        <v>0</v>
      </c>
      <c r="F414">
        <f t="shared" si="36"/>
        <v>0</v>
      </c>
      <c r="K414" s="37"/>
      <c r="L414"/>
    </row>
    <row r="415" spans="3:12" x14ac:dyDescent="0.3">
      <c r="C415">
        <v>6</v>
      </c>
      <c r="D415" s="37">
        <v>46197</v>
      </c>
      <c r="E415">
        <v>0</v>
      </c>
      <c r="F415">
        <f t="shared" si="36"/>
        <v>0</v>
      </c>
      <c r="K415" s="37"/>
      <c r="L415"/>
    </row>
    <row r="416" spans="3:12" x14ac:dyDescent="0.3">
      <c r="C416">
        <v>6</v>
      </c>
      <c r="D416" s="37">
        <v>46198</v>
      </c>
      <c r="E416">
        <v>0</v>
      </c>
      <c r="F416">
        <f t="shared" si="36"/>
        <v>0</v>
      </c>
      <c r="K416" s="37"/>
      <c r="L416"/>
    </row>
    <row r="417" spans="3:12" x14ac:dyDescent="0.3">
      <c r="C417">
        <v>6</v>
      </c>
      <c r="D417" s="37">
        <v>46199</v>
      </c>
      <c r="E417">
        <v>0</v>
      </c>
      <c r="F417">
        <f t="shared" si="36"/>
        <v>0</v>
      </c>
      <c r="K417" s="37"/>
      <c r="L417"/>
    </row>
    <row r="418" spans="3:12" x14ac:dyDescent="0.3">
      <c r="C418">
        <v>6</v>
      </c>
      <c r="D418" s="37">
        <v>46200</v>
      </c>
      <c r="E418">
        <v>0</v>
      </c>
      <c r="F418">
        <f t="shared" si="36"/>
        <v>0</v>
      </c>
      <c r="K418" s="37"/>
      <c r="L418"/>
    </row>
    <row r="419" spans="3:12" x14ac:dyDescent="0.3">
      <c r="C419">
        <v>6</v>
      </c>
      <c r="D419" s="37" cm="1">
        <f t="array" ref="D419:D425">TRANSPOSE(Calendar!B181:H181)</f>
        <v>46201</v>
      </c>
      <c r="E419" cm="1">
        <f t="array" ref="E419:E425">TRANSPOSE(Calendar!B182:H182)</f>
        <v>0</v>
      </c>
      <c r="F419">
        <f t="shared" si="36"/>
        <v>0</v>
      </c>
      <c r="K419" s="37"/>
      <c r="L419"/>
    </row>
    <row r="420" spans="3:12" x14ac:dyDescent="0.3">
      <c r="C420">
        <v>6</v>
      </c>
      <c r="D420" s="37">
        <v>46202</v>
      </c>
      <c r="E420">
        <v>0</v>
      </c>
      <c r="F420">
        <f t="shared" si="36"/>
        <v>0</v>
      </c>
      <c r="K420" s="37"/>
      <c r="L420"/>
    </row>
    <row r="421" spans="3:12" x14ac:dyDescent="0.3">
      <c r="C421">
        <v>6</v>
      </c>
      <c r="D421" s="37">
        <v>46203</v>
      </c>
      <c r="E421">
        <v>0</v>
      </c>
      <c r="F421">
        <f t="shared" si="36"/>
        <v>0</v>
      </c>
      <c r="K421" s="37"/>
      <c r="L421"/>
    </row>
    <row r="422" spans="3:12" x14ac:dyDescent="0.3">
      <c r="C422">
        <v>6</v>
      </c>
      <c r="D422" s="37">
        <v>46204</v>
      </c>
      <c r="E422">
        <v>0</v>
      </c>
      <c r="F422">
        <f t="shared" si="36"/>
        <v>0</v>
      </c>
      <c r="K422" s="37"/>
      <c r="L422"/>
    </row>
    <row r="423" spans="3:12" x14ac:dyDescent="0.3">
      <c r="C423">
        <v>6</v>
      </c>
      <c r="D423" s="37">
        <v>46205</v>
      </c>
      <c r="E423">
        <v>0</v>
      </c>
      <c r="F423">
        <f t="shared" si="36"/>
        <v>0</v>
      </c>
      <c r="K423" s="37"/>
      <c r="L423"/>
    </row>
    <row r="424" spans="3:12" x14ac:dyDescent="0.3">
      <c r="C424">
        <v>6</v>
      </c>
      <c r="D424" s="37">
        <v>46206</v>
      </c>
      <c r="E424">
        <v>0</v>
      </c>
      <c r="F424">
        <f t="shared" si="36"/>
        <v>0</v>
      </c>
      <c r="K424" s="37"/>
      <c r="L424"/>
    </row>
    <row r="425" spans="3:12" x14ac:dyDescent="0.3">
      <c r="C425">
        <v>6</v>
      </c>
      <c r="D425" s="37">
        <v>46207</v>
      </c>
      <c r="E425">
        <v>0</v>
      </c>
      <c r="F425">
        <f t="shared" si="36"/>
        <v>0</v>
      </c>
      <c r="K425" s="37"/>
      <c r="L425"/>
    </row>
    <row r="426" spans="3:12" x14ac:dyDescent="0.3">
      <c r="C426">
        <v>6</v>
      </c>
      <c r="D426" s="37" cm="1">
        <f t="array" ref="D426:D427">TRANSPOSE(Calendar!B183:C183)</f>
        <v>46208</v>
      </c>
      <c r="E426" cm="1">
        <f t="array" ref="E426">TRANSPOSE(Calendar!B184:B184)</f>
        <v>0</v>
      </c>
      <c r="F426">
        <f t="shared" si="36"/>
        <v>0</v>
      </c>
      <c r="K426" s="37"/>
      <c r="L426"/>
    </row>
    <row r="427" spans="3:12" x14ac:dyDescent="0.3">
      <c r="C427">
        <v>6</v>
      </c>
      <c r="D427" s="37">
        <v>46209</v>
      </c>
      <c r="E427"/>
      <c r="F427">
        <f t="shared" si="36"/>
        <v>0</v>
      </c>
      <c r="K427" s="37"/>
      <c r="L427"/>
    </row>
    <row r="428" spans="3:12" x14ac:dyDescent="0.3">
      <c r="C428">
        <v>7</v>
      </c>
      <c r="D428" s="37" cm="1">
        <f t="array" ref="D428:D434">TRANSPOSE(Calendar!B189:H189)</f>
        <v>46201</v>
      </c>
      <c r="E428" cm="1">
        <f t="array" ref="E428:E434">TRANSPOSE(Calendar!B190:H190)</f>
        <v>0</v>
      </c>
      <c r="F428">
        <f t="shared" si="36"/>
        <v>0</v>
      </c>
      <c r="K428" s="37"/>
      <c r="L428"/>
    </row>
    <row r="429" spans="3:12" x14ac:dyDescent="0.3">
      <c r="C429">
        <v>7</v>
      </c>
      <c r="D429" s="37">
        <v>46202</v>
      </c>
      <c r="E429">
        <v>0</v>
      </c>
      <c r="F429">
        <f t="shared" si="36"/>
        <v>0</v>
      </c>
      <c r="K429" s="37"/>
      <c r="L429"/>
    </row>
    <row r="430" spans="3:12" x14ac:dyDescent="0.3">
      <c r="C430">
        <v>7</v>
      </c>
      <c r="D430" s="37">
        <v>46203</v>
      </c>
      <c r="E430">
        <v>0</v>
      </c>
      <c r="F430">
        <f t="shared" si="36"/>
        <v>0</v>
      </c>
      <c r="K430" s="37"/>
      <c r="L430"/>
    </row>
    <row r="431" spans="3:12" x14ac:dyDescent="0.3">
      <c r="C431">
        <v>7</v>
      </c>
      <c r="D431" s="37">
        <v>46204</v>
      </c>
      <c r="E431">
        <v>0</v>
      </c>
      <c r="F431">
        <f t="shared" si="36"/>
        <v>0</v>
      </c>
      <c r="K431" s="37"/>
      <c r="L431"/>
    </row>
    <row r="432" spans="3:12" x14ac:dyDescent="0.3">
      <c r="C432">
        <v>7</v>
      </c>
      <c r="D432" s="37">
        <v>46205</v>
      </c>
      <c r="E432">
        <v>0</v>
      </c>
      <c r="F432">
        <f t="shared" si="36"/>
        <v>0</v>
      </c>
      <c r="K432" s="37"/>
      <c r="L432"/>
    </row>
    <row r="433" spans="3:12" x14ac:dyDescent="0.3">
      <c r="C433">
        <v>7</v>
      </c>
      <c r="D433" s="37">
        <v>46206</v>
      </c>
      <c r="E433">
        <v>0</v>
      </c>
      <c r="F433">
        <f t="shared" si="36"/>
        <v>0</v>
      </c>
      <c r="K433" s="37"/>
      <c r="L433"/>
    </row>
    <row r="434" spans="3:12" x14ac:dyDescent="0.3">
      <c r="C434">
        <v>7</v>
      </c>
      <c r="D434" s="37">
        <v>46207</v>
      </c>
      <c r="E434">
        <v>0</v>
      </c>
      <c r="F434">
        <f t="shared" si="36"/>
        <v>0</v>
      </c>
      <c r="K434" s="37"/>
      <c r="L434"/>
    </row>
    <row r="435" spans="3:12" x14ac:dyDescent="0.3">
      <c r="C435">
        <v>7</v>
      </c>
      <c r="D435" s="37" cm="1">
        <f t="array" ref="D435:D441">TRANSPOSE(Calendar!B191:H191)</f>
        <v>46208</v>
      </c>
      <c r="E435" cm="1">
        <f t="array" ref="E435:E441">TRANSPOSE(Calendar!B192:H192)</f>
        <v>0</v>
      </c>
      <c r="F435">
        <f t="shared" si="36"/>
        <v>0</v>
      </c>
      <c r="K435" s="37"/>
      <c r="L435"/>
    </row>
    <row r="436" spans="3:12" x14ac:dyDescent="0.3">
      <c r="C436">
        <v>7</v>
      </c>
      <c r="D436" s="37">
        <v>46209</v>
      </c>
      <c r="E436">
        <v>0</v>
      </c>
      <c r="F436">
        <f t="shared" si="36"/>
        <v>0</v>
      </c>
      <c r="K436" s="37"/>
      <c r="L436"/>
    </row>
    <row r="437" spans="3:12" x14ac:dyDescent="0.3">
      <c r="C437">
        <v>7</v>
      </c>
      <c r="D437" s="37">
        <v>46210</v>
      </c>
      <c r="E437">
        <v>0</v>
      </c>
      <c r="F437">
        <f t="shared" si="36"/>
        <v>0</v>
      </c>
      <c r="K437" s="37"/>
      <c r="L437"/>
    </row>
    <row r="438" spans="3:12" x14ac:dyDescent="0.3">
      <c r="C438">
        <v>7</v>
      </c>
      <c r="D438" s="37">
        <v>46211</v>
      </c>
      <c r="E438">
        <v>0</v>
      </c>
      <c r="F438">
        <f t="shared" si="36"/>
        <v>0</v>
      </c>
      <c r="K438" s="37"/>
      <c r="L438"/>
    </row>
    <row r="439" spans="3:12" x14ac:dyDescent="0.3">
      <c r="C439">
        <v>7</v>
      </c>
      <c r="D439" s="37">
        <v>46212</v>
      </c>
      <c r="E439">
        <v>0</v>
      </c>
      <c r="F439">
        <f t="shared" si="36"/>
        <v>0</v>
      </c>
      <c r="K439" s="37"/>
      <c r="L439"/>
    </row>
    <row r="440" spans="3:12" x14ac:dyDescent="0.3">
      <c r="C440">
        <v>7</v>
      </c>
      <c r="D440" s="37">
        <v>46213</v>
      </c>
      <c r="E440">
        <v>0</v>
      </c>
      <c r="F440">
        <f t="shared" si="36"/>
        <v>0</v>
      </c>
      <c r="K440" s="37"/>
      <c r="L440"/>
    </row>
    <row r="441" spans="3:12" x14ac:dyDescent="0.3">
      <c r="C441">
        <v>7</v>
      </c>
      <c r="D441" s="37">
        <v>46214</v>
      </c>
      <c r="E441">
        <v>0</v>
      </c>
      <c r="F441">
        <f t="shared" si="36"/>
        <v>0</v>
      </c>
      <c r="K441" s="37"/>
      <c r="L441"/>
    </row>
    <row r="442" spans="3:12" x14ac:dyDescent="0.3">
      <c r="C442">
        <v>7</v>
      </c>
      <c r="D442" s="37" cm="1">
        <f t="array" ref="D442:D448">TRANSPOSE(Calendar!B193:H193)</f>
        <v>46215</v>
      </c>
      <c r="E442" cm="1">
        <f t="array" ref="E442:E448">TRANSPOSE(Calendar!B194:H194)</f>
        <v>0</v>
      </c>
      <c r="F442">
        <f t="shared" si="36"/>
        <v>0</v>
      </c>
      <c r="K442" s="37"/>
      <c r="L442"/>
    </row>
    <row r="443" spans="3:12" x14ac:dyDescent="0.3">
      <c r="C443">
        <v>7</v>
      </c>
      <c r="D443" s="37">
        <v>46216</v>
      </c>
      <c r="E443">
        <v>0</v>
      </c>
      <c r="F443">
        <f t="shared" si="36"/>
        <v>0</v>
      </c>
      <c r="K443" s="37"/>
      <c r="L443"/>
    </row>
    <row r="444" spans="3:12" x14ac:dyDescent="0.3">
      <c r="C444">
        <v>7</v>
      </c>
      <c r="D444" s="37">
        <v>46217</v>
      </c>
      <c r="E444">
        <v>0</v>
      </c>
      <c r="F444">
        <f t="shared" si="36"/>
        <v>0</v>
      </c>
      <c r="K444" s="37"/>
      <c r="L444"/>
    </row>
    <row r="445" spans="3:12" x14ac:dyDescent="0.3">
      <c r="C445">
        <v>7</v>
      </c>
      <c r="D445" s="37">
        <v>46218</v>
      </c>
      <c r="E445">
        <v>0</v>
      </c>
      <c r="F445">
        <f t="shared" si="36"/>
        <v>0</v>
      </c>
      <c r="K445" s="37"/>
      <c r="L445"/>
    </row>
    <row r="446" spans="3:12" x14ac:dyDescent="0.3">
      <c r="C446">
        <v>7</v>
      </c>
      <c r="D446" s="37">
        <v>46219</v>
      </c>
      <c r="E446">
        <v>0</v>
      </c>
      <c r="F446">
        <f t="shared" si="36"/>
        <v>0</v>
      </c>
      <c r="K446" s="37"/>
      <c r="L446"/>
    </row>
    <row r="447" spans="3:12" x14ac:dyDescent="0.3">
      <c r="C447">
        <v>7</v>
      </c>
      <c r="D447" s="37">
        <v>46220</v>
      </c>
      <c r="E447">
        <v>0</v>
      </c>
      <c r="F447">
        <f t="shared" si="36"/>
        <v>0</v>
      </c>
      <c r="K447" s="37"/>
      <c r="L447"/>
    </row>
    <row r="448" spans="3:12" x14ac:dyDescent="0.3">
      <c r="C448">
        <v>7</v>
      </c>
      <c r="D448" s="37">
        <v>46221</v>
      </c>
      <c r="E448">
        <v>0</v>
      </c>
      <c r="F448">
        <f t="shared" si="36"/>
        <v>0</v>
      </c>
      <c r="K448" s="37"/>
      <c r="L448"/>
    </row>
    <row r="449" spans="3:12" x14ac:dyDescent="0.3">
      <c r="C449">
        <v>7</v>
      </c>
      <c r="D449" s="37" cm="1">
        <f t="array" ref="D449:D455">TRANSPOSE(Calendar!B195:H195)</f>
        <v>46222</v>
      </c>
      <c r="E449" cm="1">
        <f t="array" ref="E449:E455">TRANSPOSE(Calendar!B196:H196)</f>
        <v>0</v>
      </c>
      <c r="F449">
        <f t="shared" si="36"/>
        <v>0</v>
      </c>
      <c r="K449" s="37"/>
      <c r="L449"/>
    </row>
    <row r="450" spans="3:12" x14ac:dyDescent="0.3">
      <c r="C450">
        <v>7</v>
      </c>
      <c r="D450" s="37">
        <v>46223</v>
      </c>
      <c r="E450">
        <v>0</v>
      </c>
      <c r="F450">
        <f t="shared" si="36"/>
        <v>0</v>
      </c>
      <c r="K450" s="37"/>
      <c r="L450"/>
    </row>
    <row r="451" spans="3:12" x14ac:dyDescent="0.3">
      <c r="C451">
        <v>7</v>
      </c>
      <c r="D451" s="37">
        <v>46224</v>
      </c>
      <c r="E451">
        <v>0</v>
      </c>
      <c r="F451">
        <f t="shared" si="36"/>
        <v>0</v>
      </c>
      <c r="K451" s="37"/>
      <c r="L451"/>
    </row>
    <row r="452" spans="3:12" x14ac:dyDescent="0.3">
      <c r="C452">
        <v>7</v>
      </c>
      <c r="D452" s="37">
        <v>46225</v>
      </c>
      <c r="E452">
        <v>0</v>
      </c>
      <c r="F452">
        <f t="shared" si="36"/>
        <v>0</v>
      </c>
      <c r="K452" s="37"/>
      <c r="L452"/>
    </row>
    <row r="453" spans="3:12" x14ac:dyDescent="0.3">
      <c r="C453">
        <v>7</v>
      </c>
      <c r="D453" s="37">
        <v>46226</v>
      </c>
      <c r="E453">
        <v>0</v>
      </c>
      <c r="F453">
        <f t="shared" si="36"/>
        <v>0</v>
      </c>
      <c r="K453" s="37"/>
      <c r="L453"/>
    </row>
    <row r="454" spans="3:12" x14ac:dyDescent="0.3">
      <c r="C454">
        <v>7</v>
      </c>
      <c r="D454" s="37">
        <v>46227</v>
      </c>
      <c r="E454">
        <v>0</v>
      </c>
      <c r="F454">
        <f t="shared" si="36"/>
        <v>0</v>
      </c>
      <c r="K454" s="37"/>
      <c r="L454"/>
    </row>
    <row r="455" spans="3:12" x14ac:dyDescent="0.3">
      <c r="C455">
        <v>7</v>
      </c>
      <c r="D455" s="37">
        <v>46228</v>
      </c>
      <c r="E455">
        <v>0</v>
      </c>
      <c r="F455">
        <f t="shared" si="36"/>
        <v>0</v>
      </c>
      <c r="K455" s="37"/>
      <c r="L455"/>
    </row>
    <row r="456" spans="3:12" x14ac:dyDescent="0.3">
      <c r="C456">
        <v>7</v>
      </c>
      <c r="D456" s="37" cm="1">
        <f t="array" ref="D456:D462">TRANSPOSE(Calendar!B197:H197)</f>
        <v>46229</v>
      </c>
      <c r="E456" cm="1">
        <f t="array" ref="E456:E462">TRANSPOSE(Calendar!B198:H198)</f>
        <v>0</v>
      </c>
      <c r="F456">
        <f t="shared" si="36"/>
        <v>0</v>
      </c>
      <c r="K456" s="37"/>
      <c r="L456"/>
    </row>
    <row r="457" spans="3:12" x14ac:dyDescent="0.3">
      <c r="C457">
        <v>7</v>
      </c>
      <c r="D457" s="37">
        <v>46230</v>
      </c>
      <c r="E457">
        <v>0</v>
      </c>
      <c r="F457">
        <f t="shared" si="36"/>
        <v>0</v>
      </c>
      <c r="K457" s="37"/>
      <c r="L457"/>
    </row>
    <row r="458" spans="3:12" x14ac:dyDescent="0.3">
      <c r="C458">
        <v>7</v>
      </c>
      <c r="D458" s="37">
        <v>46231</v>
      </c>
      <c r="E458">
        <v>0</v>
      </c>
      <c r="F458">
        <f t="shared" si="36"/>
        <v>0</v>
      </c>
      <c r="K458" s="37"/>
      <c r="L458"/>
    </row>
    <row r="459" spans="3:12" x14ac:dyDescent="0.3">
      <c r="C459">
        <v>7</v>
      </c>
      <c r="D459" s="37">
        <v>46232</v>
      </c>
      <c r="E459">
        <v>0</v>
      </c>
      <c r="F459">
        <f t="shared" si="36"/>
        <v>0</v>
      </c>
      <c r="K459" s="37"/>
      <c r="L459"/>
    </row>
    <row r="460" spans="3:12" x14ac:dyDescent="0.3">
      <c r="C460">
        <v>7</v>
      </c>
      <c r="D460" s="37">
        <v>46233</v>
      </c>
      <c r="E460">
        <v>0</v>
      </c>
      <c r="F460">
        <f t="shared" si="36"/>
        <v>0</v>
      </c>
      <c r="K460" s="37"/>
      <c r="L460"/>
    </row>
    <row r="461" spans="3:12" x14ac:dyDescent="0.3">
      <c r="C461">
        <v>7</v>
      </c>
      <c r="D461" s="37">
        <v>46234</v>
      </c>
      <c r="E461">
        <v>0</v>
      </c>
      <c r="F461">
        <f t="shared" si="36"/>
        <v>0</v>
      </c>
      <c r="K461" s="37"/>
      <c r="L461"/>
    </row>
    <row r="462" spans="3:12" x14ac:dyDescent="0.3">
      <c r="C462">
        <v>7</v>
      </c>
      <c r="D462" s="37">
        <v>46235</v>
      </c>
      <c r="E462">
        <v>0</v>
      </c>
      <c r="F462">
        <f t="shared" si="36"/>
        <v>0</v>
      </c>
      <c r="K462" s="37"/>
      <c r="L462"/>
    </row>
    <row r="463" spans="3:12" x14ac:dyDescent="0.3">
      <c r="C463">
        <v>7</v>
      </c>
      <c r="D463" s="37" cm="1">
        <f t="array" ref="D463:D464">TRANSPOSE(Calendar!B199:C199)</f>
        <v>46236</v>
      </c>
      <c r="E463" cm="1">
        <f t="array" ref="E463:E464">TRANSPOSE(Calendar!B200:C200)</f>
        <v>0</v>
      </c>
      <c r="F463">
        <f t="shared" si="36"/>
        <v>0</v>
      </c>
      <c r="K463" s="37"/>
      <c r="L463"/>
    </row>
    <row r="464" spans="3:12" x14ac:dyDescent="0.3">
      <c r="C464">
        <v>7</v>
      </c>
      <c r="D464" s="37">
        <v>46237</v>
      </c>
      <c r="E464">
        <v>0</v>
      </c>
      <c r="F464">
        <f t="shared" si="36"/>
        <v>0</v>
      </c>
      <c r="K464" s="37"/>
      <c r="L464"/>
    </row>
    <row r="465" spans="5:5" x14ac:dyDescent="0.3">
      <c r="E465"/>
    </row>
    <row r="466" spans="5:5" x14ac:dyDescent="0.3">
      <c r="E466"/>
    </row>
    <row r="467" spans="5:5" x14ac:dyDescent="0.3">
      <c r="E467"/>
    </row>
    <row r="468" spans="5:5" x14ac:dyDescent="0.3">
      <c r="E468"/>
    </row>
    <row r="469" spans="5:5" x14ac:dyDescent="0.3">
      <c r="E469"/>
    </row>
    <row r="470" spans="5:5" x14ac:dyDescent="0.3">
      <c r="E470"/>
    </row>
    <row r="471" spans="5:5" x14ac:dyDescent="0.3">
      <c r="E471"/>
    </row>
    <row r="472" spans="5:5" x14ac:dyDescent="0.3">
      <c r="E472"/>
    </row>
    <row r="473" spans="5:5" x14ac:dyDescent="0.3">
      <c r="E473"/>
    </row>
    <row r="474" spans="5:5" x14ac:dyDescent="0.3">
      <c r="E474"/>
    </row>
    <row r="475" spans="5:5" x14ac:dyDescent="0.3">
      <c r="E475"/>
    </row>
    <row r="476" spans="5:5" x14ac:dyDescent="0.3">
      <c r="E476"/>
    </row>
    <row r="477" spans="5:5" x14ac:dyDescent="0.3">
      <c r="E477"/>
    </row>
    <row r="478" spans="5:5" x14ac:dyDescent="0.3">
      <c r="E478"/>
    </row>
    <row r="479" spans="5:5" x14ac:dyDescent="0.3">
      <c r="E479"/>
    </row>
    <row r="480" spans="5:5" x14ac:dyDescent="0.3">
      <c r="E480"/>
    </row>
    <row r="481" spans="5:5" x14ac:dyDescent="0.3">
      <c r="E481"/>
    </row>
    <row r="482" spans="5:5" x14ac:dyDescent="0.3">
      <c r="E482"/>
    </row>
    <row r="483" spans="5:5" x14ac:dyDescent="0.3">
      <c r="E483"/>
    </row>
    <row r="484" spans="5:5" x14ac:dyDescent="0.3">
      <c r="E484"/>
    </row>
    <row r="485" spans="5:5" x14ac:dyDescent="0.3">
      <c r="E485"/>
    </row>
    <row r="486" spans="5:5" x14ac:dyDescent="0.3">
      <c r="E486"/>
    </row>
    <row r="487" spans="5:5" x14ac:dyDescent="0.3">
      <c r="E487"/>
    </row>
    <row r="488" spans="5:5" x14ac:dyDescent="0.3">
      <c r="E488"/>
    </row>
    <row r="489" spans="5:5" x14ac:dyDescent="0.3">
      <c r="E489"/>
    </row>
    <row r="490" spans="5:5" x14ac:dyDescent="0.3">
      <c r="E490"/>
    </row>
    <row r="491" spans="5:5" x14ac:dyDescent="0.3">
      <c r="E491"/>
    </row>
    <row r="492" spans="5:5" x14ac:dyDescent="0.3">
      <c r="E492"/>
    </row>
    <row r="493" spans="5:5" x14ac:dyDescent="0.3">
      <c r="E493"/>
    </row>
    <row r="494" spans="5:5" x14ac:dyDescent="0.3">
      <c r="E494"/>
    </row>
    <row r="495" spans="5:5" x14ac:dyDescent="0.3">
      <c r="E495"/>
    </row>
    <row r="496" spans="5:5" x14ac:dyDescent="0.3">
      <c r="E496"/>
    </row>
    <row r="497" spans="5:5" x14ac:dyDescent="0.3">
      <c r="E497"/>
    </row>
    <row r="498" spans="5:5" x14ac:dyDescent="0.3">
      <c r="E498"/>
    </row>
    <row r="499" spans="5:5" x14ac:dyDescent="0.3">
      <c r="E499"/>
    </row>
    <row r="500" spans="5:5" x14ac:dyDescent="0.3">
      <c r="E500"/>
    </row>
    <row r="501" spans="5:5" x14ac:dyDescent="0.3">
      <c r="E501"/>
    </row>
    <row r="502" spans="5:5" x14ac:dyDescent="0.3">
      <c r="E502"/>
    </row>
    <row r="503" spans="5:5" x14ac:dyDescent="0.3">
      <c r="E503"/>
    </row>
    <row r="504" spans="5:5" x14ac:dyDescent="0.3">
      <c r="E504"/>
    </row>
    <row r="505" spans="5:5" x14ac:dyDescent="0.3">
      <c r="E505"/>
    </row>
    <row r="506" spans="5:5" x14ac:dyDescent="0.3">
      <c r="E506"/>
    </row>
    <row r="507" spans="5:5" x14ac:dyDescent="0.3">
      <c r="E507"/>
    </row>
    <row r="508" spans="5:5" x14ac:dyDescent="0.3">
      <c r="E508"/>
    </row>
    <row r="509" spans="5:5" x14ac:dyDescent="0.3">
      <c r="E509"/>
    </row>
    <row r="510" spans="5:5" x14ac:dyDescent="0.3">
      <c r="E510"/>
    </row>
    <row r="511" spans="5:5" x14ac:dyDescent="0.3">
      <c r="E511"/>
    </row>
    <row r="512" spans="5:5" x14ac:dyDescent="0.3">
      <c r="E512"/>
    </row>
    <row r="513" spans="5:5" x14ac:dyDescent="0.3">
      <c r="E513"/>
    </row>
    <row r="514" spans="5:5" x14ac:dyDescent="0.3">
      <c r="E514"/>
    </row>
    <row r="515" spans="5:5" x14ac:dyDescent="0.3">
      <c r="E515"/>
    </row>
    <row r="516" spans="5:5" x14ac:dyDescent="0.3">
      <c r="E516"/>
    </row>
    <row r="517" spans="5:5" x14ac:dyDescent="0.3">
      <c r="E517"/>
    </row>
    <row r="518" spans="5:5" x14ac:dyDescent="0.3">
      <c r="E518"/>
    </row>
    <row r="519" spans="5:5" x14ac:dyDescent="0.3">
      <c r="E519"/>
    </row>
    <row r="520" spans="5:5" x14ac:dyDescent="0.3">
      <c r="E520"/>
    </row>
    <row r="521" spans="5:5" x14ac:dyDescent="0.3">
      <c r="E521"/>
    </row>
    <row r="522" spans="5:5" x14ac:dyDescent="0.3">
      <c r="E522"/>
    </row>
    <row r="523" spans="5:5" x14ac:dyDescent="0.3">
      <c r="E523"/>
    </row>
    <row r="524" spans="5:5" x14ac:dyDescent="0.3">
      <c r="E524"/>
    </row>
    <row r="525" spans="5:5" x14ac:dyDescent="0.3">
      <c r="E525"/>
    </row>
    <row r="526" spans="5:5" x14ac:dyDescent="0.3">
      <c r="E526"/>
    </row>
    <row r="527" spans="5:5" x14ac:dyDescent="0.3">
      <c r="E527"/>
    </row>
    <row r="528" spans="5:5" x14ac:dyDescent="0.3">
      <c r="E528"/>
    </row>
    <row r="529" spans="5:5" x14ac:dyDescent="0.3">
      <c r="E529"/>
    </row>
    <row r="530" spans="5:5" x14ac:dyDescent="0.3">
      <c r="E530"/>
    </row>
    <row r="531" spans="5:5" x14ac:dyDescent="0.3">
      <c r="E531"/>
    </row>
    <row r="532" spans="5:5" x14ac:dyDescent="0.3">
      <c r="E532"/>
    </row>
    <row r="533" spans="5:5" x14ac:dyDescent="0.3">
      <c r="E533"/>
    </row>
    <row r="534" spans="5:5" x14ac:dyDescent="0.3">
      <c r="E534"/>
    </row>
    <row r="535" spans="5:5" x14ac:dyDescent="0.3">
      <c r="E535"/>
    </row>
    <row r="536" spans="5:5" x14ac:dyDescent="0.3">
      <c r="E536"/>
    </row>
    <row r="537" spans="5:5" x14ac:dyDescent="0.3">
      <c r="E537"/>
    </row>
    <row r="538" spans="5:5" x14ac:dyDescent="0.3">
      <c r="E538"/>
    </row>
    <row r="539" spans="5:5" x14ac:dyDescent="0.3">
      <c r="E539"/>
    </row>
    <row r="540" spans="5:5" x14ac:dyDescent="0.3">
      <c r="E540"/>
    </row>
    <row r="541" spans="5:5" x14ac:dyDescent="0.3">
      <c r="E541"/>
    </row>
    <row r="542" spans="5:5" x14ac:dyDescent="0.3">
      <c r="E542"/>
    </row>
    <row r="543" spans="5:5" x14ac:dyDescent="0.3">
      <c r="E543"/>
    </row>
    <row r="544" spans="5:5" x14ac:dyDescent="0.3">
      <c r="E544"/>
    </row>
    <row r="545" spans="5:5" x14ac:dyDescent="0.3">
      <c r="E545"/>
    </row>
    <row r="546" spans="5:5" x14ac:dyDescent="0.3">
      <c r="E546"/>
    </row>
    <row r="547" spans="5:5" x14ac:dyDescent="0.3">
      <c r="E547"/>
    </row>
    <row r="548" spans="5:5" x14ac:dyDescent="0.3">
      <c r="E548"/>
    </row>
    <row r="549" spans="5:5" x14ac:dyDescent="0.3">
      <c r="E549"/>
    </row>
    <row r="550" spans="5:5" x14ac:dyDescent="0.3">
      <c r="E550"/>
    </row>
    <row r="551" spans="5:5" x14ac:dyDescent="0.3">
      <c r="E551"/>
    </row>
    <row r="552" spans="5:5" x14ac:dyDescent="0.3">
      <c r="E552"/>
    </row>
    <row r="553" spans="5:5" x14ac:dyDescent="0.3">
      <c r="E553"/>
    </row>
    <row r="554" spans="5:5" x14ac:dyDescent="0.3">
      <c r="E554"/>
    </row>
    <row r="555" spans="5:5" x14ac:dyDescent="0.3">
      <c r="E555"/>
    </row>
    <row r="556" spans="5:5" x14ac:dyDescent="0.3">
      <c r="E556"/>
    </row>
    <row r="557" spans="5:5" x14ac:dyDescent="0.3">
      <c r="E557"/>
    </row>
    <row r="558" spans="5:5" x14ac:dyDescent="0.3">
      <c r="E558"/>
    </row>
    <row r="559" spans="5:5" x14ac:dyDescent="0.3">
      <c r="E559"/>
    </row>
    <row r="560" spans="5:5" x14ac:dyDescent="0.3">
      <c r="E560"/>
    </row>
    <row r="561" spans="5:5" x14ac:dyDescent="0.3">
      <c r="E561"/>
    </row>
    <row r="562" spans="5:5" x14ac:dyDescent="0.3">
      <c r="E562"/>
    </row>
    <row r="563" spans="5:5" x14ac:dyDescent="0.3">
      <c r="E563"/>
    </row>
    <row r="564" spans="5:5" x14ac:dyDescent="0.3">
      <c r="E564"/>
    </row>
    <row r="565" spans="5:5" x14ac:dyDescent="0.3">
      <c r="E565"/>
    </row>
    <row r="566" spans="5:5" x14ac:dyDescent="0.3">
      <c r="E566"/>
    </row>
    <row r="567" spans="5:5" x14ac:dyDescent="0.3">
      <c r="E567"/>
    </row>
    <row r="568" spans="5:5" x14ac:dyDescent="0.3">
      <c r="E568"/>
    </row>
    <row r="569" spans="5:5" x14ac:dyDescent="0.3">
      <c r="E569"/>
    </row>
    <row r="570" spans="5:5" x14ac:dyDescent="0.3">
      <c r="E570"/>
    </row>
    <row r="571" spans="5:5" x14ac:dyDescent="0.3">
      <c r="E571"/>
    </row>
    <row r="572" spans="5:5" x14ac:dyDescent="0.3">
      <c r="E572"/>
    </row>
    <row r="573" spans="5:5" x14ac:dyDescent="0.3">
      <c r="E573"/>
    </row>
    <row r="574" spans="5:5" x14ac:dyDescent="0.3">
      <c r="E574"/>
    </row>
    <row r="575" spans="5:5" x14ac:dyDescent="0.3">
      <c r="E575"/>
    </row>
    <row r="576" spans="5:5" x14ac:dyDescent="0.3">
      <c r="E576"/>
    </row>
    <row r="577" spans="5:5" x14ac:dyDescent="0.3">
      <c r="E577"/>
    </row>
    <row r="578" spans="5:5" x14ac:dyDescent="0.3">
      <c r="E578"/>
    </row>
    <row r="579" spans="5:5" x14ac:dyDescent="0.3">
      <c r="E579"/>
    </row>
    <row r="580" spans="5:5" x14ac:dyDescent="0.3">
      <c r="E580"/>
    </row>
    <row r="581" spans="5:5" x14ac:dyDescent="0.3">
      <c r="E581"/>
    </row>
    <row r="582" spans="5:5" x14ac:dyDescent="0.3">
      <c r="E582"/>
    </row>
    <row r="583" spans="5:5" x14ac:dyDescent="0.3">
      <c r="E583"/>
    </row>
    <row r="584" spans="5:5" x14ac:dyDescent="0.3">
      <c r="E584"/>
    </row>
    <row r="585" spans="5:5" x14ac:dyDescent="0.3">
      <c r="E585"/>
    </row>
    <row r="586" spans="5:5" x14ac:dyDescent="0.3">
      <c r="E586"/>
    </row>
    <row r="587" spans="5:5" x14ac:dyDescent="0.3">
      <c r="E587"/>
    </row>
    <row r="588" spans="5:5" x14ac:dyDescent="0.3">
      <c r="E588"/>
    </row>
    <row r="589" spans="5:5" x14ac:dyDescent="0.3">
      <c r="E589"/>
    </row>
    <row r="590" spans="5:5" x14ac:dyDescent="0.3">
      <c r="E590"/>
    </row>
    <row r="591" spans="5:5" x14ac:dyDescent="0.3">
      <c r="E591"/>
    </row>
    <row r="592" spans="5:5" x14ac:dyDescent="0.3">
      <c r="E592"/>
    </row>
    <row r="593" spans="5:5" x14ac:dyDescent="0.3">
      <c r="E593"/>
    </row>
    <row r="594" spans="5:5" x14ac:dyDescent="0.3">
      <c r="E594"/>
    </row>
    <row r="595" spans="5:5" x14ac:dyDescent="0.3">
      <c r="E595"/>
    </row>
    <row r="596" spans="5:5" x14ac:dyDescent="0.3">
      <c r="E596"/>
    </row>
    <row r="597" spans="5:5" x14ac:dyDescent="0.3">
      <c r="E597"/>
    </row>
    <row r="598" spans="5:5" x14ac:dyDescent="0.3">
      <c r="E598"/>
    </row>
    <row r="599" spans="5:5" x14ac:dyDescent="0.3">
      <c r="E599"/>
    </row>
    <row r="600" spans="5:5" x14ac:dyDescent="0.3">
      <c r="E600"/>
    </row>
    <row r="601" spans="5:5" x14ac:dyDescent="0.3">
      <c r="E601"/>
    </row>
    <row r="602" spans="5:5" x14ac:dyDescent="0.3">
      <c r="E602"/>
    </row>
    <row r="603" spans="5:5" x14ac:dyDescent="0.3">
      <c r="E603"/>
    </row>
    <row r="604" spans="5:5" x14ac:dyDescent="0.3">
      <c r="E604"/>
    </row>
    <row r="605" spans="5:5" x14ac:dyDescent="0.3">
      <c r="E605"/>
    </row>
    <row r="606" spans="5:5" x14ac:dyDescent="0.3">
      <c r="E606"/>
    </row>
    <row r="607" spans="5:5" x14ac:dyDescent="0.3">
      <c r="E607"/>
    </row>
    <row r="608" spans="5:5" x14ac:dyDescent="0.3">
      <c r="E608"/>
    </row>
    <row r="609" spans="5:5" x14ac:dyDescent="0.3">
      <c r="E609"/>
    </row>
    <row r="610" spans="5:5" x14ac:dyDescent="0.3">
      <c r="E610"/>
    </row>
    <row r="611" spans="5:5" x14ac:dyDescent="0.3">
      <c r="E611"/>
    </row>
    <row r="612" spans="5:5" x14ac:dyDescent="0.3">
      <c r="E612"/>
    </row>
    <row r="613" spans="5:5" x14ac:dyDescent="0.3">
      <c r="E613"/>
    </row>
    <row r="614" spans="5:5" x14ac:dyDescent="0.3">
      <c r="E614"/>
    </row>
    <row r="615" spans="5:5" x14ac:dyDescent="0.3">
      <c r="E615"/>
    </row>
    <row r="616" spans="5:5" x14ac:dyDescent="0.3">
      <c r="E616"/>
    </row>
    <row r="617" spans="5:5" x14ac:dyDescent="0.3">
      <c r="E617"/>
    </row>
    <row r="618" spans="5:5" x14ac:dyDescent="0.3">
      <c r="E618"/>
    </row>
    <row r="619" spans="5:5" x14ac:dyDescent="0.3">
      <c r="E619"/>
    </row>
    <row r="620" spans="5:5" x14ac:dyDescent="0.3">
      <c r="E620"/>
    </row>
    <row r="621" spans="5:5" x14ac:dyDescent="0.3">
      <c r="E621"/>
    </row>
    <row r="622" spans="5:5" x14ac:dyDescent="0.3">
      <c r="E622"/>
    </row>
    <row r="623" spans="5:5" x14ac:dyDescent="0.3">
      <c r="E623"/>
    </row>
    <row r="624" spans="5:5" x14ac:dyDescent="0.3">
      <c r="E624"/>
    </row>
    <row r="625" spans="5:5" x14ac:dyDescent="0.3">
      <c r="E625"/>
    </row>
    <row r="626" spans="5:5" x14ac:dyDescent="0.3">
      <c r="E626"/>
    </row>
    <row r="627" spans="5:5" x14ac:dyDescent="0.3">
      <c r="E627"/>
    </row>
    <row r="628" spans="5:5" x14ac:dyDescent="0.3">
      <c r="E628"/>
    </row>
    <row r="629" spans="5:5" x14ac:dyDescent="0.3">
      <c r="E629"/>
    </row>
    <row r="630" spans="5:5" x14ac:dyDescent="0.3">
      <c r="E630"/>
    </row>
    <row r="631" spans="5:5" x14ac:dyDescent="0.3">
      <c r="E631"/>
    </row>
    <row r="632" spans="5:5" x14ac:dyDescent="0.3">
      <c r="E632"/>
    </row>
    <row r="633" spans="5:5" x14ac:dyDescent="0.3">
      <c r="E633"/>
    </row>
    <row r="634" spans="5:5" x14ac:dyDescent="0.3">
      <c r="E634"/>
    </row>
    <row r="635" spans="5:5" x14ac:dyDescent="0.3">
      <c r="E635"/>
    </row>
    <row r="636" spans="5:5" x14ac:dyDescent="0.3">
      <c r="E636"/>
    </row>
    <row r="637" spans="5:5" x14ac:dyDescent="0.3">
      <c r="E637"/>
    </row>
    <row r="638" spans="5:5" x14ac:dyDescent="0.3">
      <c r="E638"/>
    </row>
    <row r="639" spans="5:5" x14ac:dyDescent="0.3">
      <c r="E639"/>
    </row>
    <row r="640" spans="5:5" x14ac:dyDescent="0.3">
      <c r="E640"/>
    </row>
    <row r="641" spans="5:5" x14ac:dyDescent="0.3">
      <c r="E641"/>
    </row>
    <row r="642" spans="5:5" x14ac:dyDescent="0.3">
      <c r="E642"/>
    </row>
    <row r="643" spans="5:5" x14ac:dyDescent="0.3">
      <c r="E643"/>
    </row>
    <row r="644" spans="5:5" x14ac:dyDescent="0.3">
      <c r="E644"/>
    </row>
    <row r="645" spans="5:5" x14ac:dyDescent="0.3">
      <c r="E645"/>
    </row>
    <row r="646" spans="5:5" x14ac:dyDescent="0.3">
      <c r="E646"/>
    </row>
    <row r="647" spans="5:5" x14ac:dyDescent="0.3">
      <c r="E647"/>
    </row>
    <row r="648" spans="5:5" x14ac:dyDescent="0.3">
      <c r="E648"/>
    </row>
    <row r="649" spans="5:5" x14ac:dyDescent="0.3">
      <c r="E649"/>
    </row>
    <row r="650" spans="5:5" x14ac:dyDescent="0.3">
      <c r="E650"/>
    </row>
    <row r="651" spans="5:5" x14ac:dyDescent="0.3">
      <c r="E651"/>
    </row>
    <row r="652" spans="5:5" x14ac:dyDescent="0.3">
      <c r="E652"/>
    </row>
    <row r="653" spans="5:5" x14ac:dyDescent="0.3">
      <c r="E653"/>
    </row>
    <row r="654" spans="5:5" x14ac:dyDescent="0.3">
      <c r="E654"/>
    </row>
    <row r="655" spans="5:5" x14ac:dyDescent="0.3">
      <c r="E655"/>
    </row>
    <row r="656" spans="5:5" x14ac:dyDescent="0.3">
      <c r="E656"/>
    </row>
    <row r="657" spans="5:5" x14ac:dyDescent="0.3">
      <c r="E657"/>
    </row>
    <row r="658" spans="5:5" x14ac:dyDescent="0.3">
      <c r="E658"/>
    </row>
    <row r="659" spans="5:5" x14ac:dyDescent="0.3">
      <c r="E659"/>
    </row>
    <row r="660" spans="5:5" x14ac:dyDescent="0.3">
      <c r="E660"/>
    </row>
    <row r="661" spans="5:5" x14ac:dyDescent="0.3">
      <c r="E661"/>
    </row>
    <row r="662" spans="5:5" x14ac:dyDescent="0.3">
      <c r="E662"/>
    </row>
    <row r="663" spans="5:5" x14ac:dyDescent="0.3">
      <c r="E663"/>
    </row>
    <row r="664" spans="5:5" x14ac:dyDescent="0.3">
      <c r="E664"/>
    </row>
    <row r="665" spans="5:5" x14ac:dyDescent="0.3">
      <c r="E665"/>
    </row>
    <row r="666" spans="5:5" x14ac:dyDescent="0.3">
      <c r="E666"/>
    </row>
    <row r="667" spans="5:5" x14ac:dyDescent="0.3">
      <c r="E667"/>
    </row>
    <row r="668" spans="5:5" x14ac:dyDescent="0.3">
      <c r="E668"/>
    </row>
    <row r="669" spans="5:5" x14ac:dyDescent="0.3">
      <c r="E669"/>
    </row>
    <row r="670" spans="5:5" x14ac:dyDescent="0.3">
      <c r="E670"/>
    </row>
    <row r="671" spans="5:5" x14ac:dyDescent="0.3">
      <c r="E671"/>
    </row>
    <row r="672" spans="5:5" x14ac:dyDescent="0.3">
      <c r="E672"/>
    </row>
    <row r="673" spans="5:5" x14ac:dyDescent="0.3">
      <c r="E673"/>
    </row>
    <row r="674" spans="5:5" x14ac:dyDescent="0.3">
      <c r="E674"/>
    </row>
    <row r="675" spans="5:5" x14ac:dyDescent="0.3">
      <c r="E675"/>
    </row>
    <row r="676" spans="5:5" x14ac:dyDescent="0.3">
      <c r="E676"/>
    </row>
    <row r="677" spans="5:5" x14ac:dyDescent="0.3">
      <c r="E677"/>
    </row>
    <row r="678" spans="5:5" x14ac:dyDescent="0.3">
      <c r="E678"/>
    </row>
    <row r="679" spans="5:5" x14ac:dyDescent="0.3">
      <c r="E679"/>
    </row>
    <row r="680" spans="5:5" x14ac:dyDescent="0.3">
      <c r="E680"/>
    </row>
    <row r="681" spans="5:5" x14ac:dyDescent="0.3">
      <c r="E681"/>
    </row>
    <row r="682" spans="5:5" x14ac:dyDescent="0.3">
      <c r="E682"/>
    </row>
    <row r="683" spans="5:5" x14ac:dyDescent="0.3">
      <c r="E683"/>
    </row>
    <row r="684" spans="5:5" x14ac:dyDescent="0.3">
      <c r="E684"/>
    </row>
    <row r="685" spans="5:5" x14ac:dyDescent="0.3">
      <c r="E685"/>
    </row>
    <row r="686" spans="5:5" x14ac:dyDescent="0.3">
      <c r="E686"/>
    </row>
    <row r="687" spans="5:5" x14ac:dyDescent="0.3">
      <c r="E687"/>
    </row>
    <row r="688" spans="5:5" x14ac:dyDescent="0.3">
      <c r="E688"/>
    </row>
    <row r="689" spans="5:5" x14ac:dyDescent="0.3">
      <c r="E689"/>
    </row>
    <row r="690" spans="5:5" x14ac:dyDescent="0.3">
      <c r="E690"/>
    </row>
    <row r="691" spans="5:5" x14ac:dyDescent="0.3">
      <c r="E691"/>
    </row>
    <row r="692" spans="5:5" x14ac:dyDescent="0.3">
      <c r="E692"/>
    </row>
    <row r="693" spans="5:5" x14ac:dyDescent="0.3">
      <c r="E693"/>
    </row>
    <row r="694" spans="5:5" x14ac:dyDescent="0.3">
      <c r="E694"/>
    </row>
    <row r="695" spans="5:5" x14ac:dyDescent="0.3">
      <c r="E695"/>
    </row>
    <row r="696" spans="5:5" x14ac:dyDescent="0.3">
      <c r="E696"/>
    </row>
    <row r="697" spans="5:5" x14ac:dyDescent="0.3">
      <c r="E697"/>
    </row>
    <row r="698" spans="5:5" x14ac:dyDescent="0.3">
      <c r="E698"/>
    </row>
    <row r="699" spans="5:5" x14ac:dyDescent="0.3">
      <c r="E699"/>
    </row>
    <row r="700" spans="5:5" x14ac:dyDescent="0.3">
      <c r="E700"/>
    </row>
    <row r="701" spans="5:5" x14ac:dyDescent="0.3">
      <c r="E701"/>
    </row>
    <row r="702" spans="5:5" x14ac:dyDescent="0.3">
      <c r="E702"/>
    </row>
    <row r="703" spans="5:5" x14ac:dyDescent="0.3">
      <c r="E703"/>
    </row>
    <row r="704" spans="5:5" x14ac:dyDescent="0.3">
      <c r="E704"/>
    </row>
    <row r="705" spans="5:5" x14ac:dyDescent="0.3">
      <c r="E705"/>
    </row>
    <row r="706" spans="5:5" x14ac:dyDescent="0.3">
      <c r="E706"/>
    </row>
    <row r="707" spans="5:5" x14ac:dyDescent="0.3">
      <c r="E707"/>
    </row>
    <row r="708" spans="5:5" x14ac:dyDescent="0.3">
      <c r="E708"/>
    </row>
    <row r="709" spans="5:5" x14ac:dyDescent="0.3">
      <c r="E709"/>
    </row>
    <row r="710" spans="5:5" x14ac:dyDescent="0.3">
      <c r="E710"/>
    </row>
    <row r="711" spans="5:5" x14ac:dyDescent="0.3">
      <c r="E711"/>
    </row>
    <row r="712" spans="5:5" x14ac:dyDescent="0.3">
      <c r="E712"/>
    </row>
    <row r="713" spans="5:5" x14ac:dyDescent="0.3">
      <c r="E713"/>
    </row>
    <row r="714" spans="5:5" x14ac:dyDescent="0.3">
      <c r="E714"/>
    </row>
    <row r="715" spans="5:5" x14ac:dyDescent="0.3">
      <c r="E715"/>
    </row>
    <row r="716" spans="5:5" x14ac:dyDescent="0.3">
      <c r="E716"/>
    </row>
    <row r="717" spans="5:5" x14ac:dyDescent="0.3">
      <c r="E717"/>
    </row>
    <row r="718" spans="5:5" x14ac:dyDescent="0.3">
      <c r="E718"/>
    </row>
    <row r="719" spans="5:5" x14ac:dyDescent="0.3">
      <c r="E719"/>
    </row>
    <row r="720" spans="5:5" x14ac:dyDescent="0.3">
      <c r="E720"/>
    </row>
    <row r="721" spans="5:5" x14ac:dyDescent="0.3">
      <c r="E721"/>
    </row>
    <row r="722" spans="5:5" x14ac:dyDescent="0.3">
      <c r="E722"/>
    </row>
    <row r="723" spans="5:5" x14ac:dyDescent="0.3">
      <c r="E723"/>
    </row>
    <row r="724" spans="5:5" x14ac:dyDescent="0.3">
      <c r="E724"/>
    </row>
    <row r="725" spans="5:5" x14ac:dyDescent="0.3">
      <c r="E725"/>
    </row>
    <row r="726" spans="5:5" x14ac:dyDescent="0.3">
      <c r="E726"/>
    </row>
    <row r="727" spans="5:5" x14ac:dyDescent="0.3">
      <c r="E727"/>
    </row>
    <row r="728" spans="5:5" x14ac:dyDescent="0.3">
      <c r="E728"/>
    </row>
    <row r="729" spans="5:5" x14ac:dyDescent="0.3">
      <c r="E729"/>
    </row>
    <row r="730" spans="5:5" x14ac:dyDescent="0.3">
      <c r="E730"/>
    </row>
    <row r="731" spans="5:5" x14ac:dyDescent="0.3">
      <c r="E731"/>
    </row>
    <row r="732" spans="5:5" x14ac:dyDescent="0.3">
      <c r="E732"/>
    </row>
    <row r="733" spans="5:5" x14ac:dyDescent="0.3">
      <c r="E733"/>
    </row>
    <row r="734" spans="5:5" x14ac:dyDescent="0.3">
      <c r="E734"/>
    </row>
    <row r="735" spans="5:5" x14ac:dyDescent="0.3">
      <c r="E735"/>
    </row>
    <row r="736" spans="5:5" x14ac:dyDescent="0.3">
      <c r="E736"/>
    </row>
    <row r="737" spans="5:5" x14ac:dyDescent="0.3">
      <c r="E737"/>
    </row>
    <row r="738" spans="5:5" x14ac:dyDescent="0.3">
      <c r="E738"/>
    </row>
    <row r="739" spans="5:5" x14ac:dyDescent="0.3">
      <c r="E739"/>
    </row>
    <row r="740" spans="5:5" x14ac:dyDescent="0.3">
      <c r="E740"/>
    </row>
    <row r="741" spans="5:5" x14ac:dyDescent="0.3">
      <c r="E741"/>
    </row>
    <row r="742" spans="5:5" x14ac:dyDescent="0.3">
      <c r="E742"/>
    </row>
    <row r="743" spans="5:5" x14ac:dyDescent="0.3">
      <c r="E743"/>
    </row>
    <row r="744" spans="5:5" x14ac:dyDescent="0.3">
      <c r="E744"/>
    </row>
    <row r="745" spans="5:5" x14ac:dyDescent="0.3">
      <c r="E745"/>
    </row>
    <row r="746" spans="5:5" x14ac:dyDescent="0.3">
      <c r="E746"/>
    </row>
    <row r="747" spans="5:5" x14ac:dyDescent="0.3">
      <c r="E747"/>
    </row>
    <row r="748" spans="5:5" x14ac:dyDescent="0.3">
      <c r="E748"/>
    </row>
    <row r="749" spans="5:5" x14ac:dyDescent="0.3">
      <c r="E749"/>
    </row>
    <row r="750" spans="5:5" x14ac:dyDescent="0.3">
      <c r="E750"/>
    </row>
    <row r="751" spans="5:5" x14ac:dyDescent="0.3">
      <c r="E751"/>
    </row>
    <row r="752" spans="5:5" x14ac:dyDescent="0.3">
      <c r="E752"/>
    </row>
    <row r="753" spans="5:5" x14ac:dyDescent="0.3">
      <c r="E753"/>
    </row>
    <row r="754" spans="5:5" x14ac:dyDescent="0.3">
      <c r="E754"/>
    </row>
    <row r="755" spans="5:5" x14ac:dyDescent="0.3">
      <c r="E755"/>
    </row>
    <row r="756" spans="5:5" x14ac:dyDescent="0.3">
      <c r="E756"/>
    </row>
    <row r="757" spans="5:5" x14ac:dyDescent="0.3">
      <c r="E757"/>
    </row>
    <row r="758" spans="5:5" x14ac:dyDescent="0.3">
      <c r="E758"/>
    </row>
    <row r="759" spans="5:5" x14ac:dyDescent="0.3">
      <c r="E759"/>
    </row>
    <row r="760" spans="5:5" x14ac:dyDescent="0.3">
      <c r="E760"/>
    </row>
    <row r="761" spans="5:5" x14ac:dyDescent="0.3">
      <c r="E761"/>
    </row>
    <row r="762" spans="5:5" x14ac:dyDescent="0.3">
      <c r="E762"/>
    </row>
    <row r="763" spans="5:5" x14ac:dyDescent="0.3">
      <c r="E763"/>
    </row>
    <row r="764" spans="5:5" x14ac:dyDescent="0.3">
      <c r="E764"/>
    </row>
    <row r="765" spans="5:5" x14ac:dyDescent="0.3">
      <c r="E765"/>
    </row>
    <row r="766" spans="5:5" x14ac:dyDescent="0.3">
      <c r="E766"/>
    </row>
    <row r="767" spans="5:5" x14ac:dyDescent="0.3">
      <c r="E767"/>
    </row>
    <row r="768" spans="5:5" x14ac:dyDescent="0.3">
      <c r="E768"/>
    </row>
    <row r="769" spans="5:5" x14ac:dyDescent="0.3">
      <c r="E769"/>
    </row>
    <row r="770" spans="5:5" x14ac:dyDescent="0.3">
      <c r="E770"/>
    </row>
    <row r="771" spans="5:5" x14ac:dyDescent="0.3">
      <c r="E771"/>
    </row>
    <row r="772" spans="5:5" x14ac:dyDescent="0.3">
      <c r="E772"/>
    </row>
    <row r="773" spans="5:5" x14ac:dyDescent="0.3">
      <c r="E773"/>
    </row>
    <row r="774" spans="5:5" x14ac:dyDescent="0.3">
      <c r="E774"/>
    </row>
    <row r="775" spans="5:5" x14ac:dyDescent="0.3">
      <c r="E775"/>
    </row>
    <row r="776" spans="5:5" x14ac:dyDescent="0.3">
      <c r="E776"/>
    </row>
    <row r="777" spans="5:5" x14ac:dyDescent="0.3">
      <c r="E777"/>
    </row>
    <row r="778" spans="5:5" x14ac:dyDescent="0.3">
      <c r="E778"/>
    </row>
    <row r="779" spans="5:5" x14ac:dyDescent="0.3">
      <c r="E779"/>
    </row>
    <row r="780" spans="5:5" x14ac:dyDescent="0.3">
      <c r="E780"/>
    </row>
    <row r="781" spans="5:5" x14ac:dyDescent="0.3">
      <c r="E781"/>
    </row>
    <row r="782" spans="5:5" x14ac:dyDescent="0.3">
      <c r="E782"/>
    </row>
    <row r="783" spans="5:5" x14ac:dyDescent="0.3">
      <c r="E783"/>
    </row>
    <row r="784" spans="5:5" x14ac:dyDescent="0.3">
      <c r="E784"/>
    </row>
    <row r="785" spans="5:5" x14ac:dyDescent="0.3">
      <c r="E785"/>
    </row>
    <row r="786" spans="5:5" x14ac:dyDescent="0.3">
      <c r="E786"/>
    </row>
    <row r="787" spans="5:5" x14ac:dyDescent="0.3">
      <c r="E787"/>
    </row>
    <row r="788" spans="5:5" x14ac:dyDescent="0.3">
      <c r="E788"/>
    </row>
    <row r="789" spans="5:5" x14ac:dyDescent="0.3">
      <c r="E789"/>
    </row>
    <row r="790" spans="5:5" x14ac:dyDescent="0.3">
      <c r="E790"/>
    </row>
    <row r="791" spans="5:5" x14ac:dyDescent="0.3">
      <c r="E791"/>
    </row>
    <row r="792" spans="5:5" x14ac:dyDescent="0.3">
      <c r="E792"/>
    </row>
    <row r="793" spans="5:5" x14ac:dyDescent="0.3">
      <c r="E793"/>
    </row>
    <row r="794" spans="5:5" x14ac:dyDescent="0.3">
      <c r="E794"/>
    </row>
    <row r="795" spans="5:5" x14ac:dyDescent="0.3">
      <c r="E795"/>
    </row>
    <row r="796" spans="5:5" x14ac:dyDescent="0.3">
      <c r="E796"/>
    </row>
    <row r="797" spans="5:5" x14ac:dyDescent="0.3">
      <c r="E797"/>
    </row>
    <row r="798" spans="5:5" x14ac:dyDescent="0.3">
      <c r="E798"/>
    </row>
    <row r="799" spans="5:5" x14ac:dyDescent="0.3">
      <c r="E799"/>
    </row>
    <row r="800" spans="5:5" x14ac:dyDescent="0.3">
      <c r="E800"/>
    </row>
    <row r="801" spans="5:5" x14ac:dyDescent="0.3">
      <c r="E801"/>
    </row>
    <row r="802" spans="5:5" x14ac:dyDescent="0.3">
      <c r="E802"/>
    </row>
    <row r="803" spans="5:5" x14ac:dyDescent="0.3">
      <c r="E803"/>
    </row>
    <row r="804" spans="5:5" x14ac:dyDescent="0.3">
      <c r="E804"/>
    </row>
    <row r="805" spans="5:5" x14ac:dyDescent="0.3">
      <c r="E805"/>
    </row>
    <row r="806" spans="5:5" x14ac:dyDescent="0.3">
      <c r="E806"/>
    </row>
    <row r="807" spans="5:5" x14ac:dyDescent="0.3">
      <c r="E807"/>
    </row>
    <row r="808" spans="5:5" x14ac:dyDescent="0.3">
      <c r="E808"/>
    </row>
    <row r="809" spans="5:5" x14ac:dyDescent="0.3">
      <c r="E809"/>
    </row>
    <row r="810" spans="5:5" x14ac:dyDescent="0.3">
      <c r="E810"/>
    </row>
    <row r="811" spans="5:5" x14ac:dyDescent="0.3">
      <c r="E811"/>
    </row>
    <row r="812" spans="5:5" x14ac:dyDescent="0.3">
      <c r="E812"/>
    </row>
    <row r="813" spans="5:5" x14ac:dyDescent="0.3">
      <c r="E813"/>
    </row>
    <row r="814" spans="5:5" x14ac:dyDescent="0.3">
      <c r="E814"/>
    </row>
    <row r="815" spans="5:5" x14ac:dyDescent="0.3">
      <c r="E815"/>
    </row>
    <row r="816" spans="5:5" x14ac:dyDescent="0.3">
      <c r="E816"/>
    </row>
    <row r="817" spans="5:5" x14ac:dyDescent="0.3">
      <c r="E817"/>
    </row>
    <row r="818" spans="5:5" x14ac:dyDescent="0.3">
      <c r="E818"/>
    </row>
    <row r="819" spans="5:5" x14ac:dyDescent="0.3">
      <c r="E819"/>
    </row>
    <row r="820" spans="5:5" x14ac:dyDescent="0.3">
      <c r="E820"/>
    </row>
    <row r="821" spans="5:5" x14ac:dyDescent="0.3">
      <c r="E821"/>
    </row>
    <row r="822" spans="5:5" x14ac:dyDescent="0.3">
      <c r="E822"/>
    </row>
    <row r="823" spans="5:5" x14ac:dyDescent="0.3">
      <c r="E823"/>
    </row>
    <row r="824" spans="5:5" x14ac:dyDescent="0.3">
      <c r="E824"/>
    </row>
    <row r="825" spans="5:5" x14ac:dyDescent="0.3">
      <c r="E825"/>
    </row>
    <row r="826" spans="5:5" x14ac:dyDescent="0.3">
      <c r="E826"/>
    </row>
    <row r="827" spans="5:5" x14ac:dyDescent="0.3">
      <c r="E827"/>
    </row>
    <row r="828" spans="5:5" x14ac:dyDescent="0.3">
      <c r="E828"/>
    </row>
    <row r="829" spans="5:5" x14ac:dyDescent="0.3">
      <c r="E829"/>
    </row>
    <row r="830" spans="5:5" x14ac:dyDescent="0.3">
      <c r="E830"/>
    </row>
    <row r="831" spans="5:5" x14ac:dyDescent="0.3">
      <c r="E831"/>
    </row>
    <row r="832" spans="5:5" x14ac:dyDescent="0.3">
      <c r="E832"/>
    </row>
    <row r="833" spans="5:5" x14ac:dyDescent="0.3">
      <c r="E833"/>
    </row>
    <row r="834" spans="5:5" x14ac:dyDescent="0.3">
      <c r="E834"/>
    </row>
    <row r="835" spans="5:5" x14ac:dyDescent="0.3">
      <c r="E835"/>
    </row>
    <row r="836" spans="5:5" x14ac:dyDescent="0.3">
      <c r="E836"/>
    </row>
    <row r="837" spans="5:5" x14ac:dyDescent="0.3">
      <c r="E837"/>
    </row>
    <row r="838" spans="5:5" x14ac:dyDescent="0.3">
      <c r="E838"/>
    </row>
    <row r="839" spans="5:5" x14ac:dyDescent="0.3">
      <c r="E839"/>
    </row>
    <row r="840" spans="5:5" x14ac:dyDescent="0.3">
      <c r="E840"/>
    </row>
    <row r="841" spans="5:5" x14ac:dyDescent="0.3">
      <c r="E841"/>
    </row>
    <row r="842" spans="5:5" x14ac:dyDescent="0.3">
      <c r="E842"/>
    </row>
    <row r="843" spans="5:5" x14ac:dyDescent="0.3">
      <c r="E843"/>
    </row>
    <row r="844" spans="5:5" x14ac:dyDescent="0.3">
      <c r="E844"/>
    </row>
    <row r="845" spans="5:5" x14ac:dyDescent="0.3">
      <c r="E845"/>
    </row>
    <row r="846" spans="5:5" x14ac:dyDescent="0.3">
      <c r="E846"/>
    </row>
    <row r="847" spans="5:5" x14ac:dyDescent="0.3">
      <c r="E847"/>
    </row>
    <row r="848" spans="5:5" x14ac:dyDescent="0.3">
      <c r="E848"/>
    </row>
    <row r="849" spans="5:5" x14ac:dyDescent="0.3">
      <c r="E849"/>
    </row>
    <row r="850" spans="5:5" x14ac:dyDescent="0.3">
      <c r="E850"/>
    </row>
    <row r="851" spans="5:5" x14ac:dyDescent="0.3">
      <c r="E851"/>
    </row>
    <row r="852" spans="5:5" x14ac:dyDescent="0.3">
      <c r="E852"/>
    </row>
    <row r="853" spans="5:5" x14ac:dyDescent="0.3">
      <c r="E853"/>
    </row>
    <row r="854" spans="5:5" x14ac:dyDescent="0.3">
      <c r="E854"/>
    </row>
    <row r="855" spans="5:5" x14ac:dyDescent="0.3">
      <c r="E855"/>
    </row>
    <row r="856" spans="5:5" x14ac:dyDescent="0.3">
      <c r="E856"/>
    </row>
    <row r="857" spans="5:5" x14ac:dyDescent="0.3">
      <c r="E857"/>
    </row>
    <row r="858" spans="5:5" x14ac:dyDescent="0.3">
      <c r="E858"/>
    </row>
    <row r="859" spans="5:5" x14ac:dyDescent="0.3">
      <c r="E859"/>
    </row>
    <row r="860" spans="5:5" x14ac:dyDescent="0.3">
      <c r="E860"/>
    </row>
    <row r="861" spans="5:5" x14ac:dyDescent="0.3">
      <c r="E861"/>
    </row>
    <row r="862" spans="5:5" x14ac:dyDescent="0.3">
      <c r="E862"/>
    </row>
    <row r="863" spans="5:5" x14ac:dyDescent="0.3">
      <c r="E863"/>
    </row>
    <row r="864" spans="5:5" x14ac:dyDescent="0.3">
      <c r="E864"/>
    </row>
    <row r="865" spans="5:5" x14ac:dyDescent="0.3">
      <c r="E865"/>
    </row>
    <row r="866" spans="5:5" x14ac:dyDescent="0.3">
      <c r="E866"/>
    </row>
    <row r="867" spans="5:5" x14ac:dyDescent="0.3">
      <c r="E867"/>
    </row>
    <row r="868" spans="5:5" x14ac:dyDescent="0.3">
      <c r="E868"/>
    </row>
    <row r="869" spans="5:5" x14ac:dyDescent="0.3">
      <c r="E869"/>
    </row>
    <row r="870" spans="5:5" x14ac:dyDescent="0.3">
      <c r="E870"/>
    </row>
    <row r="871" spans="5:5" x14ac:dyDescent="0.3">
      <c r="E871"/>
    </row>
    <row r="872" spans="5:5" x14ac:dyDescent="0.3">
      <c r="E872"/>
    </row>
    <row r="873" spans="5:5" x14ac:dyDescent="0.3">
      <c r="E873"/>
    </row>
    <row r="874" spans="5:5" x14ac:dyDescent="0.3">
      <c r="E874"/>
    </row>
    <row r="875" spans="5:5" x14ac:dyDescent="0.3">
      <c r="E875"/>
    </row>
    <row r="876" spans="5:5" x14ac:dyDescent="0.3">
      <c r="E876"/>
    </row>
    <row r="877" spans="5:5" x14ac:dyDescent="0.3">
      <c r="E877"/>
    </row>
    <row r="878" spans="5:5" x14ac:dyDescent="0.3">
      <c r="E878"/>
    </row>
    <row r="879" spans="5:5" x14ac:dyDescent="0.3">
      <c r="E879"/>
    </row>
    <row r="880" spans="5:5" x14ac:dyDescent="0.3">
      <c r="E880"/>
    </row>
    <row r="881" spans="5:5" x14ac:dyDescent="0.3">
      <c r="E881"/>
    </row>
    <row r="882" spans="5:5" x14ac:dyDescent="0.3">
      <c r="E882"/>
    </row>
    <row r="883" spans="5:5" x14ac:dyDescent="0.3">
      <c r="E883"/>
    </row>
    <row r="884" spans="5:5" x14ac:dyDescent="0.3">
      <c r="E884"/>
    </row>
    <row r="885" spans="5:5" x14ac:dyDescent="0.3">
      <c r="E885"/>
    </row>
    <row r="886" spans="5:5" x14ac:dyDescent="0.3">
      <c r="E886"/>
    </row>
    <row r="887" spans="5:5" x14ac:dyDescent="0.3">
      <c r="E887"/>
    </row>
    <row r="888" spans="5:5" x14ac:dyDescent="0.3">
      <c r="E888"/>
    </row>
    <row r="889" spans="5:5" x14ac:dyDescent="0.3">
      <c r="E889"/>
    </row>
    <row r="890" spans="5:5" x14ac:dyDescent="0.3">
      <c r="E890"/>
    </row>
    <row r="891" spans="5:5" x14ac:dyDescent="0.3">
      <c r="E891"/>
    </row>
    <row r="892" spans="5:5" x14ac:dyDescent="0.3">
      <c r="E892"/>
    </row>
    <row r="893" spans="5:5" x14ac:dyDescent="0.3">
      <c r="E893"/>
    </row>
    <row r="894" spans="5:5" x14ac:dyDescent="0.3">
      <c r="E894"/>
    </row>
    <row r="895" spans="5:5" x14ac:dyDescent="0.3">
      <c r="E895"/>
    </row>
    <row r="896" spans="5:5" x14ac:dyDescent="0.3">
      <c r="E896"/>
    </row>
    <row r="897" spans="5:5" x14ac:dyDescent="0.3">
      <c r="E897"/>
    </row>
    <row r="898" spans="5:5" x14ac:dyDescent="0.3">
      <c r="E898"/>
    </row>
    <row r="899" spans="5:5" x14ac:dyDescent="0.3">
      <c r="E899"/>
    </row>
    <row r="900" spans="5:5" x14ac:dyDescent="0.3">
      <c r="E900"/>
    </row>
    <row r="901" spans="5:5" x14ac:dyDescent="0.3">
      <c r="E901"/>
    </row>
    <row r="902" spans="5:5" x14ac:dyDescent="0.3">
      <c r="E902"/>
    </row>
    <row r="903" spans="5:5" x14ac:dyDescent="0.3">
      <c r="E903"/>
    </row>
    <row r="904" spans="5:5" x14ac:dyDescent="0.3">
      <c r="E904"/>
    </row>
    <row r="905" spans="5:5" x14ac:dyDescent="0.3">
      <c r="E905"/>
    </row>
    <row r="906" spans="5:5" x14ac:dyDescent="0.3">
      <c r="E906"/>
    </row>
    <row r="907" spans="5:5" x14ac:dyDescent="0.3">
      <c r="E907"/>
    </row>
    <row r="908" spans="5:5" x14ac:dyDescent="0.3">
      <c r="E908"/>
    </row>
    <row r="909" spans="5:5" x14ac:dyDescent="0.3">
      <c r="E909"/>
    </row>
    <row r="910" spans="5:5" x14ac:dyDescent="0.3">
      <c r="E910"/>
    </row>
    <row r="911" spans="5:5" x14ac:dyDescent="0.3">
      <c r="E911"/>
    </row>
    <row r="912" spans="5:5" x14ac:dyDescent="0.3">
      <c r="E912"/>
    </row>
    <row r="913" spans="5:5" x14ac:dyDescent="0.3">
      <c r="E913"/>
    </row>
    <row r="914" spans="5:5" x14ac:dyDescent="0.3">
      <c r="E914"/>
    </row>
    <row r="915" spans="5:5" x14ac:dyDescent="0.3">
      <c r="E915"/>
    </row>
    <row r="916" spans="5:5" x14ac:dyDescent="0.3">
      <c r="E916"/>
    </row>
    <row r="917" spans="5:5" x14ac:dyDescent="0.3">
      <c r="E917"/>
    </row>
    <row r="918" spans="5:5" x14ac:dyDescent="0.3">
      <c r="E918"/>
    </row>
    <row r="919" spans="5:5" x14ac:dyDescent="0.3">
      <c r="E919"/>
    </row>
    <row r="920" spans="5:5" x14ac:dyDescent="0.3">
      <c r="E920"/>
    </row>
    <row r="921" spans="5:5" x14ac:dyDescent="0.3">
      <c r="E921"/>
    </row>
    <row r="922" spans="5:5" x14ac:dyDescent="0.3">
      <c r="E922"/>
    </row>
    <row r="923" spans="5:5" x14ac:dyDescent="0.3">
      <c r="E923"/>
    </row>
    <row r="924" spans="5:5" x14ac:dyDescent="0.3">
      <c r="E924"/>
    </row>
    <row r="925" spans="5:5" x14ac:dyDescent="0.3">
      <c r="E925"/>
    </row>
    <row r="926" spans="5:5" x14ac:dyDescent="0.3">
      <c r="E926"/>
    </row>
    <row r="927" spans="5:5" x14ac:dyDescent="0.3">
      <c r="E927"/>
    </row>
    <row r="928" spans="5:5" x14ac:dyDescent="0.3">
      <c r="E928"/>
    </row>
    <row r="929" spans="5:5" x14ac:dyDescent="0.3">
      <c r="E929"/>
    </row>
    <row r="930" spans="5:5" x14ac:dyDescent="0.3">
      <c r="E930"/>
    </row>
    <row r="931" spans="5:5" x14ac:dyDescent="0.3">
      <c r="E931"/>
    </row>
    <row r="932" spans="5:5" x14ac:dyDescent="0.3">
      <c r="E932"/>
    </row>
    <row r="933" spans="5:5" x14ac:dyDescent="0.3">
      <c r="E933"/>
    </row>
    <row r="934" spans="5:5" x14ac:dyDescent="0.3">
      <c r="E934"/>
    </row>
    <row r="935" spans="5:5" x14ac:dyDescent="0.3">
      <c r="E935"/>
    </row>
    <row r="936" spans="5:5" x14ac:dyDescent="0.3">
      <c r="E936"/>
    </row>
    <row r="937" spans="5:5" x14ac:dyDescent="0.3">
      <c r="E937"/>
    </row>
    <row r="938" spans="5:5" x14ac:dyDescent="0.3">
      <c r="E938"/>
    </row>
    <row r="939" spans="5:5" x14ac:dyDescent="0.3">
      <c r="E939"/>
    </row>
    <row r="940" spans="5:5" x14ac:dyDescent="0.3">
      <c r="E940"/>
    </row>
    <row r="941" spans="5:5" x14ac:dyDescent="0.3">
      <c r="E941"/>
    </row>
    <row r="942" spans="5:5" x14ac:dyDescent="0.3">
      <c r="E942"/>
    </row>
    <row r="943" spans="5:5" x14ac:dyDescent="0.3">
      <c r="E943"/>
    </row>
    <row r="944" spans="5:5" x14ac:dyDescent="0.3">
      <c r="E944"/>
    </row>
    <row r="945" spans="5:5" x14ac:dyDescent="0.3">
      <c r="E945"/>
    </row>
    <row r="946" spans="5:5" x14ac:dyDescent="0.3">
      <c r="E946"/>
    </row>
    <row r="947" spans="5:5" x14ac:dyDescent="0.3">
      <c r="E947"/>
    </row>
    <row r="948" spans="5:5" x14ac:dyDescent="0.3">
      <c r="E948"/>
    </row>
    <row r="949" spans="5:5" x14ac:dyDescent="0.3">
      <c r="E949"/>
    </row>
    <row r="950" spans="5:5" x14ac:dyDescent="0.3">
      <c r="E950"/>
    </row>
    <row r="951" spans="5:5" x14ac:dyDescent="0.3">
      <c r="E951"/>
    </row>
    <row r="952" spans="5:5" x14ac:dyDescent="0.3">
      <c r="E952"/>
    </row>
    <row r="953" spans="5:5" x14ac:dyDescent="0.3">
      <c r="E953"/>
    </row>
    <row r="954" spans="5:5" x14ac:dyDescent="0.3">
      <c r="E954"/>
    </row>
    <row r="955" spans="5:5" x14ac:dyDescent="0.3">
      <c r="E955"/>
    </row>
    <row r="956" spans="5:5" x14ac:dyDescent="0.3">
      <c r="E956"/>
    </row>
    <row r="957" spans="5:5" x14ac:dyDescent="0.3">
      <c r="E957"/>
    </row>
    <row r="958" spans="5:5" x14ac:dyDescent="0.3">
      <c r="E958"/>
    </row>
    <row r="959" spans="5:5" x14ac:dyDescent="0.3">
      <c r="E959"/>
    </row>
    <row r="960" spans="5:5" x14ac:dyDescent="0.3">
      <c r="E960"/>
    </row>
    <row r="961" spans="5:5" x14ac:dyDescent="0.3">
      <c r="E961"/>
    </row>
    <row r="962" spans="5:5" x14ac:dyDescent="0.3">
      <c r="E962"/>
    </row>
    <row r="963" spans="5:5" x14ac:dyDescent="0.3">
      <c r="E963"/>
    </row>
    <row r="964" spans="5:5" x14ac:dyDescent="0.3">
      <c r="E964"/>
    </row>
    <row r="965" spans="5:5" x14ac:dyDescent="0.3">
      <c r="E965"/>
    </row>
    <row r="966" spans="5:5" x14ac:dyDescent="0.3">
      <c r="E966"/>
    </row>
    <row r="967" spans="5:5" x14ac:dyDescent="0.3">
      <c r="E967"/>
    </row>
    <row r="968" spans="5:5" x14ac:dyDescent="0.3">
      <c r="E968"/>
    </row>
    <row r="969" spans="5:5" x14ac:dyDescent="0.3">
      <c r="E969"/>
    </row>
    <row r="970" spans="5:5" x14ac:dyDescent="0.3">
      <c r="E970"/>
    </row>
    <row r="971" spans="5:5" x14ac:dyDescent="0.3">
      <c r="E971"/>
    </row>
    <row r="972" spans="5:5" x14ac:dyDescent="0.3">
      <c r="E972"/>
    </row>
    <row r="973" spans="5:5" x14ac:dyDescent="0.3">
      <c r="E973"/>
    </row>
    <row r="974" spans="5:5" x14ac:dyDescent="0.3">
      <c r="E974"/>
    </row>
    <row r="975" spans="5:5" x14ac:dyDescent="0.3">
      <c r="E975"/>
    </row>
    <row r="976" spans="5:5" x14ac:dyDescent="0.3">
      <c r="E976"/>
    </row>
    <row r="977" spans="5:5" x14ac:dyDescent="0.3">
      <c r="E977"/>
    </row>
    <row r="978" spans="5:5" x14ac:dyDescent="0.3">
      <c r="E978"/>
    </row>
    <row r="979" spans="5:5" x14ac:dyDescent="0.3">
      <c r="E979"/>
    </row>
    <row r="980" spans="5:5" x14ac:dyDescent="0.3">
      <c r="E980"/>
    </row>
    <row r="981" spans="5:5" x14ac:dyDescent="0.3">
      <c r="E981"/>
    </row>
    <row r="982" spans="5:5" x14ac:dyDescent="0.3">
      <c r="E982"/>
    </row>
    <row r="983" spans="5:5" x14ac:dyDescent="0.3">
      <c r="E983"/>
    </row>
    <row r="984" spans="5:5" x14ac:dyDescent="0.3">
      <c r="E984"/>
    </row>
    <row r="985" spans="5:5" x14ac:dyDescent="0.3">
      <c r="E985"/>
    </row>
    <row r="986" spans="5:5" x14ac:dyDescent="0.3">
      <c r="E986"/>
    </row>
    <row r="987" spans="5:5" x14ac:dyDescent="0.3">
      <c r="E987"/>
    </row>
    <row r="988" spans="5:5" x14ac:dyDescent="0.3">
      <c r="E988"/>
    </row>
    <row r="989" spans="5:5" x14ac:dyDescent="0.3">
      <c r="E989"/>
    </row>
    <row r="990" spans="5:5" x14ac:dyDescent="0.3">
      <c r="E990"/>
    </row>
    <row r="991" spans="5:5" x14ac:dyDescent="0.3">
      <c r="E991"/>
    </row>
    <row r="992" spans="5:5" x14ac:dyDescent="0.3">
      <c r="E992"/>
    </row>
    <row r="993" spans="5:5" x14ac:dyDescent="0.3">
      <c r="E993"/>
    </row>
    <row r="994" spans="5:5" x14ac:dyDescent="0.3">
      <c r="E994"/>
    </row>
    <row r="995" spans="5:5" x14ac:dyDescent="0.3">
      <c r="E995"/>
    </row>
    <row r="996" spans="5:5" x14ac:dyDescent="0.3">
      <c r="E996"/>
    </row>
    <row r="997" spans="5:5" x14ac:dyDescent="0.3">
      <c r="E997"/>
    </row>
    <row r="998" spans="5:5" x14ac:dyDescent="0.3">
      <c r="E998"/>
    </row>
    <row r="999" spans="5:5" x14ac:dyDescent="0.3">
      <c r="E999"/>
    </row>
    <row r="1000" spans="5:5" x14ac:dyDescent="0.3">
      <c r="E1000"/>
    </row>
    <row r="1001" spans="5:5" x14ac:dyDescent="0.3">
      <c r="E1001"/>
    </row>
    <row r="1002" spans="5:5" x14ac:dyDescent="0.3">
      <c r="E1002"/>
    </row>
    <row r="1003" spans="5:5" x14ac:dyDescent="0.3">
      <c r="E1003"/>
    </row>
    <row r="1004" spans="5:5" x14ac:dyDescent="0.3">
      <c r="E1004"/>
    </row>
    <row r="1005" spans="5:5" x14ac:dyDescent="0.3">
      <c r="E1005"/>
    </row>
    <row r="1006" spans="5:5" x14ac:dyDescent="0.3">
      <c r="E1006"/>
    </row>
    <row r="1007" spans="5:5" x14ac:dyDescent="0.3">
      <c r="E1007"/>
    </row>
    <row r="1008" spans="5:5" x14ac:dyDescent="0.3">
      <c r="E1008"/>
    </row>
    <row r="1009" spans="5:5" x14ac:dyDescent="0.3">
      <c r="E1009"/>
    </row>
    <row r="1010" spans="5:5" x14ac:dyDescent="0.3">
      <c r="E1010"/>
    </row>
    <row r="1011" spans="5:5" x14ac:dyDescent="0.3">
      <c r="E1011"/>
    </row>
    <row r="1012" spans="5:5" x14ac:dyDescent="0.3">
      <c r="E1012"/>
    </row>
    <row r="1013" spans="5:5" x14ac:dyDescent="0.3">
      <c r="E1013"/>
    </row>
    <row r="1014" spans="5:5" x14ac:dyDescent="0.3">
      <c r="E1014"/>
    </row>
    <row r="1015" spans="5:5" x14ac:dyDescent="0.3">
      <c r="E1015"/>
    </row>
    <row r="1016" spans="5:5" x14ac:dyDescent="0.3">
      <c r="E1016"/>
    </row>
    <row r="1017" spans="5:5" x14ac:dyDescent="0.3">
      <c r="E1017"/>
    </row>
    <row r="1018" spans="5:5" x14ac:dyDescent="0.3">
      <c r="E1018"/>
    </row>
    <row r="1019" spans="5:5" x14ac:dyDescent="0.3">
      <c r="E1019"/>
    </row>
    <row r="1020" spans="5:5" x14ac:dyDescent="0.3">
      <c r="E1020"/>
    </row>
    <row r="1021" spans="5:5" x14ac:dyDescent="0.3">
      <c r="E1021"/>
    </row>
    <row r="1022" spans="5:5" x14ac:dyDescent="0.3">
      <c r="E1022"/>
    </row>
    <row r="1023" spans="5:5" x14ac:dyDescent="0.3">
      <c r="E1023"/>
    </row>
    <row r="1024" spans="5:5" x14ac:dyDescent="0.3">
      <c r="E1024"/>
    </row>
    <row r="1025" spans="5:5" x14ac:dyDescent="0.3">
      <c r="E1025"/>
    </row>
    <row r="1026" spans="5:5" x14ac:dyDescent="0.3">
      <c r="E1026"/>
    </row>
    <row r="1027" spans="5:5" x14ac:dyDescent="0.3">
      <c r="E1027"/>
    </row>
    <row r="1028" spans="5:5" x14ac:dyDescent="0.3">
      <c r="E1028"/>
    </row>
    <row r="1029" spans="5:5" x14ac:dyDescent="0.3">
      <c r="E1029"/>
    </row>
    <row r="1030" spans="5:5" x14ac:dyDescent="0.3">
      <c r="E1030"/>
    </row>
    <row r="1031" spans="5:5" x14ac:dyDescent="0.3">
      <c r="E1031"/>
    </row>
    <row r="1032" spans="5:5" x14ac:dyDescent="0.3">
      <c r="E1032"/>
    </row>
    <row r="1033" spans="5:5" x14ac:dyDescent="0.3">
      <c r="E1033"/>
    </row>
    <row r="1034" spans="5:5" x14ac:dyDescent="0.3">
      <c r="E1034"/>
    </row>
    <row r="1035" spans="5:5" x14ac:dyDescent="0.3">
      <c r="E1035"/>
    </row>
    <row r="1036" spans="5:5" x14ac:dyDescent="0.3">
      <c r="E1036"/>
    </row>
    <row r="1037" spans="5:5" x14ac:dyDescent="0.3">
      <c r="E1037"/>
    </row>
    <row r="1038" spans="5:5" x14ac:dyDescent="0.3">
      <c r="E1038"/>
    </row>
    <row r="1039" spans="5:5" x14ac:dyDescent="0.3">
      <c r="E1039"/>
    </row>
    <row r="1040" spans="5:5" x14ac:dyDescent="0.3">
      <c r="E1040"/>
    </row>
    <row r="1041" spans="5:5" x14ac:dyDescent="0.3">
      <c r="E1041"/>
    </row>
    <row r="1042" spans="5:5" x14ac:dyDescent="0.3">
      <c r="E1042"/>
    </row>
    <row r="1043" spans="5:5" x14ac:dyDescent="0.3">
      <c r="E1043"/>
    </row>
    <row r="1044" spans="5:5" x14ac:dyDescent="0.3">
      <c r="E1044"/>
    </row>
    <row r="1045" spans="5:5" x14ac:dyDescent="0.3">
      <c r="E1045"/>
    </row>
    <row r="1046" spans="5:5" x14ac:dyDescent="0.3">
      <c r="E1046"/>
    </row>
    <row r="1047" spans="5:5" x14ac:dyDescent="0.3">
      <c r="E1047"/>
    </row>
    <row r="1048" spans="5:5" x14ac:dyDescent="0.3">
      <c r="E1048"/>
    </row>
    <row r="1049" spans="5:5" x14ac:dyDescent="0.3">
      <c r="E1049"/>
    </row>
    <row r="1050" spans="5:5" x14ac:dyDescent="0.3">
      <c r="E1050"/>
    </row>
    <row r="1051" spans="5:5" x14ac:dyDescent="0.3">
      <c r="E1051"/>
    </row>
    <row r="1052" spans="5:5" x14ac:dyDescent="0.3">
      <c r="E1052"/>
    </row>
    <row r="1053" spans="5:5" x14ac:dyDescent="0.3">
      <c r="E1053"/>
    </row>
    <row r="1054" spans="5:5" x14ac:dyDescent="0.3">
      <c r="E1054"/>
    </row>
    <row r="1055" spans="5:5" x14ac:dyDescent="0.3">
      <c r="E1055"/>
    </row>
    <row r="1056" spans="5:5" x14ac:dyDescent="0.3">
      <c r="E1056"/>
    </row>
    <row r="1057" spans="5:5" x14ac:dyDescent="0.3">
      <c r="E1057"/>
    </row>
    <row r="1058" spans="5:5" x14ac:dyDescent="0.3">
      <c r="E1058"/>
    </row>
    <row r="1059" spans="5:5" x14ac:dyDescent="0.3">
      <c r="E1059"/>
    </row>
    <row r="1060" spans="5:5" x14ac:dyDescent="0.3">
      <c r="E1060"/>
    </row>
    <row r="1061" spans="5:5" x14ac:dyDescent="0.3">
      <c r="E1061"/>
    </row>
    <row r="1062" spans="5:5" x14ac:dyDescent="0.3">
      <c r="E1062"/>
    </row>
    <row r="1063" spans="5:5" x14ac:dyDescent="0.3">
      <c r="E1063"/>
    </row>
    <row r="1064" spans="5:5" x14ac:dyDescent="0.3">
      <c r="E1064"/>
    </row>
    <row r="1065" spans="5:5" x14ac:dyDescent="0.3">
      <c r="E1065"/>
    </row>
    <row r="1066" spans="5:5" x14ac:dyDescent="0.3">
      <c r="E1066"/>
    </row>
    <row r="1067" spans="5:5" x14ac:dyDescent="0.3">
      <c r="E1067"/>
    </row>
    <row r="1068" spans="5:5" x14ac:dyDescent="0.3">
      <c r="E1068"/>
    </row>
    <row r="1069" spans="5:5" x14ac:dyDescent="0.3">
      <c r="E1069"/>
    </row>
    <row r="1070" spans="5:5" x14ac:dyDescent="0.3">
      <c r="E1070"/>
    </row>
    <row r="1071" spans="5:5" x14ac:dyDescent="0.3">
      <c r="E1071"/>
    </row>
    <row r="1072" spans="5:5" x14ac:dyDescent="0.3">
      <c r="E1072"/>
    </row>
    <row r="1073" spans="5:5" x14ac:dyDescent="0.3">
      <c r="E1073"/>
    </row>
    <row r="1074" spans="5:5" x14ac:dyDescent="0.3">
      <c r="E1074"/>
    </row>
    <row r="1075" spans="5:5" x14ac:dyDescent="0.3">
      <c r="E1075"/>
    </row>
    <row r="1076" spans="5:5" x14ac:dyDescent="0.3">
      <c r="E1076"/>
    </row>
    <row r="1077" spans="5:5" x14ac:dyDescent="0.3">
      <c r="E1077"/>
    </row>
    <row r="1078" spans="5:5" x14ac:dyDescent="0.3">
      <c r="E1078"/>
    </row>
    <row r="1079" spans="5:5" x14ac:dyDescent="0.3">
      <c r="E1079"/>
    </row>
    <row r="1080" spans="5:5" x14ac:dyDescent="0.3">
      <c r="E1080"/>
    </row>
    <row r="1081" spans="5:5" x14ac:dyDescent="0.3">
      <c r="E1081"/>
    </row>
    <row r="1082" spans="5:5" x14ac:dyDescent="0.3">
      <c r="E1082"/>
    </row>
    <row r="1083" spans="5:5" x14ac:dyDescent="0.3">
      <c r="E1083"/>
    </row>
    <row r="1084" spans="5:5" x14ac:dyDescent="0.3">
      <c r="E1084"/>
    </row>
    <row r="1085" spans="5:5" x14ac:dyDescent="0.3">
      <c r="E1085"/>
    </row>
    <row r="1086" spans="5:5" x14ac:dyDescent="0.3">
      <c r="E1086"/>
    </row>
    <row r="1087" spans="5:5" x14ac:dyDescent="0.3">
      <c r="E1087"/>
    </row>
    <row r="1088" spans="5:5" x14ac:dyDescent="0.3">
      <c r="E1088"/>
    </row>
    <row r="1089" spans="5:5" x14ac:dyDescent="0.3">
      <c r="E1089"/>
    </row>
    <row r="1090" spans="5:5" x14ac:dyDescent="0.3">
      <c r="E1090"/>
    </row>
    <row r="1091" spans="5:5" x14ac:dyDescent="0.3">
      <c r="E1091"/>
    </row>
    <row r="1092" spans="5:5" x14ac:dyDescent="0.3">
      <c r="E1092"/>
    </row>
    <row r="1093" spans="5:5" x14ac:dyDescent="0.3">
      <c r="E1093"/>
    </row>
    <row r="1094" spans="5:5" x14ac:dyDescent="0.3">
      <c r="E1094"/>
    </row>
    <row r="1095" spans="5:5" x14ac:dyDescent="0.3">
      <c r="E1095"/>
    </row>
    <row r="1096" spans="5:5" x14ac:dyDescent="0.3">
      <c r="E1096"/>
    </row>
    <row r="1097" spans="5:5" x14ac:dyDescent="0.3">
      <c r="E1097"/>
    </row>
    <row r="1098" spans="5:5" x14ac:dyDescent="0.3">
      <c r="E1098"/>
    </row>
    <row r="1099" spans="5:5" x14ac:dyDescent="0.3">
      <c r="E1099"/>
    </row>
    <row r="1100" spans="5:5" x14ac:dyDescent="0.3">
      <c r="E1100"/>
    </row>
    <row r="1101" spans="5:5" x14ac:dyDescent="0.3">
      <c r="E1101"/>
    </row>
    <row r="1102" spans="5:5" x14ac:dyDescent="0.3">
      <c r="E1102"/>
    </row>
    <row r="1103" spans="5:5" x14ac:dyDescent="0.3">
      <c r="E1103"/>
    </row>
    <row r="1104" spans="5:5" x14ac:dyDescent="0.3">
      <c r="E1104"/>
    </row>
    <row r="1105" spans="5:5" x14ac:dyDescent="0.3">
      <c r="E1105"/>
    </row>
    <row r="1106" spans="5:5" x14ac:dyDescent="0.3">
      <c r="E1106"/>
    </row>
    <row r="1107" spans="5:5" x14ac:dyDescent="0.3">
      <c r="E1107"/>
    </row>
    <row r="1108" spans="5:5" x14ac:dyDescent="0.3">
      <c r="E1108"/>
    </row>
    <row r="1109" spans="5:5" x14ac:dyDescent="0.3">
      <c r="E1109"/>
    </row>
    <row r="1110" spans="5:5" x14ac:dyDescent="0.3">
      <c r="E1110"/>
    </row>
    <row r="1111" spans="5:5" x14ac:dyDescent="0.3">
      <c r="E1111"/>
    </row>
    <row r="1112" spans="5:5" x14ac:dyDescent="0.3">
      <c r="E1112"/>
    </row>
    <row r="1113" spans="5:5" x14ac:dyDescent="0.3">
      <c r="E1113"/>
    </row>
    <row r="1114" spans="5:5" x14ac:dyDescent="0.3">
      <c r="E1114"/>
    </row>
  </sheetData>
  <sheetProtection algorithmName="SHA-512" hashValue="7ARqypX5pVSRidt+lpE4GDN1OQU/50YuPIfFQXERMAvx2UCw2gO5LHsXDaN1++1a+zyCeqx+w8fYrepewK7Ndg==" saltValue="pZ/Dit2onGu9ri5FTj9cKw==" spinCount="100000" sheet="1" selectLockedCells="1" selectUnlockedCells="1"/>
  <phoneticPr fontId="23" type="noConversion"/>
  <pageMargins left="0.7" right="0.7" top="0.75" bottom="0.75" header="0.3" footer="0.3"/>
  <drawing r:id="rId1"/>
  <legacyDrawing r:id="rId2"/>
  <tableParts count="7">
    <tablePart r:id="rId3"/>
    <tablePart r:id="rId4"/>
    <tablePart r:id="rId5"/>
    <tablePart r:id="rId6"/>
    <tablePart r:id="rId7"/>
    <tablePart r:id="rId8"/>
    <tablePart r:id="rId9"/>
  </tablePar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31C44-7C3D-48EA-8F28-846751A2820D}">
  <dimension ref="B1:M35"/>
  <sheetViews>
    <sheetView topLeftCell="A22" workbookViewId="0">
      <selection activeCell="B25" sqref="B25"/>
    </sheetView>
  </sheetViews>
  <sheetFormatPr defaultRowHeight="16.5" x14ac:dyDescent="0.3"/>
  <cols>
    <col min="2" max="2" width="16.875" bestFit="1" customWidth="1"/>
    <col min="3" max="4" width="10.25" customWidth="1"/>
    <col min="5" max="5" width="16.875" customWidth="1"/>
    <col min="6" max="6" width="19" bestFit="1" customWidth="1"/>
    <col min="7" max="7" width="12.375" customWidth="1"/>
    <col min="8" max="8" width="19" customWidth="1"/>
    <col min="9" max="9" width="18.5" bestFit="1" customWidth="1"/>
    <col min="12" max="12" width="21.25" customWidth="1"/>
  </cols>
  <sheetData>
    <row r="1" spans="2:12" x14ac:dyDescent="0.3">
      <c r="I1" t="str">
        <f>_xlfn.XLOOKUP(Rotation,I4:I10,J4:J10,"")</f>
        <v/>
      </c>
    </row>
    <row r="3" spans="2:12" x14ac:dyDescent="0.3">
      <c r="B3" s="93" t="s">
        <v>4075</v>
      </c>
      <c r="C3" s="93" t="s">
        <v>4076</v>
      </c>
      <c r="D3" s="93" t="s">
        <v>4062</v>
      </c>
      <c r="F3" s="93" t="s">
        <v>4077</v>
      </c>
      <c r="G3" s="93" t="s">
        <v>4078</v>
      </c>
      <c r="I3" s="93" t="s">
        <v>4079</v>
      </c>
      <c r="J3" t="s">
        <v>4080</v>
      </c>
      <c r="L3" t="s">
        <v>4140</v>
      </c>
    </row>
    <row r="4" spans="2:12" x14ac:dyDescent="0.3">
      <c r="B4" t="s">
        <v>4139</v>
      </c>
      <c r="C4">
        <v>1</v>
      </c>
      <c r="D4">
        <v>1</v>
      </c>
      <c r="F4" t="s">
        <v>4081</v>
      </c>
      <c r="G4">
        <v>0</v>
      </c>
      <c r="I4" t="s">
        <v>4071</v>
      </c>
      <c r="J4">
        <v>1</v>
      </c>
      <c r="L4" t="s">
        <v>4141</v>
      </c>
    </row>
    <row r="5" spans="2:12" x14ac:dyDescent="0.3">
      <c r="B5" t="s">
        <v>4136</v>
      </c>
      <c r="C5">
        <v>1</v>
      </c>
      <c r="D5">
        <v>1</v>
      </c>
      <c r="F5" t="s">
        <v>4064</v>
      </c>
      <c r="G5">
        <v>1</v>
      </c>
      <c r="I5" t="s">
        <v>3</v>
      </c>
      <c r="J5">
        <v>2</v>
      </c>
      <c r="L5" t="s">
        <v>4142</v>
      </c>
    </row>
    <row r="6" spans="2:12" x14ac:dyDescent="0.3">
      <c r="B6" t="s">
        <v>8</v>
      </c>
      <c r="C6">
        <v>1</v>
      </c>
      <c r="D6">
        <v>0</v>
      </c>
      <c r="F6" t="s">
        <v>4082</v>
      </c>
      <c r="G6">
        <v>2</v>
      </c>
      <c r="I6" t="s">
        <v>4083</v>
      </c>
      <c r="J6">
        <v>3</v>
      </c>
      <c r="L6" t="s">
        <v>4143</v>
      </c>
    </row>
    <row r="7" spans="2:12" x14ac:dyDescent="0.3">
      <c r="B7" t="s">
        <v>22</v>
      </c>
      <c r="C7">
        <f>IF(AND('START HERE'!C22="Yes",'START HERE'!C23&gt;=1),1,0)</f>
        <v>0</v>
      </c>
      <c r="D7">
        <v>1</v>
      </c>
      <c r="F7" t="s">
        <v>4084</v>
      </c>
      <c r="G7">
        <v>2</v>
      </c>
      <c r="I7" t="s">
        <v>4085</v>
      </c>
      <c r="J7">
        <v>4</v>
      </c>
      <c r="L7" t="s">
        <v>4144</v>
      </c>
    </row>
    <row r="8" spans="2:12" x14ac:dyDescent="0.3">
      <c r="B8" t="s">
        <v>23</v>
      </c>
      <c r="C8">
        <f>IF(AND('START HERE'!C22="Yes",'START HERE'!C23&gt;=2),1,0)</f>
        <v>0</v>
      </c>
      <c r="D8">
        <v>1</v>
      </c>
      <c r="F8" t="s">
        <v>4086</v>
      </c>
      <c r="G8">
        <v>0</v>
      </c>
      <c r="I8" t="s">
        <v>4087</v>
      </c>
      <c r="J8">
        <v>5</v>
      </c>
    </row>
    <row r="9" spans="2:12" x14ac:dyDescent="0.3">
      <c r="B9" t="s">
        <v>24</v>
      </c>
      <c r="C9">
        <f>IF(AND('START HERE'!C22="Yes",'START HERE'!C23&gt;=3),1,0)</f>
        <v>0</v>
      </c>
      <c r="D9">
        <v>1</v>
      </c>
      <c r="F9" t="s">
        <v>4088</v>
      </c>
      <c r="G9">
        <v>2</v>
      </c>
      <c r="I9" t="s">
        <v>4089</v>
      </c>
      <c r="J9">
        <v>6</v>
      </c>
    </row>
    <row r="10" spans="2:12" x14ac:dyDescent="0.3">
      <c r="B10" t="s">
        <v>4133</v>
      </c>
      <c r="C10">
        <f>IF(AND('START HERE'!C22="Yes",'START HERE'!C23&gt;=4),1,0)</f>
        <v>0</v>
      </c>
      <c r="D10">
        <v>1</v>
      </c>
      <c r="F10" t="s">
        <v>4090</v>
      </c>
      <c r="G10">
        <v>2</v>
      </c>
      <c r="I10" t="s">
        <v>4127</v>
      </c>
      <c r="J10">
        <v>10</v>
      </c>
    </row>
    <row r="11" spans="2:12" x14ac:dyDescent="0.3">
      <c r="B11" t="s">
        <v>4134</v>
      </c>
      <c r="C11">
        <f>IF(AND('START HERE'!C22="Yes",'START HERE'!C23&gt;=5),1,0)</f>
        <v>0</v>
      </c>
      <c r="D11">
        <v>1</v>
      </c>
      <c r="F11" t="s">
        <v>4091</v>
      </c>
      <c r="G11">
        <v>2</v>
      </c>
    </row>
    <row r="12" spans="2:12" x14ac:dyDescent="0.3">
      <c r="B12" t="s">
        <v>4135</v>
      </c>
      <c r="C12">
        <f>IF(AND('START HERE'!C22="Yes",'START HERE'!C23=6),1,0)</f>
        <v>0</v>
      </c>
      <c r="D12">
        <v>1</v>
      </c>
    </row>
    <row r="13" spans="2:12" x14ac:dyDescent="0.3">
      <c r="B13" t="s">
        <v>25</v>
      </c>
      <c r="C13">
        <f>IF(AND('START HERE'!C24="Yes",'START HERE'!C25&gt;=1),1,0)</f>
        <v>0</v>
      </c>
      <c r="D13">
        <v>1</v>
      </c>
    </row>
    <row r="14" spans="2:12" x14ac:dyDescent="0.3">
      <c r="B14" t="s">
        <v>26</v>
      </c>
      <c r="C14">
        <f>IF(AND('START HERE'!C24="Yes",'START HERE'!C25&gt;=2),1,0)</f>
        <v>0</v>
      </c>
      <c r="D14">
        <v>1</v>
      </c>
    </row>
    <row r="15" spans="2:12" x14ac:dyDescent="0.3">
      <c r="B15" t="s">
        <v>27</v>
      </c>
      <c r="C15">
        <f>IF(AND('START HERE'!C24="Yes",'START HERE'!C25=3),1,0)</f>
        <v>0</v>
      </c>
      <c r="D15">
        <v>1</v>
      </c>
    </row>
    <row r="16" spans="2:12" x14ac:dyDescent="0.3">
      <c r="B16" t="s">
        <v>4104</v>
      </c>
      <c r="C16">
        <f>IF(part_time_days="Yes",1,0)</f>
        <v>0</v>
      </c>
      <c r="D16">
        <v>1</v>
      </c>
    </row>
    <row r="23" spans="2:13" ht="17.25" thickBot="1" x14ac:dyDescent="0.35"/>
    <row r="24" spans="2:13" x14ac:dyDescent="0.3">
      <c r="B24" s="114"/>
      <c r="C24" s="115"/>
      <c r="D24" s="115"/>
      <c r="E24" s="115"/>
      <c r="F24" s="115"/>
      <c r="G24" s="115"/>
      <c r="H24" s="115"/>
      <c r="I24" s="115"/>
      <c r="J24" s="115"/>
      <c r="K24" s="115"/>
      <c r="L24" s="115"/>
      <c r="M24" s="116"/>
    </row>
    <row r="25" spans="2:13" x14ac:dyDescent="0.3">
      <c r="B25" s="108" t="str" cm="1">
        <f t="array" ref="B25:B27">_xlfn.UNIQUE(_xlfn._xlws.FILTER(Types_of_Day[Type of Day],Types_of_Day[Use]=1))</f>
        <v>PD/In-Service Day</v>
      </c>
      <c r="C25" s="109"/>
      <c r="D25" s="109"/>
      <c r="E25" s="109"/>
      <c r="F25" s="109" t="str" cm="1">
        <f t="array" ref="F25:F32">_xlfn.UNIQUE(Types_of_Activity[Type of Activity])</f>
        <v>Break - Unassigned</v>
      </c>
      <c r="G25" s="109"/>
      <c r="H25" s="109"/>
      <c r="I25" s="109" t="str" cm="1">
        <f t="array" ref="I25:I31">_xlfn.UNIQUE(Rotation_Types[Rotation Types])</f>
        <v>Weekday</v>
      </c>
      <c r="J25" s="109"/>
      <c r="K25" s="109"/>
      <c r="L25" s="109" t="str" cm="1">
        <f t="array" ref="L25:L28">_xlfn.UNIQUE(Exception_Assignor[Exception Assignor])</f>
        <v>Principal</v>
      </c>
      <c r="M25" s="110"/>
    </row>
    <row r="26" spans="2:13" x14ac:dyDescent="0.3">
      <c r="B26" s="108" t="str">
        <v>Planning Day</v>
      </c>
      <c r="C26" s="109"/>
      <c r="D26" s="109"/>
      <c r="E26" s="109"/>
      <c r="F26" s="109" t="str">
        <v>Instruction</v>
      </c>
      <c r="G26" s="109"/>
      <c r="H26" s="109"/>
      <c r="I26" s="109" t="str">
        <v>Two day rotation</v>
      </c>
      <c r="J26" s="109"/>
      <c r="K26" s="109"/>
      <c r="L26" s="109" t="str">
        <v>VP/AP</v>
      </c>
      <c r="M26" s="110"/>
    </row>
    <row r="27" spans="2:13" x14ac:dyDescent="0.3">
      <c r="B27" s="108" t="str">
        <v>Closed (non-operational)</v>
      </c>
      <c r="C27" s="109"/>
      <c r="D27" s="109"/>
      <c r="E27" s="109"/>
      <c r="F27" s="109" t="str">
        <v>Meeting</v>
      </c>
      <c r="G27" s="109"/>
      <c r="H27" s="109"/>
      <c r="I27" s="109" t="str">
        <v>Three day rotation</v>
      </c>
      <c r="J27" s="109"/>
      <c r="K27" s="109"/>
      <c r="L27" s="109" t="str">
        <v>Department Head</v>
      </c>
      <c r="M27" s="110"/>
    </row>
    <row r="28" spans="2:13" x14ac:dyDescent="0.3">
      <c r="B28" s="108"/>
      <c r="C28" s="109"/>
      <c r="D28" s="109"/>
      <c r="E28" s="109"/>
      <c r="F28" s="109" t="str">
        <v>Morning Prayer</v>
      </c>
      <c r="G28" s="109"/>
      <c r="H28" s="109"/>
      <c r="I28" s="109" t="str">
        <v>Four day rotation</v>
      </c>
      <c r="J28" s="109"/>
      <c r="K28" s="109"/>
      <c r="L28" s="109" t="str">
        <v>Central Office</v>
      </c>
      <c r="M28" s="110"/>
    </row>
    <row r="29" spans="2:13" x14ac:dyDescent="0.3">
      <c r="B29" s="108"/>
      <c r="C29" s="109"/>
      <c r="D29" s="109"/>
      <c r="E29" s="109"/>
      <c r="F29" s="109" t="str">
        <v>Prep - Unassigned</v>
      </c>
      <c r="G29" s="109"/>
      <c r="H29" s="109"/>
      <c r="I29" s="109" t="str">
        <v>Five day rotation</v>
      </c>
      <c r="J29" s="109"/>
      <c r="K29" s="109"/>
      <c r="L29" s="109"/>
      <c r="M29" s="110"/>
    </row>
    <row r="30" spans="2:13" x14ac:dyDescent="0.3">
      <c r="B30" s="108"/>
      <c r="C30" s="109"/>
      <c r="D30" s="109"/>
      <c r="E30" s="109"/>
      <c r="F30" s="109" t="str">
        <v>Prep - Assigned</v>
      </c>
      <c r="G30" s="109"/>
      <c r="H30" s="109"/>
      <c r="I30" s="109" t="str">
        <v>Six day rotation</v>
      </c>
      <c r="J30" s="109"/>
      <c r="K30" s="109"/>
      <c r="L30" s="109"/>
      <c r="M30" s="110"/>
    </row>
    <row r="31" spans="2:13" x14ac:dyDescent="0.3">
      <c r="B31" s="108"/>
      <c r="C31" s="109"/>
      <c r="D31" s="109"/>
      <c r="E31" s="109"/>
      <c r="F31" s="109" t="str">
        <v>Transition</v>
      </c>
      <c r="G31" s="109"/>
      <c r="H31" s="109"/>
      <c r="I31" s="109" t="str">
        <v>Ten day rotation</v>
      </c>
      <c r="J31" s="109"/>
      <c r="K31" s="109"/>
      <c r="L31" s="109"/>
      <c r="M31" s="110"/>
    </row>
    <row r="32" spans="2:13" x14ac:dyDescent="0.3">
      <c r="B32" s="108"/>
      <c r="C32" s="109"/>
      <c r="D32" s="109"/>
      <c r="E32" s="109"/>
      <c r="F32" s="109" t="str">
        <v>Supervision</v>
      </c>
      <c r="G32" s="109"/>
      <c r="H32" s="109"/>
      <c r="I32" s="109"/>
      <c r="J32" s="109"/>
      <c r="K32" s="109"/>
      <c r="L32" s="109"/>
      <c r="M32" s="110"/>
    </row>
    <row r="33" spans="2:13" x14ac:dyDescent="0.3">
      <c r="B33" s="108"/>
      <c r="C33" s="109"/>
      <c r="D33" s="109"/>
      <c r="E33" s="109"/>
      <c r="F33" s="109"/>
      <c r="G33" s="109"/>
      <c r="H33" s="109"/>
      <c r="I33" s="109"/>
      <c r="J33" s="109"/>
      <c r="K33" s="109"/>
      <c r="L33" s="109"/>
      <c r="M33" s="110"/>
    </row>
    <row r="34" spans="2:13" x14ac:dyDescent="0.3">
      <c r="B34" s="108"/>
      <c r="C34" s="109"/>
      <c r="D34" s="109"/>
      <c r="E34" s="109"/>
      <c r="F34" s="109"/>
      <c r="G34" s="109"/>
      <c r="H34" s="109"/>
      <c r="I34" s="109"/>
      <c r="J34" s="109"/>
      <c r="K34" s="109"/>
      <c r="L34" s="109"/>
      <c r="M34" s="110"/>
    </row>
    <row r="35" spans="2:13" ht="17.25" thickBot="1" x14ac:dyDescent="0.35">
      <c r="B35" s="111"/>
      <c r="C35" s="112"/>
      <c r="D35" s="112"/>
      <c r="E35" s="112"/>
      <c r="F35" s="112"/>
      <c r="G35" s="112"/>
      <c r="H35" s="112"/>
      <c r="I35" s="112"/>
      <c r="J35" s="112"/>
      <c r="K35" s="112"/>
      <c r="L35" s="112"/>
      <c r="M35" s="113"/>
    </row>
  </sheetData>
  <sheetProtection algorithmName="SHA-512" hashValue="GwzZCL3yPV9YtVEXzuGNx0UpljGIcCo7gQTKaaJQ9aNsPYJtPL3v6Vwlj6/utwwA/cluQIjZI3jcIe8Aa32K0w==" saltValue="DWCFWCMMpHxP6igOSzRZoQ==" spinCount="100000" sheet="1" selectLockedCells="1" selectUnlockedCells="1"/>
  <sortState xmlns:xlrd2="http://schemas.microsoft.com/office/spreadsheetml/2017/richdata2" ref="K4:K10">
    <sortCondition ref="K4:K10"/>
  </sortState>
  <phoneticPr fontId="23" type="noConversion"/>
  <pageMargins left="0.7" right="0.7" top="0.75" bottom="0.75" header="0.3" footer="0.3"/>
  <pageSetup orientation="portrait" r:id="rId1"/>
  <drawing r:id="rId2"/>
  <legacyDrawing r:id="rId3"/>
  <tableParts count="4">
    <tablePart r:id="rId4"/>
    <tablePart r:id="rId5"/>
    <tablePart r:id="rId6"/>
    <tablePart r:id="rId7"/>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13"/>
  <sheetViews>
    <sheetView workbookViewId="0"/>
  </sheetViews>
  <sheetFormatPr defaultRowHeight="16.5" x14ac:dyDescent="0.3"/>
  <cols>
    <col min="1" max="1" width="1.625" customWidth="1"/>
    <col min="2" max="2" width="58.25" customWidth="1"/>
    <col min="3" max="4" width="18.875" customWidth="1"/>
  </cols>
  <sheetData>
    <row r="1" ht="9" customHeight="1" x14ac:dyDescent="0.3"/>
    <row r="2" ht="102.95" customHeight="1" x14ac:dyDescent="0.3"/>
    <row r="3" ht="102.95" customHeight="1" x14ac:dyDescent="0.3"/>
    <row r="4" ht="102.95" customHeight="1" x14ac:dyDescent="0.3"/>
    <row r="5" ht="102.95" customHeight="1" x14ac:dyDescent="0.3"/>
    <row r="6" ht="102.95" customHeight="1" x14ac:dyDescent="0.3"/>
    <row r="7" ht="102.95" customHeight="1" x14ac:dyDescent="0.3"/>
    <row r="8" ht="102.95" customHeight="1" x14ac:dyDescent="0.3"/>
    <row r="9" ht="102.95" customHeight="1" x14ac:dyDescent="0.3"/>
    <row r="10" ht="102.95" customHeight="1" x14ac:dyDescent="0.3"/>
    <row r="11" ht="102.95" customHeight="1" x14ac:dyDescent="0.3"/>
    <row r="12" ht="102.95" customHeight="1" x14ac:dyDescent="0.3"/>
    <row r="13" ht="102.95" customHeight="1" x14ac:dyDescent="0.3"/>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A53409C465D9D428F7D655CCC25D136" ma:contentTypeVersion="11" ma:contentTypeDescription="Create a new document." ma:contentTypeScope="" ma:versionID="44fbe50323e8c2c1f5fce111026b8465">
  <xsd:schema xmlns:xsd="http://www.w3.org/2001/XMLSchema" xmlns:xs="http://www.w3.org/2001/XMLSchema" xmlns:p="http://schemas.microsoft.com/office/2006/metadata/properties" xmlns:ns2="d14f207e-f19c-469d-8b54-8050970ef1e7" targetNamespace="http://schemas.microsoft.com/office/2006/metadata/properties" ma:root="true" ma:fieldsID="13f7b66b9dce0b1f2a1449dc843092ff" ns2:_="">
    <xsd:import namespace="d14f207e-f19c-469d-8b54-8050970ef1e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4f207e-f19c-469d-8b54-8050970ef1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2a730a19-bb22-4aa3-b7ca-2485ddaf00a0"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d14f207e-f19c-469d-8b54-8050970ef1e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5857895-4151-46B0-B9DA-8897BAC85F5A}">
  <ds:schemaRefs>
    <ds:schemaRef ds:uri="http://schemas.microsoft.com/DataMashup"/>
  </ds:schemaRefs>
</ds:datastoreItem>
</file>

<file path=customXml/itemProps2.xml><?xml version="1.0" encoding="utf-8"?>
<ds:datastoreItem xmlns:ds="http://schemas.openxmlformats.org/officeDocument/2006/customXml" ds:itemID="{37EDF9C6-805F-4811-AC82-04A9D9B4E109}">
  <ds:schemaRefs>
    <ds:schemaRef ds:uri="http://schemas.microsoft.com/sharepoint/v3/contenttype/forms"/>
  </ds:schemaRefs>
</ds:datastoreItem>
</file>

<file path=customXml/itemProps3.xml><?xml version="1.0" encoding="utf-8"?>
<ds:datastoreItem xmlns:ds="http://schemas.openxmlformats.org/officeDocument/2006/customXml" ds:itemID="{1F1C61C8-6F52-4F56-970E-5D2C9DD5F154}"/>
</file>

<file path=customXml/itemProps4.xml><?xml version="1.0" encoding="utf-8"?>
<ds:datastoreItem xmlns:ds="http://schemas.openxmlformats.org/officeDocument/2006/customXml" ds:itemID="{B68F934C-124B-4362-A18A-2F536B211001}">
  <ds:schemaRefs>
    <ds:schemaRef ds:uri="http://www.w3.org/XML/1998/namespace"/>
    <ds:schemaRef ds:uri="http://purl.org/dc/elements/1.1/"/>
    <ds:schemaRef ds:uri="http://purl.org/dc/terms/"/>
    <ds:schemaRef ds:uri="230e9df3-be65-4c73-a93b-d1236ebd677e"/>
    <ds:schemaRef ds:uri="http://schemas.microsoft.com/office/2006/metadata/properties"/>
    <ds:schemaRef ds:uri="16c05727-aa75-4e4a-9b5f-8a80a1165891"/>
    <ds:schemaRef ds:uri="http://schemas.microsoft.com/office/2006/documentManagement/types"/>
    <ds:schemaRef ds:uri="http://schemas.microsoft.com/office/infopath/2007/PartnerControls"/>
    <ds:schemaRef ds:uri="71af3243-3dd4-4a8d-8c0d-dd76da1f02a5"/>
    <ds:schemaRef ds:uri="http://schemas.openxmlformats.org/package/2006/metadata/core-properties"/>
    <ds:schemaRef ds:uri="http://schemas.microsoft.com/sharepoint/v3"/>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TM34053033</Template>
  <Application>Microsoft Excel</Application>
  <DocSecurity>0</DocSecurity>
  <ScaleCrop>false</ScaleCrop>
  <HeadingPairs>
    <vt:vector size="4" baseType="variant">
      <vt:variant>
        <vt:lpstr>Worksheets</vt:lpstr>
      </vt:variant>
      <vt:variant>
        <vt:i4>12</vt:i4>
      </vt:variant>
      <vt:variant>
        <vt:lpstr>Named Ranges</vt:lpstr>
      </vt:variant>
      <vt:variant>
        <vt:i4>79</vt:i4>
      </vt:variant>
    </vt:vector>
  </HeadingPairs>
  <TitlesOfParts>
    <vt:vector size="91" baseType="lpstr">
      <vt:lpstr>START HERE</vt:lpstr>
      <vt:lpstr>Detailed Summary</vt:lpstr>
      <vt:lpstr>Definitions</vt:lpstr>
      <vt:lpstr>Calendar</vt:lpstr>
      <vt:lpstr>Exceptions</vt:lpstr>
      <vt:lpstr>Term 1 Timetable</vt:lpstr>
      <vt:lpstr>Term 2 Timetable</vt:lpstr>
      <vt:lpstr>Term 3 Timetable</vt:lpstr>
      <vt:lpstr>Term 4 Timetable</vt:lpstr>
      <vt:lpstr>Schools</vt:lpstr>
      <vt:lpstr>Calculations</vt:lpstr>
      <vt:lpstr>Parameters</vt:lpstr>
      <vt:lpstr>Calendar10Month</vt:lpstr>
      <vt:lpstr>Calendar10Year</vt:lpstr>
      <vt:lpstr>Calendar11Month</vt:lpstr>
      <vt:lpstr>Calendar11Year</vt:lpstr>
      <vt:lpstr>Calendar12Month</vt:lpstr>
      <vt:lpstr>Calendar12Year</vt:lpstr>
      <vt:lpstr>Calendar1Month</vt:lpstr>
      <vt:lpstr>Calendar1Year</vt:lpstr>
      <vt:lpstr>Calendar2Month</vt:lpstr>
      <vt:lpstr>Calendar2Year</vt:lpstr>
      <vt:lpstr>Calendar3Month</vt:lpstr>
      <vt:lpstr>Calendar3Year</vt:lpstr>
      <vt:lpstr>Calendar4Month</vt:lpstr>
      <vt:lpstr>Calendar4Year</vt:lpstr>
      <vt:lpstr>Calendar5Month</vt:lpstr>
      <vt:lpstr>Calendar5Year</vt:lpstr>
      <vt:lpstr>Calendar6Month</vt:lpstr>
      <vt:lpstr>Calendar6Year</vt:lpstr>
      <vt:lpstr>Calendar7Month</vt:lpstr>
      <vt:lpstr>Calendar7Year</vt:lpstr>
      <vt:lpstr>Calendar8Month</vt:lpstr>
      <vt:lpstr>Calendar8Year</vt:lpstr>
      <vt:lpstr>Calendar9Month</vt:lpstr>
      <vt:lpstr>Calendar9Year</vt:lpstr>
      <vt:lpstr>ColumnTitleRegion1..H12.1</vt:lpstr>
      <vt:lpstr>ColumnTitleRegion10..H54.1</vt:lpstr>
      <vt:lpstr>ColumnTitleRegion11..C56.1</vt:lpstr>
      <vt:lpstr>ColumnTitleRegion12..D56.1</vt:lpstr>
      <vt:lpstr>ColumnTitleRegion13..H68.1</vt:lpstr>
      <vt:lpstr>ColumnTitleRegion14..C70.1</vt:lpstr>
      <vt:lpstr>ColumnTitleRegion15..D70.1</vt:lpstr>
      <vt:lpstr>ColumnTitleRegion16..H82.1</vt:lpstr>
      <vt:lpstr>ColumnTitleRegion17..C84.1</vt:lpstr>
      <vt:lpstr>ColumnTitleRegion18..D84.1</vt:lpstr>
      <vt:lpstr>ColumnTitleRegion19..H96.1</vt:lpstr>
      <vt:lpstr>ColumnTitleRegion2..C14.1</vt:lpstr>
      <vt:lpstr>ColumnTitleRegion20..C98.1</vt:lpstr>
      <vt:lpstr>ColumnTitleRegion21..D98.1</vt:lpstr>
      <vt:lpstr>ColumnTitleRegion22..H110.1</vt:lpstr>
      <vt:lpstr>ColumnTitleRegion23..C112.1</vt:lpstr>
      <vt:lpstr>ColumnTitleRegion24..D112.1</vt:lpstr>
      <vt:lpstr>ColumnTitleRegion25..H124.1</vt:lpstr>
      <vt:lpstr>ColumnTitleRegion26..C126.1</vt:lpstr>
      <vt:lpstr>ColumnTitleRegion27..D126.1</vt:lpstr>
      <vt:lpstr>ColumnTitleRegion28..H138.1</vt:lpstr>
      <vt:lpstr>ColumnTitleRegion29..C140.1</vt:lpstr>
      <vt:lpstr>ColumnTitleRegion3..D14.1</vt:lpstr>
      <vt:lpstr>ColumnTitleRegion30..D140.1</vt:lpstr>
      <vt:lpstr>ColumnTitleRegion31..H152.1</vt:lpstr>
      <vt:lpstr>ColumnTitleRegion32..C154.1</vt:lpstr>
      <vt:lpstr>ColumnTitleRegion33..D154.1</vt:lpstr>
      <vt:lpstr>ColumnTitleRegion34..H166.1</vt:lpstr>
      <vt:lpstr>ColumnTitleRegion35..C168.1</vt:lpstr>
      <vt:lpstr>ColumnTitleRegion36..D168.1</vt:lpstr>
      <vt:lpstr>ColumnTitleRegion4..H26.1</vt:lpstr>
      <vt:lpstr>ColumnTitleRegion5..C28.1</vt:lpstr>
      <vt:lpstr>ColumnTitleRegion6..D28.1</vt:lpstr>
      <vt:lpstr>ColumnTitleRegion7..H40.1</vt:lpstr>
      <vt:lpstr>ColumnTitleRegion8..C42.1</vt:lpstr>
      <vt:lpstr>ColumnTitleRegion9..D42.1</vt:lpstr>
      <vt:lpstr>First_Instructional_Day1</vt:lpstr>
      <vt:lpstr>First_Instructional_Day2</vt:lpstr>
      <vt:lpstr>First_Instructional_Day3</vt:lpstr>
      <vt:lpstr>First_Instructional_Day4</vt:lpstr>
      <vt:lpstr>First_Operational_Day</vt:lpstr>
      <vt:lpstr>FTE</vt:lpstr>
      <vt:lpstr>Last_Operational_Day</vt:lpstr>
      <vt:lpstr>Num_Terms</vt:lpstr>
      <vt:lpstr>NumTeachers</vt:lpstr>
      <vt:lpstr>part_time_days</vt:lpstr>
      <vt:lpstr>PD_Length</vt:lpstr>
      <vt:lpstr>Planning_Length</vt:lpstr>
      <vt:lpstr>'Detailed Summary'!Print_Area</vt:lpstr>
      <vt:lpstr>Rotation</vt:lpstr>
      <vt:lpstr>rotationDays</vt:lpstr>
      <vt:lpstr>School</vt:lpstr>
      <vt:lpstr>TeacherName</vt:lpstr>
      <vt:lpstr>TypicalHours</vt:lpstr>
      <vt:lpstr>WeekStart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2022-12-26T23:55:29Z</dcterms:created>
  <dcterms:modified xsi:type="dcterms:W3CDTF">2025-06-16T14:17:04Z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0x010100DA53409C465D9D428F7D655CCC25D136</vt:lpwstr>
  </property>
</Properties>
</file>