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9.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1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13_ncr:1_{4CEF8269-FB7D-4C00-9F9F-06DDE94D4982}" xr6:coauthVersionLast="47" xr6:coauthVersionMax="47" xr10:uidLastSave="{00000000-0000-0000-0000-000000000000}"/>
  <bookViews>
    <workbookView xWindow="1050" yWindow="-120" windowWidth="27870" windowHeight="16440" tabRatio="662" xr2:uid="{9845F9B4-56AB-4E45-8B72-23C446119DE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Calendar!$C$152</definedName>
    <definedName name="Calendar10MonthOption">MATCH(Calendar10Month,Months,0)</definedName>
    <definedName name="Calendar10Year">Calendar!$B$152</definedName>
    <definedName name="Calendar11Month">Calendar!$C$168</definedName>
    <definedName name="Calendar11MonthOption">MATCH(Calendar11Month,Months,0)</definedName>
    <definedName name="Calendar11Year">Calendar!$B$168</definedName>
    <definedName name="Calendar12Month">Calendar!$C$184</definedName>
    <definedName name="Calendar12MonthOption">MATCH(Calendar12Month,Months,0)</definedName>
    <definedName name="Calendar12Year">Calendar!$B$184</definedName>
    <definedName name="Calendar1Month">Calendar!$C$8</definedName>
    <definedName name="Calendar1MonthOption">MATCH(Calendar1Month,Months,0)</definedName>
    <definedName name="Calendar1Year">Calendar!$B$8</definedName>
    <definedName name="Calendar2Month">Calendar!$C$24</definedName>
    <definedName name="Calendar2MonthOption">MATCH(Calendar2Month,Months,0)</definedName>
    <definedName name="Calendar2Year">Calendar!$B$24</definedName>
    <definedName name="Calendar3Month">Calendar!$C$40</definedName>
    <definedName name="Calendar3MonthOption">MATCH(Calendar3Month,Months,0)</definedName>
    <definedName name="Calendar3Year">Calendar!$B$40</definedName>
    <definedName name="Calendar4Month">Calendar!$C$56</definedName>
    <definedName name="Calendar4MonthOption">MATCH(Calendar4Month,Months,0)</definedName>
    <definedName name="Calendar4Year">Calendar!$B$56</definedName>
    <definedName name="Calendar5Month">Calendar!$C$72</definedName>
    <definedName name="Calendar5MonthOption">MATCH(Calendar5Month,Months,0)</definedName>
    <definedName name="Calendar5Year">Calendar!$B$72</definedName>
    <definedName name="Calendar6Month">Calendar!$C$88</definedName>
    <definedName name="Calendar6MonthOption">MATCH(Calendar6Month,Months,0)</definedName>
    <definedName name="Calendar6Year">Calendar!$B$88</definedName>
    <definedName name="Calendar7Month">Calendar!$C$104</definedName>
    <definedName name="Calendar7MonthOption">MATCH(Calendar7Month,Months,0)</definedName>
    <definedName name="Calendar7Year">Calendar!$B$104</definedName>
    <definedName name="Calendar8Month">Calendar!$C$120</definedName>
    <definedName name="Calendar8MonthOption">MATCH(Calendar8Month,Months,0)</definedName>
    <definedName name="Calendar8Year">Calendar!$B$120</definedName>
    <definedName name="Calendar9Month">Calendar!$C$136</definedName>
    <definedName name="Calendar9MonthOption">MATCH(Calendar9Month,Months,0)</definedName>
    <definedName name="Calendar9Year">Calendar!$B$136</definedName>
    <definedName name="ColumnTitleRegion1..H12.1">Calendar!$B$10</definedName>
    <definedName name="ColumnTitleRegion10..H54.1">Calendar!$B$58</definedName>
    <definedName name="ColumnTitleRegion11..C56.1">Calendar!$B$58</definedName>
    <definedName name="ColumnTitleRegion12..D56.1">Calendar!$D$69</definedName>
    <definedName name="ColumnTitleRegion13..H68.1">Calendar!$B$74</definedName>
    <definedName name="ColumnTitleRegion14..C70.1">Calendar!$B$74</definedName>
    <definedName name="ColumnTitleRegion15..D70.1">Calendar!$D$85</definedName>
    <definedName name="ColumnTitleRegion16..H82.1">Calendar!$B$90</definedName>
    <definedName name="ColumnTitleRegion17..C84.1">Calendar!$B$90</definedName>
    <definedName name="ColumnTitleRegion18..D84.1">Calendar!$D$101</definedName>
    <definedName name="ColumnTitleRegion19..H96.1">Calendar!$B$106</definedName>
    <definedName name="ColumnTitleRegion2..C14.1">Calendar!$B$10</definedName>
    <definedName name="ColumnTitleRegion20..C98.1">Calendar!$B$106</definedName>
    <definedName name="ColumnTitleRegion21..D98.1">Calendar!$D$117</definedName>
    <definedName name="ColumnTitleRegion22..H110.1">Calendar!$B$122</definedName>
    <definedName name="ColumnTitleRegion23..C112.1">Calendar!$B$122</definedName>
    <definedName name="ColumnTitleRegion24..D112.1">Calendar!$D$133</definedName>
    <definedName name="ColumnTitleRegion25..H124.1">Calendar!$B$138</definedName>
    <definedName name="ColumnTitleRegion26..C126.1">Calendar!$B$138</definedName>
    <definedName name="ColumnTitleRegion27..D126.1">Calendar!$D$149</definedName>
    <definedName name="ColumnTitleRegion28..H138.1">Calendar!$B$154</definedName>
    <definedName name="ColumnTitleRegion29..C140.1">Calendar!$B$154</definedName>
    <definedName name="ColumnTitleRegion3..D14.1">Calendar!$D$21</definedName>
    <definedName name="ColumnTitleRegion30..D140.1">Calendar!$D$165</definedName>
    <definedName name="ColumnTitleRegion31..H152.1">Calendar!$B$170</definedName>
    <definedName name="ColumnTitleRegion32..C154.1">Calendar!$B$170</definedName>
    <definedName name="ColumnTitleRegion33..D154.1">Calendar!$D$181</definedName>
    <definedName name="ColumnTitleRegion34..H166.1">Calendar!$B$186</definedName>
    <definedName name="ColumnTitleRegion35..C168.1">Calendar!$B$186</definedName>
    <definedName name="ColumnTitleRegion36..D168.1">Calendar!$D$197</definedName>
    <definedName name="ColumnTitleRegion4..H26.1">Calendar!$B$26</definedName>
    <definedName name="ColumnTitleRegion5..C28.1">Calendar!$B$26</definedName>
    <definedName name="ColumnTitleRegion6..D28.1">Calendar!$D$37</definedName>
    <definedName name="ColumnTitleRegion7..H40.1">Calendar!$B$42</definedName>
    <definedName name="ColumnTitleRegion8..C42.1">Calendar!$B$42</definedName>
    <definedName name="ColumnTitleRegion9..D42.1">Calendar!$D$53</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WeekdayOption">MATCH(WeekStart,Weekdays,0)+10</definedName>
    <definedName name="Weekdays">{"Monday","Tuesday","Wednesday","Thursday","Friday","Saturday","Sunday"}</definedName>
    <definedName name="WeekStart">Calendar!$B$10</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I47" i="17" l="1"/>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BI17" i="17"/>
  <c r="BI16" i="17"/>
  <c r="BI15" i="17"/>
  <c r="L4" i="16"/>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K30" i="29"/>
  <c r="BJ30" i="29"/>
  <c r="BI30" i="29"/>
  <c r="BK29" i="29"/>
  <c r="BJ29" i="29"/>
  <c r="BI29" i="29"/>
  <c r="BK28" i="29"/>
  <c r="BJ28" i="29"/>
  <c r="BI28" i="29"/>
  <c r="BJ27" i="29"/>
  <c r="BI27" i="29"/>
  <c r="BK27" i="29" s="1"/>
  <c r="BK26" i="29"/>
  <c r="BJ26" i="29"/>
  <c r="BI26" i="29"/>
  <c r="BK25" i="29"/>
  <c r="BJ25" i="29"/>
  <c r="BI25" i="29"/>
  <c r="BK24" i="29"/>
  <c r="BJ24" i="29"/>
  <c r="BI24" i="29"/>
  <c r="BK23" i="29"/>
  <c r="BJ23" i="29"/>
  <c r="BI23" i="29"/>
  <c r="BJ22" i="29"/>
  <c r="BI22" i="29"/>
  <c r="BK22" i="29" s="1"/>
  <c r="BK21" i="29"/>
  <c r="BI21" i="29"/>
  <c r="BJ21" i="29" s="1"/>
  <c r="BK20" i="29"/>
  <c r="BJ20" i="29"/>
  <c r="BI20" i="29"/>
  <c r="BK19" i="29"/>
  <c r="BI19" i="29"/>
  <c r="BJ19" i="29" s="1"/>
  <c r="BJ18" i="29"/>
  <c r="BI18" i="29"/>
  <c r="BK18" i="29" s="1"/>
  <c r="BK17" i="29"/>
  <c r="BI17" i="29"/>
  <c r="BJ17" i="29" s="1"/>
  <c r="BK16" i="29"/>
  <c r="BJ16" i="29"/>
  <c r="BI16" i="29"/>
  <c r="BK15" i="29"/>
  <c r="BI15" i="29"/>
  <c r="BJ15" i="29" s="1"/>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D30" i="29"/>
  <c r="BC30" i="29"/>
  <c r="BB30" i="29"/>
  <c r="BD29" i="29"/>
  <c r="BC29" i="29"/>
  <c r="BB29" i="29"/>
  <c r="BD28" i="29"/>
  <c r="BC28" i="29"/>
  <c r="BB28" i="29"/>
  <c r="BC27" i="29"/>
  <c r="BB27" i="29"/>
  <c r="BD27" i="29" s="1"/>
  <c r="BD26" i="29"/>
  <c r="BB26" i="29"/>
  <c r="BC26" i="29" s="1"/>
  <c r="BC25" i="29"/>
  <c r="BB25" i="29"/>
  <c r="BD25" i="29" s="1"/>
  <c r="BD24" i="29"/>
  <c r="BC24" i="29"/>
  <c r="BB24" i="29"/>
  <c r="BD23" i="29"/>
  <c r="BC23" i="29"/>
  <c r="BB23" i="29"/>
  <c r="BC22" i="29"/>
  <c r="BB22" i="29"/>
  <c r="BD22" i="29" s="1"/>
  <c r="BD21" i="29"/>
  <c r="BB21" i="29"/>
  <c r="BC21" i="29" s="1"/>
  <c r="BD20" i="29"/>
  <c r="BC20" i="29"/>
  <c r="BB20" i="29"/>
  <c r="BD19" i="29"/>
  <c r="BB19" i="29"/>
  <c r="BC19" i="29" s="1"/>
  <c r="BC18" i="29"/>
  <c r="BB18" i="29"/>
  <c r="BD18" i="29" s="1"/>
  <c r="BD17" i="29"/>
  <c r="BB17" i="29"/>
  <c r="BC17" i="29" s="1"/>
  <c r="BD16" i="29"/>
  <c r="BC16" i="29"/>
  <c r="BB16" i="29"/>
  <c r="BD15" i="29"/>
  <c r="BB15" i="29"/>
  <c r="BC15" i="29" s="1"/>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W30" i="29"/>
  <c r="AV30" i="29"/>
  <c r="AU30" i="29"/>
  <c r="AW29" i="29"/>
  <c r="AV29" i="29"/>
  <c r="AU29" i="29"/>
  <c r="AW28" i="29"/>
  <c r="AV28" i="29"/>
  <c r="AU28" i="29"/>
  <c r="AV27" i="29"/>
  <c r="AU27" i="29"/>
  <c r="AW27" i="29" s="1"/>
  <c r="AW26" i="29"/>
  <c r="AU26" i="29"/>
  <c r="AV26" i="29" s="1"/>
  <c r="AV25" i="29"/>
  <c r="AU25" i="29"/>
  <c r="AW25" i="29" s="1"/>
  <c r="AW24" i="29"/>
  <c r="AV24" i="29"/>
  <c r="AU24" i="29"/>
  <c r="AW23" i="29"/>
  <c r="AV23" i="29"/>
  <c r="AU23" i="29"/>
  <c r="AV22" i="29"/>
  <c r="AU22" i="29"/>
  <c r="AW22" i="29" s="1"/>
  <c r="AW21" i="29"/>
  <c r="AV21" i="29"/>
  <c r="AU21" i="29"/>
  <c r="AW20" i="29"/>
  <c r="AV20" i="29"/>
  <c r="AU20" i="29"/>
  <c r="AW19" i="29"/>
  <c r="AU19" i="29"/>
  <c r="AV19" i="29" s="1"/>
  <c r="AW18" i="29"/>
  <c r="AV18" i="29"/>
  <c r="AU18" i="29"/>
  <c r="AW17" i="29"/>
  <c r="AU17" i="29"/>
  <c r="AV17" i="29" s="1"/>
  <c r="AW16" i="29"/>
  <c r="AV16" i="29"/>
  <c r="AU16" i="29"/>
  <c r="AW15" i="29"/>
  <c r="AV15" i="29"/>
  <c r="AU15" i="29"/>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J29" i="28"/>
  <c r="BI29" i="28"/>
  <c r="BK28" i="28"/>
  <c r="BJ28" i="28"/>
  <c r="BI28" i="28"/>
  <c r="BK27" i="28"/>
  <c r="BJ27" i="28"/>
  <c r="BI27" i="28"/>
  <c r="BK26" i="28"/>
  <c r="BI26" i="28"/>
  <c r="BJ26" i="28" s="1"/>
  <c r="BJ25" i="28"/>
  <c r="BI25" i="28"/>
  <c r="BK25" i="28" s="1"/>
  <c r="BK24" i="28"/>
  <c r="BJ24" i="28"/>
  <c r="BI24" i="28"/>
  <c r="BK23" i="28"/>
  <c r="BJ23" i="28"/>
  <c r="BI23" i="28"/>
  <c r="BJ22" i="28"/>
  <c r="BI22" i="28"/>
  <c r="BK22" i="28" s="1"/>
  <c r="BK21" i="28"/>
  <c r="BJ21" i="28"/>
  <c r="BI21" i="28"/>
  <c r="BK20" i="28"/>
  <c r="BJ20" i="28"/>
  <c r="BI20" i="28"/>
  <c r="BK19" i="28"/>
  <c r="BJ19" i="28"/>
  <c r="BI19" i="28"/>
  <c r="BK18" i="28"/>
  <c r="BJ18" i="28"/>
  <c r="BI18" i="28"/>
  <c r="BK17" i="28"/>
  <c r="BI17" i="28"/>
  <c r="BJ17" i="28" s="1"/>
  <c r="BK16" i="28"/>
  <c r="BJ16" i="28"/>
  <c r="BI16" i="28"/>
  <c r="BK15" i="28"/>
  <c r="BJ15" i="28"/>
  <c r="BI15"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D30" i="28"/>
  <c r="BC30" i="28"/>
  <c r="BB30" i="28"/>
  <c r="BD29" i="28"/>
  <c r="BC29" i="28"/>
  <c r="BB29" i="28"/>
  <c r="BD28" i="28"/>
  <c r="BC28" i="28"/>
  <c r="BB28" i="28"/>
  <c r="BC27" i="28"/>
  <c r="BB27" i="28"/>
  <c r="BD27" i="28" s="1"/>
  <c r="BD26" i="28"/>
  <c r="BC26" i="28"/>
  <c r="BB26" i="28"/>
  <c r="BC25" i="28"/>
  <c r="BB25" i="28"/>
  <c r="BD25" i="28" s="1"/>
  <c r="BD24" i="28"/>
  <c r="BC24" i="28"/>
  <c r="BB24" i="28"/>
  <c r="BD23" i="28"/>
  <c r="BC23" i="28"/>
  <c r="BB23" i="28"/>
  <c r="BC22" i="28"/>
  <c r="BB22" i="28"/>
  <c r="BD22" i="28" s="1"/>
  <c r="BD21" i="28"/>
  <c r="BB21" i="28"/>
  <c r="BC21" i="28" s="1"/>
  <c r="BD20" i="28"/>
  <c r="BC20" i="28"/>
  <c r="BB20" i="28"/>
  <c r="BD19" i="28"/>
  <c r="BB19" i="28"/>
  <c r="BC19" i="28" s="1"/>
  <c r="BC18" i="28"/>
  <c r="BB18" i="28"/>
  <c r="BD18" i="28" s="1"/>
  <c r="BD17" i="28"/>
  <c r="BB17" i="28"/>
  <c r="BC17" i="28" s="1"/>
  <c r="BD16" i="28"/>
  <c r="BC16" i="28"/>
  <c r="BB16" i="28"/>
  <c r="BD15" i="28"/>
  <c r="BB15" i="28"/>
  <c r="BC15" i="28" s="1"/>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V29" i="28"/>
  <c r="AU29" i="28"/>
  <c r="AW28" i="28"/>
  <c r="AV28" i="28"/>
  <c r="AU28" i="28"/>
  <c r="AW27" i="28"/>
  <c r="AV27" i="28"/>
  <c r="AU27" i="28"/>
  <c r="AW26" i="28"/>
  <c r="AU26" i="28"/>
  <c r="AV26" i="28" s="1"/>
  <c r="AV25" i="28"/>
  <c r="AU25" i="28"/>
  <c r="AW25" i="28" s="1"/>
  <c r="AW24" i="28"/>
  <c r="AU24" i="28"/>
  <c r="AV24" i="28" s="1"/>
  <c r="AW23" i="28"/>
  <c r="AV23" i="28"/>
  <c r="AU23" i="28"/>
  <c r="AW22" i="28"/>
  <c r="AV22" i="28"/>
  <c r="AU22" i="28"/>
  <c r="AW21" i="28"/>
  <c r="AU21" i="28"/>
  <c r="AV21" i="28" s="1"/>
  <c r="AW20" i="28"/>
  <c r="AV20" i="28"/>
  <c r="AU20" i="28"/>
  <c r="AW19" i="28"/>
  <c r="AV19" i="28"/>
  <c r="AU19" i="28"/>
  <c r="AV18" i="28"/>
  <c r="AU18" i="28"/>
  <c r="AW18" i="28" s="1"/>
  <c r="AW17" i="28"/>
  <c r="AV17" i="28"/>
  <c r="AU17" i="28"/>
  <c r="AW16" i="28"/>
  <c r="AV16" i="28"/>
  <c r="AU16" i="28"/>
  <c r="AW15" i="28"/>
  <c r="AV15" i="28"/>
  <c r="AU15" i="28"/>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K31" i="27"/>
  <c r="BJ31" i="27"/>
  <c r="BI31" i="27"/>
  <c r="BK30" i="27"/>
  <c r="BJ30" i="27"/>
  <c r="BI30" i="27"/>
  <c r="BK29" i="27"/>
  <c r="BJ29" i="27"/>
  <c r="BI29" i="27"/>
  <c r="BJ28" i="27"/>
  <c r="BI28" i="27"/>
  <c r="BK28" i="27" s="1"/>
  <c r="BK27" i="27"/>
  <c r="BJ27" i="27"/>
  <c r="BI27" i="27"/>
  <c r="BK26" i="27"/>
  <c r="BI26" i="27"/>
  <c r="BJ26" i="27" s="1"/>
  <c r="BJ25" i="27"/>
  <c r="BI25" i="27"/>
  <c r="BK25" i="27" s="1"/>
  <c r="BK24" i="27"/>
  <c r="BJ24" i="27"/>
  <c r="BI24" i="27"/>
  <c r="BK23" i="27"/>
  <c r="BJ23" i="27"/>
  <c r="BI23" i="27"/>
  <c r="BK22" i="27"/>
  <c r="BJ22" i="27"/>
  <c r="BI22" i="27"/>
  <c r="BK21" i="27"/>
  <c r="BJ21" i="27"/>
  <c r="BI21" i="27"/>
  <c r="BJ20" i="27"/>
  <c r="BI20" i="27"/>
  <c r="BK20" i="27" s="1"/>
  <c r="BK19" i="27"/>
  <c r="BI19" i="27"/>
  <c r="BJ19" i="27" s="1"/>
  <c r="BJ18" i="27"/>
  <c r="BI18" i="27"/>
  <c r="BK18" i="27" s="1"/>
  <c r="BK17" i="27"/>
  <c r="BI17" i="27"/>
  <c r="BJ17" i="27" s="1"/>
  <c r="BJ16" i="27"/>
  <c r="BI16" i="27"/>
  <c r="BK16" i="27" s="1"/>
  <c r="BK15" i="27"/>
  <c r="BJ15" i="27"/>
  <c r="BI15"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C29" i="27"/>
  <c r="BB29" i="27"/>
  <c r="BD28" i="27"/>
  <c r="BC28" i="27"/>
  <c r="BB28" i="27"/>
  <c r="BD27" i="27"/>
  <c r="BC27" i="27"/>
  <c r="BB27" i="27"/>
  <c r="BD26" i="27"/>
  <c r="BB26" i="27"/>
  <c r="BC26" i="27" s="1"/>
  <c r="BD25" i="27"/>
  <c r="BC25" i="27"/>
  <c r="BB25" i="27"/>
  <c r="BD24" i="27"/>
  <c r="BC24" i="27"/>
  <c r="BB24" i="27"/>
  <c r="BD23" i="27"/>
  <c r="BC23" i="27"/>
  <c r="BB23" i="27"/>
  <c r="BC22" i="27"/>
  <c r="BB22" i="27"/>
  <c r="BD22" i="27" s="1"/>
  <c r="BD21" i="27"/>
  <c r="BB21" i="27"/>
  <c r="BC21" i="27" s="1"/>
  <c r="BD20" i="27"/>
  <c r="BC20" i="27"/>
  <c r="BB20" i="27"/>
  <c r="BD19" i="27"/>
  <c r="BB19" i="27"/>
  <c r="BC19" i="27" s="1"/>
  <c r="BC18" i="27"/>
  <c r="BB18" i="27"/>
  <c r="BD18" i="27" s="1"/>
  <c r="BD17" i="27"/>
  <c r="BB17" i="27"/>
  <c r="BC17" i="27" s="1"/>
  <c r="BD16" i="27"/>
  <c r="BC16" i="27"/>
  <c r="BB16" i="27"/>
  <c r="BD15" i="27"/>
  <c r="BB15" i="27"/>
  <c r="BC15" i="27" s="1"/>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V29" i="27"/>
  <c r="AU29" i="27"/>
  <c r="AW28" i="27"/>
  <c r="AV28" i="27"/>
  <c r="AU28" i="27"/>
  <c r="AW27" i="27"/>
  <c r="AV27" i="27"/>
  <c r="AU27" i="27"/>
  <c r="AW26" i="27"/>
  <c r="AU26" i="27"/>
  <c r="AV26" i="27" s="1"/>
  <c r="AV25" i="27"/>
  <c r="AU25" i="27"/>
  <c r="AW25" i="27" s="1"/>
  <c r="AW24" i="27"/>
  <c r="AV24" i="27"/>
  <c r="AU24" i="27"/>
  <c r="AW23" i="27"/>
  <c r="AV23" i="27"/>
  <c r="AU23" i="27"/>
  <c r="AV22" i="27"/>
  <c r="AU22" i="27"/>
  <c r="AW22" i="27" s="1"/>
  <c r="AW21" i="27"/>
  <c r="AV21" i="27"/>
  <c r="AU21" i="27"/>
  <c r="AW20" i="27"/>
  <c r="AV20" i="27"/>
  <c r="AU20" i="27"/>
  <c r="AW19" i="27"/>
  <c r="AV19" i="27"/>
  <c r="AU19" i="27"/>
  <c r="AW18" i="27"/>
  <c r="AV18" i="27"/>
  <c r="AU18" i="27"/>
  <c r="AW17" i="27"/>
  <c r="AU17" i="27"/>
  <c r="AV17" i="27" s="1"/>
  <c r="AW16" i="27"/>
  <c r="AV16" i="27"/>
  <c r="AU16" i="27"/>
  <c r="AW15" i="27"/>
  <c r="AU15" i="27"/>
  <c r="AV15" i="27" s="1"/>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K31" i="17"/>
  <c r="BJ31" i="17"/>
  <c r="BK30" i="17"/>
  <c r="BJ30" i="17"/>
  <c r="BK29" i="17"/>
  <c r="BJ29" i="17"/>
  <c r="BJ28" i="17"/>
  <c r="BK28" i="17"/>
  <c r="BJ27" i="17"/>
  <c r="BK27" i="17"/>
  <c r="BK26" i="17"/>
  <c r="BJ26" i="17"/>
  <c r="BJ25" i="17"/>
  <c r="BK25" i="17"/>
  <c r="BK24" i="17"/>
  <c r="BJ24" i="17"/>
  <c r="BK23" i="17"/>
  <c r="BJ23" i="17"/>
  <c r="BJ22" i="17"/>
  <c r="BK22" i="17"/>
  <c r="BK21" i="17"/>
  <c r="BJ21" i="17"/>
  <c r="BJ20" i="17"/>
  <c r="BK20" i="17"/>
  <c r="BK19" i="17"/>
  <c r="BJ19" i="17"/>
  <c r="BJ18" i="17"/>
  <c r="BK18" i="17"/>
  <c r="BK17" i="17"/>
  <c r="BJ17" i="17"/>
  <c r="BJ16" i="17"/>
  <c r="BK16" i="17"/>
  <c r="BK15" i="17"/>
  <c r="BJ15"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D30" i="17"/>
  <c r="BC30" i="17"/>
  <c r="BB30" i="17"/>
  <c r="BD29" i="17"/>
  <c r="BC29" i="17"/>
  <c r="BB29" i="17"/>
  <c r="BD28" i="17"/>
  <c r="BC28" i="17"/>
  <c r="BB28" i="17"/>
  <c r="BC27" i="17"/>
  <c r="BB27" i="17"/>
  <c r="BD27" i="17" s="1"/>
  <c r="BD26" i="17"/>
  <c r="BB26" i="17"/>
  <c r="BC26" i="17" s="1"/>
  <c r="BD25" i="17"/>
  <c r="BC25" i="17"/>
  <c r="BB25" i="17"/>
  <c r="BD24" i="17"/>
  <c r="BB24" i="17"/>
  <c r="BC24" i="17" s="1"/>
  <c r="BD23" i="17"/>
  <c r="BC23" i="17"/>
  <c r="BB23" i="17"/>
  <c r="BC22" i="17"/>
  <c r="BB22" i="17"/>
  <c r="BD22" i="17" s="1"/>
  <c r="BD21" i="17"/>
  <c r="BB21" i="17"/>
  <c r="BC21" i="17" s="1"/>
  <c r="BC20" i="17"/>
  <c r="BB20" i="17"/>
  <c r="BD20" i="17" s="1"/>
  <c r="BD19" i="17"/>
  <c r="BB19" i="17"/>
  <c r="BC19" i="17" s="1"/>
  <c r="BC18" i="17"/>
  <c r="BB18" i="17"/>
  <c r="BD18" i="17" s="1"/>
  <c r="BD17" i="17"/>
  <c r="BB17" i="17"/>
  <c r="BC17" i="17" s="1"/>
  <c r="BC16" i="17"/>
  <c r="BB16" i="17"/>
  <c r="BD16" i="17" s="1"/>
  <c r="BD15" i="17"/>
  <c r="BB15" i="17"/>
  <c r="BC15" i="17" s="1"/>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W31" i="17"/>
  <c r="AV31" i="17"/>
  <c r="AU31" i="17"/>
  <c r="AW30" i="17"/>
  <c r="AV30" i="17"/>
  <c r="AU30" i="17"/>
  <c r="AW29" i="17"/>
  <c r="AV29" i="17"/>
  <c r="AU29" i="17"/>
  <c r="AV28" i="17"/>
  <c r="AU28" i="17"/>
  <c r="AW28" i="17" s="1"/>
  <c r="AV27" i="17"/>
  <c r="AU27" i="17"/>
  <c r="AW27" i="17" s="1"/>
  <c r="AW26" i="17"/>
  <c r="AU26" i="17"/>
  <c r="AV26" i="17" s="1"/>
  <c r="AW25" i="17"/>
  <c r="AV25" i="17"/>
  <c r="AU25" i="17"/>
  <c r="AW24" i="17"/>
  <c r="AV24" i="17"/>
  <c r="AU24" i="17"/>
  <c r="AW23" i="17"/>
  <c r="AV23" i="17"/>
  <c r="AU23" i="17"/>
  <c r="AV22" i="17"/>
  <c r="AU22" i="17"/>
  <c r="AW22" i="17" s="1"/>
  <c r="AW21" i="17"/>
  <c r="AU21" i="17"/>
  <c r="AV21" i="17" s="1"/>
  <c r="AV20" i="17"/>
  <c r="AU20" i="17"/>
  <c r="AW20" i="17" s="1"/>
  <c r="AW19" i="17"/>
  <c r="AU19" i="17"/>
  <c r="AV19" i="17" s="1"/>
  <c r="AV18" i="17"/>
  <c r="AU18" i="17"/>
  <c r="AW18" i="17" s="1"/>
  <c r="AW17" i="17"/>
  <c r="AU17" i="17"/>
  <c r="AV17" i="17" s="1"/>
  <c r="AW16" i="17"/>
  <c r="AV16" i="17"/>
  <c r="AU16" i="17"/>
  <c r="AW15" i="17"/>
  <c r="AU15" i="17"/>
  <c r="AV15" i="17" s="1"/>
  <c r="Z15" i="17"/>
  <c r="E26" i="20"/>
  <c r="F20" i="20"/>
  <c r="B11" i="29"/>
  <c r="B11" i="28"/>
  <c r="B11" i="27"/>
  <c r="AE66" i="24" l="1"/>
  <c r="AD65" i="24"/>
  <c r="AD46" i="24"/>
  <c r="AE30" i="24"/>
  <c r="AD29" i="24"/>
  <c r="AD64" i="24"/>
  <c r="AF64" i="24" s="1"/>
  <c r="AE64" i="24"/>
  <c r="AE65" i="24"/>
  <c r="AF65" i="24" s="1"/>
  <c r="AD66" i="24"/>
  <c r="AF66" i="24" s="1"/>
  <c r="AE48" i="24"/>
  <c r="AD48" i="24"/>
  <c r="AF48" i="24" s="1"/>
  <c r="AD47" i="24"/>
  <c r="AF47" i="24" s="1"/>
  <c r="AE47" i="24"/>
  <c r="AE46" i="24"/>
  <c r="AF46" i="24" s="1"/>
  <c r="AD30" i="24"/>
  <c r="AF30" i="24" s="1"/>
  <c r="AE29" i="24"/>
  <c r="AD28" i="24"/>
  <c r="AE28" i="24"/>
  <c r="AF28" i="24" s="1"/>
  <c r="AE12" i="24"/>
  <c r="AD12" i="24"/>
  <c r="AD11" i="24"/>
  <c r="AF11" i="24" s="1"/>
  <c r="AE11" i="24"/>
  <c r="AD10" i="24"/>
  <c r="AF10" i="24" s="1"/>
  <c r="AE10" i="24"/>
  <c r="F19" i="20"/>
  <c r="F18" i="20"/>
  <c r="F17" i="20"/>
  <c r="F16" i="20"/>
  <c r="AF29" i="24" l="1"/>
  <c r="AF12" i="24"/>
  <c r="G3" i="20"/>
  <c r="E13" i="20"/>
  <c r="E14" i="20"/>
  <c r="E10" i="20"/>
  <c r="E23" i="20"/>
  <c r="F119" i="18"/>
  <c r="E11" i="20"/>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AF75" i="24"/>
  <c r="AF57" i="24"/>
  <c r="AF39" i="24"/>
  <c r="AF21" i="24"/>
  <c r="C12" i="16"/>
  <c r="E25" i="20"/>
  <c r="E22" i="20"/>
  <c r="E24" i="20"/>
  <c r="E21" i="20"/>
  <c r="E20" i="20"/>
  <c r="E19" i="20"/>
  <c r="E18" i="20"/>
  <c r="E17" i="20"/>
  <c r="E16" i="20"/>
  <c r="E15" i="20"/>
  <c r="G2" i="20" l="1"/>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9" i="22"/>
  <c r="I9" i="22" s="1"/>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H9" i="22"/>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BR15" i="29"/>
  <c r="BR17" i="29"/>
  <c r="BR19" i="29"/>
  <c r="BR20" i="29"/>
  <c r="BR21" i="29"/>
  <c r="BR23" i="29"/>
  <c r="BR24" i="29"/>
  <c r="BR25" i="29"/>
  <c r="BR26" i="29"/>
  <c r="BR28" i="29"/>
  <c r="BR29" i="29"/>
  <c r="BR30" i="29"/>
  <c r="BR31" i="29"/>
  <c r="BR32" i="29"/>
  <c r="BR33" i="29"/>
  <c r="BR34" i="29"/>
  <c r="BR35" i="29"/>
  <c r="BR36" i="29"/>
  <c r="BR37" i="29"/>
  <c r="BR38" i="29"/>
  <c r="BR39" i="29"/>
  <c r="BR40" i="29"/>
  <c r="BR41" i="29"/>
  <c r="BR42" i="29"/>
  <c r="BR43" i="29"/>
  <c r="BR44" i="29"/>
  <c r="BR45" i="29"/>
  <c r="BR46" i="29"/>
  <c r="BR47" i="29"/>
  <c r="BQ16" i="29"/>
  <c r="BQ18" i="29"/>
  <c r="BQ20" i="29"/>
  <c r="BQ22" i="29"/>
  <c r="BQ23" i="29"/>
  <c r="BQ25" i="29"/>
  <c r="BQ27" i="29"/>
  <c r="BQ28" i="29"/>
  <c r="BQ29" i="29"/>
  <c r="BQ30" i="29"/>
  <c r="BQ31" i="29"/>
  <c r="BQ32" i="29"/>
  <c r="BQ33" i="29"/>
  <c r="BQ34" i="29"/>
  <c r="BQ35" i="29"/>
  <c r="BQ36" i="29"/>
  <c r="BQ37" i="29"/>
  <c r="BQ38" i="29"/>
  <c r="BQ39" i="29"/>
  <c r="BQ40" i="29"/>
  <c r="BQ41" i="29"/>
  <c r="BQ42" i="29"/>
  <c r="BQ43" i="29"/>
  <c r="BQ44" i="29"/>
  <c r="BQ45" i="29"/>
  <c r="BQ46" i="29"/>
  <c r="BQ47" i="29"/>
  <c r="AP15" i="29"/>
  <c r="AP17" i="29"/>
  <c r="AP19" i="29"/>
  <c r="AP21" i="29"/>
  <c r="AP23" i="29"/>
  <c r="AP24" i="29"/>
  <c r="AP25" i="29"/>
  <c r="AP26" i="29"/>
  <c r="AP29" i="29"/>
  <c r="AP30" i="29"/>
  <c r="AP31" i="29"/>
  <c r="AP32" i="29"/>
  <c r="AP33" i="29"/>
  <c r="AP34" i="29"/>
  <c r="AP35" i="29"/>
  <c r="AP36" i="29"/>
  <c r="AP37" i="29"/>
  <c r="AP38" i="29"/>
  <c r="AP39" i="29"/>
  <c r="AP40" i="29"/>
  <c r="AP41" i="29"/>
  <c r="AP42" i="29"/>
  <c r="AP43" i="29"/>
  <c r="AP44" i="29"/>
  <c r="AP45" i="29"/>
  <c r="AP46" i="29"/>
  <c r="AP47" i="29"/>
  <c r="AO16" i="29"/>
  <c r="AO18" i="29"/>
  <c r="AO20" i="29"/>
  <c r="AO22" i="29"/>
  <c r="AO23" i="29"/>
  <c r="AO24" i="29"/>
  <c r="AO25" i="29"/>
  <c r="AO27" i="29"/>
  <c r="AO28" i="29"/>
  <c r="AO29" i="29"/>
  <c r="AO30" i="29"/>
  <c r="AO31" i="29"/>
  <c r="AO32" i="29"/>
  <c r="AO33" i="29"/>
  <c r="AO34" i="29"/>
  <c r="AO35" i="29"/>
  <c r="AO36" i="29"/>
  <c r="AO37" i="29"/>
  <c r="AO38" i="29"/>
  <c r="AO39" i="29"/>
  <c r="AO40" i="29"/>
  <c r="AO41" i="29"/>
  <c r="AO42" i="29"/>
  <c r="AO43" i="29"/>
  <c r="AO44" i="29"/>
  <c r="AO45" i="29"/>
  <c r="AO46" i="29"/>
  <c r="AO47" i="29"/>
  <c r="AI15" i="29"/>
  <c r="AI17" i="29"/>
  <c r="AI18" i="29"/>
  <c r="AI19" i="29"/>
  <c r="AI21" i="29"/>
  <c r="AI23" i="29"/>
  <c r="AI24" i="29"/>
  <c r="AI25" i="29"/>
  <c r="AI26" i="29"/>
  <c r="AI29" i="29"/>
  <c r="AI30" i="29"/>
  <c r="AI31" i="29"/>
  <c r="AI32" i="29"/>
  <c r="AI33" i="29"/>
  <c r="AI34" i="29"/>
  <c r="AI35" i="29"/>
  <c r="AI36" i="29"/>
  <c r="AI37" i="29"/>
  <c r="AI38" i="29"/>
  <c r="AI39" i="29"/>
  <c r="AI40" i="29"/>
  <c r="AI41" i="29"/>
  <c r="AI42" i="29"/>
  <c r="AI43" i="29"/>
  <c r="AI44" i="29"/>
  <c r="AI45" i="29"/>
  <c r="AI46" i="29"/>
  <c r="AI47" i="29"/>
  <c r="AH16" i="29"/>
  <c r="AH17" i="29"/>
  <c r="AH18" i="29"/>
  <c r="AH20" i="29"/>
  <c r="AH22" i="29"/>
  <c r="AH23" i="29"/>
  <c r="AH25" i="29"/>
  <c r="AH27" i="29"/>
  <c r="AH28" i="29"/>
  <c r="AH29" i="29"/>
  <c r="AH30" i="29"/>
  <c r="AH31" i="29"/>
  <c r="AH32" i="29"/>
  <c r="AH33" i="29"/>
  <c r="AH34" i="29"/>
  <c r="AH35" i="29"/>
  <c r="AH36" i="29"/>
  <c r="AH37" i="29"/>
  <c r="AH38" i="29"/>
  <c r="AH39" i="29"/>
  <c r="AH40" i="29"/>
  <c r="AH41" i="29"/>
  <c r="AH42" i="29"/>
  <c r="AH43" i="29"/>
  <c r="AH44" i="29"/>
  <c r="AH45" i="29"/>
  <c r="AH46" i="29"/>
  <c r="AH47" i="29"/>
  <c r="AB15" i="29"/>
  <c r="AB16" i="29"/>
  <c r="AB17" i="29"/>
  <c r="AB18" i="29"/>
  <c r="AB19" i="29"/>
  <c r="AB21" i="29"/>
  <c r="AB23" i="29"/>
  <c r="AB24" i="29"/>
  <c r="AB26" i="29"/>
  <c r="AB29" i="29"/>
  <c r="AB30" i="29"/>
  <c r="AB31" i="29"/>
  <c r="AB32" i="29"/>
  <c r="AB33" i="29"/>
  <c r="AB34" i="29"/>
  <c r="AB35" i="29"/>
  <c r="AB36" i="29"/>
  <c r="AB37" i="29"/>
  <c r="AB38" i="29"/>
  <c r="AB39" i="29"/>
  <c r="AB40" i="29"/>
  <c r="AB41" i="29"/>
  <c r="AB42" i="29"/>
  <c r="AB43" i="29"/>
  <c r="AB44" i="29"/>
  <c r="AB45" i="29"/>
  <c r="AB46" i="29"/>
  <c r="AB47" i="29"/>
  <c r="AA16" i="29"/>
  <c r="AA18" i="29"/>
  <c r="AA20" i="29"/>
  <c r="AA22" i="29"/>
  <c r="AA23" i="29"/>
  <c r="AA25" i="29"/>
  <c r="AA27" i="29"/>
  <c r="AA28" i="29"/>
  <c r="AA29" i="29"/>
  <c r="AA30" i="29"/>
  <c r="AA31" i="29"/>
  <c r="AA32" i="29"/>
  <c r="AA33" i="29"/>
  <c r="AA34" i="29"/>
  <c r="AA35" i="29"/>
  <c r="AA36" i="29"/>
  <c r="AA37" i="29"/>
  <c r="AA38" i="29"/>
  <c r="AA39" i="29"/>
  <c r="AA40" i="29"/>
  <c r="AA41" i="29"/>
  <c r="AA42" i="29"/>
  <c r="AA43" i="29"/>
  <c r="AA44" i="29"/>
  <c r="AA45" i="29"/>
  <c r="AA46" i="29"/>
  <c r="AA47" i="29"/>
  <c r="U15" i="29"/>
  <c r="U17" i="29"/>
  <c r="U19" i="29"/>
  <c r="U21" i="29"/>
  <c r="U23" i="29"/>
  <c r="U24" i="29"/>
  <c r="U26" i="29"/>
  <c r="U29" i="29"/>
  <c r="U30" i="29"/>
  <c r="U31" i="29"/>
  <c r="U32" i="29"/>
  <c r="U33" i="29"/>
  <c r="U34" i="29"/>
  <c r="U35" i="29"/>
  <c r="U36" i="29"/>
  <c r="U37" i="29"/>
  <c r="U38" i="29"/>
  <c r="U39" i="29"/>
  <c r="U40" i="29"/>
  <c r="U41" i="29"/>
  <c r="U42" i="29"/>
  <c r="U43" i="29"/>
  <c r="U44" i="29"/>
  <c r="U45" i="29"/>
  <c r="U46" i="29"/>
  <c r="U47" i="29"/>
  <c r="T16" i="29"/>
  <c r="T18" i="29"/>
  <c r="T20" i="29"/>
  <c r="T22" i="29"/>
  <c r="T23" i="29"/>
  <c r="T25" i="29"/>
  <c r="T26" i="29"/>
  <c r="T27" i="29"/>
  <c r="T28" i="29"/>
  <c r="T29" i="29"/>
  <c r="T30" i="29"/>
  <c r="T31" i="29"/>
  <c r="T32" i="29"/>
  <c r="T33" i="29"/>
  <c r="T34" i="29"/>
  <c r="T35" i="29"/>
  <c r="T36" i="29"/>
  <c r="T37" i="29"/>
  <c r="T38" i="29"/>
  <c r="T39" i="29"/>
  <c r="T40" i="29"/>
  <c r="T41" i="29"/>
  <c r="T42" i="29"/>
  <c r="T43" i="29"/>
  <c r="T44" i="29"/>
  <c r="T45" i="29"/>
  <c r="T46" i="29"/>
  <c r="T47" i="29"/>
  <c r="N15" i="29"/>
  <c r="N17" i="29"/>
  <c r="N19" i="29"/>
  <c r="N21" i="29"/>
  <c r="N23" i="29"/>
  <c r="N24" i="29"/>
  <c r="N26" i="29"/>
  <c r="N27" i="29"/>
  <c r="N29" i="29"/>
  <c r="N30" i="29"/>
  <c r="N31" i="29"/>
  <c r="N32" i="29"/>
  <c r="N33" i="29"/>
  <c r="N34" i="29"/>
  <c r="N35" i="29"/>
  <c r="N36" i="29"/>
  <c r="N37" i="29"/>
  <c r="N38" i="29"/>
  <c r="N39" i="29"/>
  <c r="N40" i="29"/>
  <c r="N41" i="29"/>
  <c r="N42" i="29"/>
  <c r="N43" i="29"/>
  <c r="N44" i="29"/>
  <c r="N45" i="29"/>
  <c r="N46" i="29"/>
  <c r="N47" i="29"/>
  <c r="M16" i="29"/>
  <c r="M18" i="29"/>
  <c r="M20" i="29"/>
  <c r="M22" i="29"/>
  <c r="M23" i="29"/>
  <c r="M25" i="29"/>
  <c r="M26" i="29"/>
  <c r="M27" i="29"/>
  <c r="M28" i="29"/>
  <c r="M29" i="29"/>
  <c r="M30" i="29"/>
  <c r="M31" i="29"/>
  <c r="M32" i="29"/>
  <c r="M33" i="29"/>
  <c r="M34" i="29"/>
  <c r="M35" i="29"/>
  <c r="M36" i="29"/>
  <c r="M37" i="29"/>
  <c r="M38" i="29"/>
  <c r="M39" i="29"/>
  <c r="M40" i="29"/>
  <c r="M41" i="29"/>
  <c r="M42" i="29"/>
  <c r="M43" i="29"/>
  <c r="M44" i="29"/>
  <c r="M45" i="29"/>
  <c r="M46" i="29"/>
  <c r="M47" i="29"/>
  <c r="G15" i="29"/>
  <c r="G17" i="29"/>
  <c r="G19" i="29"/>
  <c r="G21" i="29"/>
  <c r="G22" i="29"/>
  <c r="G23" i="29"/>
  <c r="G24" i="29"/>
  <c r="G26" i="29"/>
  <c r="G29" i="29"/>
  <c r="G30" i="29"/>
  <c r="G31" i="29"/>
  <c r="G32" i="29"/>
  <c r="G33" i="29"/>
  <c r="G34" i="29"/>
  <c r="G35" i="29"/>
  <c r="G36" i="29"/>
  <c r="G37" i="29"/>
  <c r="G38" i="29"/>
  <c r="G39" i="29"/>
  <c r="G40" i="29"/>
  <c r="G41" i="29"/>
  <c r="G42" i="29"/>
  <c r="G43" i="29"/>
  <c r="G44" i="29"/>
  <c r="G45" i="29"/>
  <c r="G46" i="29"/>
  <c r="G47" i="29"/>
  <c r="F16" i="29"/>
  <c r="F18" i="29"/>
  <c r="F20" i="29"/>
  <c r="F21" i="29"/>
  <c r="F22" i="29"/>
  <c r="F23" i="29"/>
  <c r="F25" i="29"/>
  <c r="F27" i="29"/>
  <c r="F28" i="29"/>
  <c r="F29" i="29"/>
  <c r="F30" i="29"/>
  <c r="F31" i="29"/>
  <c r="F32" i="29"/>
  <c r="F33" i="29"/>
  <c r="F34" i="29"/>
  <c r="F35" i="29"/>
  <c r="F36" i="29"/>
  <c r="F37" i="29"/>
  <c r="F38" i="29"/>
  <c r="F39" i="29"/>
  <c r="F40" i="29"/>
  <c r="F41" i="29"/>
  <c r="F42" i="29"/>
  <c r="F43" i="29"/>
  <c r="F44" i="29"/>
  <c r="F45" i="29"/>
  <c r="F46" i="29"/>
  <c r="F47"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BP15" i="29"/>
  <c r="BQ15" i="29" s="1"/>
  <c r="BP16" i="29"/>
  <c r="BR16" i="29" s="1"/>
  <c r="BP17" i="29"/>
  <c r="BQ17" i="29" s="1"/>
  <c r="BP18" i="29"/>
  <c r="BR18" i="29" s="1"/>
  <c r="BP19" i="29"/>
  <c r="BQ19" i="29" s="1"/>
  <c r="BP20" i="29"/>
  <c r="BP21" i="29"/>
  <c r="BQ21" i="29" s="1"/>
  <c r="BP22" i="29"/>
  <c r="BR22" i="29" s="1"/>
  <c r="BP23" i="29"/>
  <c r="BP24" i="29"/>
  <c r="BQ24" i="29" s="1"/>
  <c r="BP25" i="29"/>
  <c r="BP26" i="29"/>
  <c r="BQ26" i="29" s="1"/>
  <c r="BP27" i="29"/>
  <c r="BR27" i="29" s="1"/>
  <c r="BP28" i="29"/>
  <c r="BP29" i="29"/>
  <c r="BP30" i="29"/>
  <c r="BP31" i="29"/>
  <c r="BP32" i="29"/>
  <c r="BP33" i="29"/>
  <c r="BP34" i="29"/>
  <c r="BP35" i="29"/>
  <c r="BP36" i="29"/>
  <c r="BP37" i="29"/>
  <c r="BP38" i="29"/>
  <c r="BP39" i="29"/>
  <c r="BP40" i="29"/>
  <c r="BP41" i="29"/>
  <c r="BP42" i="29"/>
  <c r="BP43" i="29"/>
  <c r="BP44" i="29"/>
  <c r="BP45" i="29"/>
  <c r="BP46" i="29"/>
  <c r="BP47" i="29"/>
  <c r="AN15" i="29"/>
  <c r="AO15" i="29" s="1"/>
  <c r="AN16" i="29"/>
  <c r="AP16" i="29" s="1"/>
  <c r="AN17" i="29"/>
  <c r="AO17" i="29" s="1"/>
  <c r="AN18" i="29"/>
  <c r="AP18" i="29" s="1"/>
  <c r="AN19" i="29"/>
  <c r="AO19" i="29" s="1"/>
  <c r="AN20" i="29"/>
  <c r="AP20" i="29" s="1"/>
  <c r="AN21" i="29"/>
  <c r="AO21" i="29" s="1"/>
  <c r="AN22" i="29"/>
  <c r="AP22" i="29" s="1"/>
  <c r="AN23" i="29"/>
  <c r="AN24" i="29"/>
  <c r="AN25" i="29"/>
  <c r="AN26" i="29"/>
  <c r="AO26" i="29" s="1"/>
  <c r="AN27" i="29"/>
  <c r="AP27" i="29" s="1"/>
  <c r="AN28" i="29"/>
  <c r="AP28" i="29" s="1"/>
  <c r="AN29" i="29"/>
  <c r="AN30" i="29"/>
  <c r="AN31" i="29"/>
  <c r="AN32" i="29"/>
  <c r="AN33" i="29"/>
  <c r="AN34" i="29"/>
  <c r="AN35" i="29"/>
  <c r="AN36" i="29"/>
  <c r="AN37" i="29"/>
  <c r="AN38" i="29"/>
  <c r="AN39" i="29"/>
  <c r="AN40" i="29"/>
  <c r="AN41" i="29"/>
  <c r="AN42" i="29"/>
  <c r="AN43" i="29"/>
  <c r="AN44" i="29"/>
  <c r="AN45" i="29"/>
  <c r="AN46" i="29"/>
  <c r="AN47" i="29"/>
  <c r="AG15" i="29"/>
  <c r="AH15" i="29" s="1"/>
  <c r="AG16" i="29"/>
  <c r="AI16" i="29" s="1"/>
  <c r="AG17" i="29"/>
  <c r="AG18" i="29"/>
  <c r="AG19" i="29"/>
  <c r="AH19" i="29" s="1"/>
  <c r="AG20" i="29"/>
  <c r="AI20" i="29" s="1"/>
  <c r="AG21" i="29"/>
  <c r="AH21" i="29" s="1"/>
  <c r="AG22" i="29"/>
  <c r="AI22" i="29" s="1"/>
  <c r="AG23" i="29"/>
  <c r="AG24" i="29"/>
  <c r="AH24" i="29" s="1"/>
  <c r="AG25" i="29"/>
  <c r="AG26" i="29"/>
  <c r="AH26" i="29" s="1"/>
  <c r="AG27" i="29"/>
  <c r="AI27" i="29" s="1"/>
  <c r="AG28" i="29"/>
  <c r="AI28" i="29" s="1"/>
  <c r="AG29" i="29"/>
  <c r="AG30" i="29"/>
  <c r="AG31" i="29"/>
  <c r="AG32" i="29"/>
  <c r="AG33" i="29"/>
  <c r="AG34" i="29"/>
  <c r="AG35" i="29"/>
  <c r="AG36" i="29"/>
  <c r="AG37" i="29"/>
  <c r="AG38" i="29"/>
  <c r="AG39" i="29"/>
  <c r="AG40" i="29"/>
  <c r="AG41" i="29"/>
  <c r="AG42" i="29"/>
  <c r="AG43" i="29"/>
  <c r="AG44" i="29"/>
  <c r="AG45" i="29"/>
  <c r="AG46" i="29"/>
  <c r="AG47" i="29"/>
  <c r="Z15" i="29"/>
  <c r="AA15" i="29" s="1"/>
  <c r="Z16" i="29"/>
  <c r="Z17" i="29"/>
  <c r="AA17" i="29" s="1"/>
  <c r="Z18" i="29"/>
  <c r="Z19" i="29"/>
  <c r="AA19" i="29" s="1"/>
  <c r="Z20" i="29"/>
  <c r="AB20" i="29" s="1"/>
  <c r="Z21" i="29"/>
  <c r="AA21" i="29" s="1"/>
  <c r="Z22" i="29"/>
  <c r="AB22" i="29" s="1"/>
  <c r="Z23" i="29"/>
  <c r="Z24" i="29"/>
  <c r="AA24" i="29" s="1"/>
  <c r="Z25" i="29"/>
  <c r="AB25" i="29" s="1"/>
  <c r="Z26" i="29"/>
  <c r="AA26" i="29" s="1"/>
  <c r="Z27" i="29"/>
  <c r="AB27" i="29" s="1"/>
  <c r="Z28" i="29"/>
  <c r="AB28" i="29" s="1"/>
  <c r="Z29" i="29"/>
  <c r="Z30" i="29"/>
  <c r="Z31" i="29"/>
  <c r="Z32" i="29"/>
  <c r="Z33" i="29"/>
  <c r="Z34" i="29"/>
  <c r="Z35" i="29"/>
  <c r="Z36" i="29"/>
  <c r="Z37" i="29"/>
  <c r="Z38" i="29"/>
  <c r="Z39" i="29"/>
  <c r="Z40" i="29"/>
  <c r="Z41" i="29"/>
  <c r="Z42" i="29"/>
  <c r="Z43" i="29"/>
  <c r="Z44" i="29"/>
  <c r="Z45" i="29"/>
  <c r="Z46" i="29"/>
  <c r="Z47" i="29"/>
  <c r="S15" i="29"/>
  <c r="T15" i="29" s="1"/>
  <c r="S16" i="29"/>
  <c r="U16" i="29" s="1"/>
  <c r="S17" i="29"/>
  <c r="T17" i="29" s="1"/>
  <c r="S18" i="29"/>
  <c r="U18" i="29" s="1"/>
  <c r="S19" i="29"/>
  <c r="T19" i="29" s="1"/>
  <c r="S20" i="29"/>
  <c r="U20" i="29" s="1"/>
  <c r="S21" i="29"/>
  <c r="T21" i="29" s="1"/>
  <c r="S22" i="29"/>
  <c r="U22" i="29" s="1"/>
  <c r="S23" i="29"/>
  <c r="S24" i="29"/>
  <c r="T24" i="29" s="1"/>
  <c r="S25" i="29"/>
  <c r="U25" i="29" s="1"/>
  <c r="S26" i="29"/>
  <c r="S27" i="29"/>
  <c r="U27" i="29" s="1"/>
  <c r="S28" i="29"/>
  <c r="U28" i="29" s="1"/>
  <c r="S29" i="29"/>
  <c r="S30" i="29"/>
  <c r="S31" i="29"/>
  <c r="S32" i="29"/>
  <c r="S33" i="29"/>
  <c r="S34" i="29"/>
  <c r="S35" i="29"/>
  <c r="S36" i="29"/>
  <c r="S37" i="29"/>
  <c r="S38" i="29"/>
  <c r="S39" i="29"/>
  <c r="S40" i="29"/>
  <c r="S41" i="29"/>
  <c r="S42" i="29"/>
  <c r="S43" i="29"/>
  <c r="S44" i="29"/>
  <c r="S45" i="29"/>
  <c r="S46" i="29"/>
  <c r="S47" i="29"/>
  <c r="L15" i="29"/>
  <c r="M15" i="29" s="1"/>
  <c r="L16" i="29"/>
  <c r="N16" i="29" s="1"/>
  <c r="L17" i="29"/>
  <c r="M17" i="29" s="1"/>
  <c r="L18" i="29"/>
  <c r="N18" i="29" s="1"/>
  <c r="L19" i="29"/>
  <c r="M19" i="29" s="1"/>
  <c r="L20" i="29"/>
  <c r="N20" i="29" s="1"/>
  <c r="L21" i="29"/>
  <c r="M21" i="29" s="1"/>
  <c r="L22" i="29"/>
  <c r="N22" i="29" s="1"/>
  <c r="L23" i="29"/>
  <c r="L24" i="29"/>
  <c r="M24" i="29" s="1"/>
  <c r="L25" i="29"/>
  <c r="N25" i="29" s="1"/>
  <c r="L26" i="29"/>
  <c r="L27" i="29"/>
  <c r="L28" i="29"/>
  <c r="N28" i="29" s="1"/>
  <c r="L29" i="29"/>
  <c r="L30" i="29"/>
  <c r="L31" i="29"/>
  <c r="L32" i="29"/>
  <c r="L33" i="29"/>
  <c r="L34" i="29"/>
  <c r="L35" i="29"/>
  <c r="L36" i="29"/>
  <c r="L37" i="29"/>
  <c r="L38" i="29"/>
  <c r="L39" i="29"/>
  <c r="L40" i="29"/>
  <c r="L41" i="29"/>
  <c r="L42" i="29"/>
  <c r="L43" i="29"/>
  <c r="L44" i="29"/>
  <c r="L45" i="29"/>
  <c r="L46" i="29"/>
  <c r="L47" i="29"/>
  <c r="E15" i="29"/>
  <c r="F15" i="29" s="1"/>
  <c r="E16" i="29"/>
  <c r="G16" i="29" s="1"/>
  <c r="E17" i="29"/>
  <c r="F17" i="29" s="1"/>
  <c r="E18" i="29"/>
  <c r="G18" i="29" s="1"/>
  <c r="E19" i="29"/>
  <c r="F19" i="29" s="1"/>
  <c r="E20" i="29"/>
  <c r="G20" i="29" s="1"/>
  <c r="E21" i="29"/>
  <c r="E22" i="29"/>
  <c r="E23" i="29"/>
  <c r="E24" i="29"/>
  <c r="F24" i="29" s="1"/>
  <c r="E25" i="29"/>
  <c r="G25" i="29" s="1"/>
  <c r="E26" i="29"/>
  <c r="F26" i="29" s="1"/>
  <c r="E27" i="29"/>
  <c r="G27" i="29" s="1"/>
  <c r="E28" i="29"/>
  <c r="G28" i="29" s="1"/>
  <c r="E29" i="29"/>
  <c r="E30" i="29"/>
  <c r="E31" i="29"/>
  <c r="E32" i="29"/>
  <c r="E33" i="29"/>
  <c r="E34" i="29"/>
  <c r="E35" i="29"/>
  <c r="E36" i="29"/>
  <c r="E37" i="29"/>
  <c r="E38" i="29"/>
  <c r="E39" i="29"/>
  <c r="E40" i="29"/>
  <c r="E41" i="29"/>
  <c r="E42" i="29"/>
  <c r="E43" i="29"/>
  <c r="E44" i="29"/>
  <c r="E45" i="29"/>
  <c r="E46" i="29"/>
  <c r="E47" i="29"/>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BP15" i="27"/>
  <c r="BQ15" i="27" s="1"/>
  <c r="BP16" i="27"/>
  <c r="BR16" i="27" s="1"/>
  <c r="BP17" i="27"/>
  <c r="BP18" i="27"/>
  <c r="BP19" i="27"/>
  <c r="BP20" i="27"/>
  <c r="BP21" i="27"/>
  <c r="BP22" i="27"/>
  <c r="BR22" i="27" s="1"/>
  <c r="BP23" i="27"/>
  <c r="BP24" i="27"/>
  <c r="BQ24" i="27" s="1"/>
  <c r="BP25" i="27"/>
  <c r="BP26" i="27"/>
  <c r="BP27" i="27"/>
  <c r="BP28" i="27"/>
  <c r="BP29" i="27"/>
  <c r="BP30" i="27"/>
  <c r="BP31" i="27"/>
  <c r="BP32" i="27"/>
  <c r="BP33" i="27"/>
  <c r="BP34" i="27"/>
  <c r="BP35" i="27"/>
  <c r="BP36" i="27"/>
  <c r="BP37" i="27"/>
  <c r="BP38" i="27"/>
  <c r="BP39" i="27"/>
  <c r="BP40" i="27"/>
  <c r="BP41" i="27"/>
  <c r="BP42" i="27"/>
  <c r="BP43" i="27"/>
  <c r="BP44" i="27"/>
  <c r="BP45" i="27"/>
  <c r="BP46" i="27"/>
  <c r="BP47" i="27"/>
  <c r="AN15" i="27"/>
  <c r="AO15" i="27" s="1"/>
  <c r="AN16" i="27"/>
  <c r="AN17" i="27"/>
  <c r="AN18" i="27"/>
  <c r="AN19" i="27"/>
  <c r="AN20" i="27"/>
  <c r="AN21" i="27"/>
  <c r="AN22" i="27"/>
  <c r="AP22" i="27" s="1"/>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G15" i="27"/>
  <c r="AG16" i="27"/>
  <c r="AG17" i="27"/>
  <c r="AG18" i="27"/>
  <c r="AG19" i="27"/>
  <c r="AH19" i="27" s="1"/>
  <c r="AG20" i="27"/>
  <c r="AI20" i="27" s="1"/>
  <c r="AG21" i="27"/>
  <c r="AG22" i="27"/>
  <c r="AG23" i="27"/>
  <c r="AG24" i="27"/>
  <c r="AG25" i="27"/>
  <c r="AG26" i="27"/>
  <c r="AG27" i="27"/>
  <c r="AI27" i="27" s="1"/>
  <c r="AG28" i="27"/>
  <c r="AI28" i="27" s="1"/>
  <c r="AG29" i="27"/>
  <c r="AG30" i="27"/>
  <c r="AG31" i="27"/>
  <c r="AG32" i="27"/>
  <c r="AG33" i="27"/>
  <c r="AG34" i="27"/>
  <c r="AG35" i="27"/>
  <c r="AG36" i="27"/>
  <c r="AG37" i="27"/>
  <c r="AG38" i="27"/>
  <c r="AG39" i="27"/>
  <c r="AG40" i="27"/>
  <c r="AG41" i="27"/>
  <c r="AG42" i="27"/>
  <c r="AG43" i="27"/>
  <c r="AG44" i="27"/>
  <c r="AG45" i="27"/>
  <c r="AG46" i="27"/>
  <c r="AG47"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S15" i="27"/>
  <c r="S16" i="27"/>
  <c r="S17" i="27"/>
  <c r="S18" i="27"/>
  <c r="S19" i="27"/>
  <c r="S20" i="27"/>
  <c r="S21" i="27"/>
  <c r="S22" i="27"/>
  <c r="S23" i="27"/>
  <c r="S24" i="27"/>
  <c r="S25" i="27"/>
  <c r="S26" i="27"/>
  <c r="T26" i="27" s="1"/>
  <c r="S27" i="27"/>
  <c r="S28" i="27"/>
  <c r="S29" i="27"/>
  <c r="S30" i="27"/>
  <c r="S31" i="27"/>
  <c r="S32" i="27"/>
  <c r="S33" i="27"/>
  <c r="S34" i="27"/>
  <c r="S35" i="27"/>
  <c r="S36" i="27"/>
  <c r="S37" i="27"/>
  <c r="S38" i="27"/>
  <c r="S39" i="27"/>
  <c r="S40" i="27"/>
  <c r="S41" i="27"/>
  <c r="S42" i="27"/>
  <c r="S43" i="27"/>
  <c r="S44" i="27"/>
  <c r="S45" i="27"/>
  <c r="S46" i="27"/>
  <c r="S47" i="27"/>
  <c r="L15" i="27"/>
  <c r="L16" i="27"/>
  <c r="L17" i="27"/>
  <c r="M17" i="27" s="1"/>
  <c r="L18" i="27"/>
  <c r="L19" i="27"/>
  <c r="L20" i="27"/>
  <c r="L21" i="27"/>
  <c r="L22" i="27"/>
  <c r="L23" i="27"/>
  <c r="L24" i="27"/>
  <c r="M24" i="27" s="1"/>
  <c r="L25" i="27"/>
  <c r="N25" i="27" s="1"/>
  <c r="L26" i="27"/>
  <c r="L27" i="27"/>
  <c r="L28" i="27"/>
  <c r="L29" i="27"/>
  <c r="L30" i="27"/>
  <c r="L31" i="27"/>
  <c r="L32" i="27"/>
  <c r="L33" i="27"/>
  <c r="L34" i="27"/>
  <c r="L35" i="27"/>
  <c r="L36" i="27"/>
  <c r="L37" i="27"/>
  <c r="L38" i="27"/>
  <c r="L39" i="27"/>
  <c r="L40" i="27"/>
  <c r="L41" i="27"/>
  <c r="L42" i="27"/>
  <c r="L43" i="27"/>
  <c r="L44" i="27"/>
  <c r="L45" i="27"/>
  <c r="L46" i="27"/>
  <c r="L47" i="27"/>
  <c r="E15" i="27"/>
  <c r="E16" i="27"/>
  <c r="E17" i="27"/>
  <c r="F17" i="27" s="1"/>
  <c r="E18" i="27"/>
  <c r="G18" i="27" s="1"/>
  <c r="E19" i="27"/>
  <c r="E20" i="27"/>
  <c r="E21" i="27"/>
  <c r="E22" i="27"/>
  <c r="E23" i="27"/>
  <c r="E24" i="27"/>
  <c r="E25" i="27"/>
  <c r="G25" i="27" s="1"/>
  <c r="E26" i="27"/>
  <c r="F26" i="27" s="1"/>
  <c r="E27" i="27"/>
  <c r="E28" i="27"/>
  <c r="E29" i="27"/>
  <c r="E30" i="27"/>
  <c r="E31" i="27"/>
  <c r="E32" i="27"/>
  <c r="E33" i="27"/>
  <c r="E34" i="27"/>
  <c r="E35" i="27"/>
  <c r="E36" i="27"/>
  <c r="E37" i="27"/>
  <c r="E38" i="27"/>
  <c r="E39" i="27"/>
  <c r="E40" i="27"/>
  <c r="E41" i="27"/>
  <c r="E42" i="27"/>
  <c r="E43" i="27"/>
  <c r="E44" i="27"/>
  <c r="E45" i="27"/>
  <c r="E46" i="27"/>
  <c r="E47" i="2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54" i="17"/>
  <c r="S55" i="17"/>
  <c r="S56"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BP15" i="17"/>
  <c r="BP16" i="17"/>
  <c r="BP17" i="17"/>
  <c r="BP18" i="17"/>
  <c r="BR18" i="17" s="1"/>
  <c r="BP19" i="17"/>
  <c r="BP20" i="17"/>
  <c r="BR20" i="17" s="1"/>
  <c r="BP21" i="17"/>
  <c r="BP22" i="17"/>
  <c r="BP23" i="17"/>
  <c r="BP24" i="17"/>
  <c r="BP25" i="17"/>
  <c r="BP26" i="17"/>
  <c r="BQ26" i="17" s="1"/>
  <c r="BP27" i="17"/>
  <c r="BP28" i="17"/>
  <c r="BR28" i="17" s="1"/>
  <c r="BP29" i="17"/>
  <c r="BP30" i="17"/>
  <c r="BP31" i="17"/>
  <c r="BP32" i="17"/>
  <c r="BP33" i="17"/>
  <c r="BP34" i="17"/>
  <c r="BP35" i="17"/>
  <c r="BP36" i="17"/>
  <c r="BP37" i="17"/>
  <c r="BP38" i="17"/>
  <c r="BP39" i="17"/>
  <c r="BP40" i="17"/>
  <c r="BP41" i="17"/>
  <c r="BP42" i="17"/>
  <c r="BP43" i="17"/>
  <c r="BP44" i="17"/>
  <c r="BP45" i="17"/>
  <c r="BP46" i="17"/>
  <c r="BP47" i="17"/>
  <c r="AN15" i="17"/>
  <c r="AN16" i="17"/>
  <c r="AN17" i="17"/>
  <c r="AN18" i="17"/>
  <c r="AN19" i="17"/>
  <c r="AO19" i="17" s="1"/>
  <c r="AN20" i="17"/>
  <c r="AN21" i="17"/>
  <c r="AN22" i="17"/>
  <c r="AN23" i="17"/>
  <c r="AN24" i="17"/>
  <c r="AN25" i="17"/>
  <c r="AN26" i="17"/>
  <c r="AN27" i="17"/>
  <c r="AP27" i="17" s="1"/>
  <c r="AN28" i="17"/>
  <c r="AN29" i="17"/>
  <c r="AN30" i="17"/>
  <c r="AN31" i="17"/>
  <c r="AN32" i="17"/>
  <c r="AN33" i="17"/>
  <c r="AN34" i="17"/>
  <c r="AN35" i="17"/>
  <c r="AN36" i="17"/>
  <c r="AN37" i="17"/>
  <c r="AN38" i="17"/>
  <c r="AN39" i="17"/>
  <c r="AN40" i="17"/>
  <c r="AN41" i="17"/>
  <c r="AN42" i="17"/>
  <c r="AN43" i="17"/>
  <c r="AN44" i="17"/>
  <c r="AN45" i="17"/>
  <c r="AN46" i="17"/>
  <c r="AN47" i="17"/>
  <c r="AG15" i="17"/>
  <c r="AG16" i="17"/>
  <c r="AG17" i="17"/>
  <c r="AG18" i="17"/>
  <c r="AI18" i="17" s="1"/>
  <c r="AG19" i="17"/>
  <c r="AG20" i="17"/>
  <c r="AG21" i="17"/>
  <c r="AG22" i="17"/>
  <c r="AG23" i="17"/>
  <c r="AG24" i="17"/>
  <c r="AG25" i="17"/>
  <c r="AG26" i="17"/>
  <c r="AH26" i="17" s="1"/>
  <c r="AG27" i="17"/>
  <c r="AG28" i="17"/>
  <c r="AG29" i="17"/>
  <c r="AG30" i="17"/>
  <c r="AG31" i="17"/>
  <c r="AG32" i="17"/>
  <c r="AG33" i="17"/>
  <c r="AG34" i="17"/>
  <c r="AG35" i="17"/>
  <c r="AG36" i="17"/>
  <c r="AG37" i="17"/>
  <c r="AG38" i="17"/>
  <c r="AG39" i="17"/>
  <c r="AG40" i="17"/>
  <c r="AG41" i="17"/>
  <c r="AG42" i="17"/>
  <c r="AG43" i="17"/>
  <c r="AG44" i="17"/>
  <c r="AG45" i="17"/>
  <c r="AG46" i="17"/>
  <c r="AG47" i="17"/>
  <c r="Z16" i="17"/>
  <c r="AB16" i="17" s="1"/>
  <c r="Z17" i="17"/>
  <c r="Z18" i="17"/>
  <c r="AB18" i="17" s="1"/>
  <c r="Z19" i="17"/>
  <c r="Z20" i="17"/>
  <c r="Z21" i="17"/>
  <c r="Z22" i="17"/>
  <c r="Z23" i="17"/>
  <c r="Z24" i="17"/>
  <c r="AA24" i="17" s="1"/>
  <c r="Z25" i="17"/>
  <c r="Z26" i="17"/>
  <c r="AA26" i="17" s="1"/>
  <c r="Z27" i="17"/>
  <c r="Z28" i="17"/>
  <c r="Z29" i="17"/>
  <c r="Z30" i="17"/>
  <c r="Z31" i="17"/>
  <c r="Z32" i="17"/>
  <c r="Z33" i="17"/>
  <c r="Z34" i="17"/>
  <c r="Z35" i="17"/>
  <c r="Z36" i="17"/>
  <c r="Z37" i="17"/>
  <c r="Z38" i="17"/>
  <c r="Z39" i="17"/>
  <c r="Z40" i="17"/>
  <c r="Z41" i="17"/>
  <c r="Z42" i="17"/>
  <c r="Z43" i="17"/>
  <c r="Z44" i="17"/>
  <c r="Z45" i="17"/>
  <c r="Z46" i="17"/>
  <c r="Z47" i="17"/>
  <c r="S15" i="17"/>
  <c r="S16" i="17"/>
  <c r="U16" i="17" s="1"/>
  <c r="S17" i="17"/>
  <c r="T17" i="17" s="1"/>
  <c r="S18" i="17"/>
  <c r="S19" i="17"/>
  <c r="S20" i="17"/>
  <c r="S21" i="17"/>
  <c r="T21" i="17" s="1"/>
  <c r="S22" i="17"/>
  <c r="S23" i="17"/>
  <c r="S24" i="17"/>
  <c r="T24" i="17" s="1"/>
  <c r="S25" i="17"/>
  <c r="U25" i="17" s="1"/>
  <c r="S26" i="17"/>
  <c r="S27" i="17"/>
  <c r="S28" i="17"/>
  <c r="S29" i="17"/>
  <c r="S30" i="17"/>
  <c r="S31" i="17"/>
  <c r="S32" i="17"/>
  <c r="S33" i="17"/>
  <c r="S34" i="17"/>
  <c r="S35" i="17"/>
  <c r="S36" i="17"/>
  <c r="S37" i="17"/>
  <c r="S38" i="17"/>
  <c r="S39" i="17"/>
  <c r="S40" i="17"/>
  <c r="S41" i="17"/>
  <c r="S42" i="17"/>
  <c r="S43" i="17"/>
  <c r="S44" i="17"/>
  <c r="S45" i="17"/>
  <c r="S46" i="17"/>
  <c r="S47" i="17"/>
  <c r="L15" i="17"/>
  <c r="L16" i="17"/>
  <c r="N16" i="17" s="1"/>
  <c r="L17" i="17"/>
  <c r="L18" i="17"/>
  <c r="L19" i="17"/>
  <c r="L20" i="17"/>
  <c r="L21" i="17"/>
  <c r="L22" i="17"/>
  <c r="L23" i="17"/>
  <c r="L24" i="17"/>
  <c r="M24" i="17" s="1"/>
  <c r="L25" i="17"/>
  <c r="L26" i="17"/>
  <c r="L27" i="17"/>
  <c r="L28" i="17"/>
  <c r="L29" i="17"/>
  <c r="L30" i="17"/>
  <c r="L31" i="17"/>
  <c r="L32" i="17"/>
  <c r="L33" i="17"/>
  <c r="L34" i="17"/>
  <c r="L35" i="17"/>
  <c r="L36" i="17"/>
  <c r="L37" i="17"/>
  <c r="L38" i="17"/>
  <c r="L39" i="17"/>
  <c r="L40" i="17"/>
  <c r="L41" i="17"/>
  <c r="L42" i="17"/>
  <c r="L43" i="17"/>
  <c r="L44" i="17"/>
  <c r="L45" i="17"/>
  <c r="L46" i="17"/>
  <c r="L47" i="17"/>
  <c r="E15" i="17"/>
  <c r="F15" i="17" s="1"/>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BP15" i="28"/>
  <c r="BP16" i="28"/>
  <c r="BP17" i="28"/>
  <c r="BP18" i="28"/>
  <c r="BP19" i="28"/>
  <c r="BP20" i="28"/>
  <c r="BR20" i="28" s="1"/>
  <c r="BP21" i="28"/>
  <c r="BP22" i="28"/>
  <c r="BP23" i="28"/>
  <c r="BP24" i="28"/>
  <c r="BP25" i="28"/>
  <c r="BP26" i="28"/>
  <c r="BP27" i="28"/>
  <c r="BP28" i="28"/>
  <c r="BR28" i="28" s="1"/>
  <c r="BP29" i="28"/>
  <c r="BP30" i="28"/>
  <c r="BP31" i="28"/>
  <c r="BP32" i="28"/>
  <c r="BP33" i="28"/>
  <c r="BP34" i="28"/>
  <c r="BP35" i="28"/>
  <c r="BP36" i="28"/>
  <c r="BP37" i="28"/>
  <c r="BP38" i="28"/>
  <c r="BP39" i="28"/>
  <c r="BP40" i="28"/>
  <c r="BP41" i="28"/>
  <c r="BP42" i="28"/>
  <c r="BP43" i="28"/>
  <c r="BP44" i="28"/>
  <c r="BP45" i="28"/>
  <c r="BP46" i="28"/>
  <c r="BP47" i="28"/>
  <c r="AN15" i="28"/>
  <c r="AN16" i="28"/>
  <c r="AN17" i="28"/>
  <c r="AO17" i="28" s="1"/>
  <c r="AN18" i="28"/>
  <c r="AN19" i="28"/>
  <c r="AO19" i="28" s="1"/>
  <c r="AN20" i="28"/>
  <c r="AN21" i="28"/>
  <c r="AN22" i="28"/>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G15" i="28"/>
  <c r="AH15" i="28" s="1"/>
  <c r="AG16" i="28"/>
  <c r="AI16" i="28" s="1"/>
  <c r="AG17" i="28"/>
  <c r="AG18" i="28"/>
  <c r="AG19" i="28"/>
  <c r="AG20" i="28"/>
  <c r="AG21" i="28"/>
  <c r="AG22" i="28"/>
  <c r="AG23" i="28"/>
  <c r="AG24" i="28"/>
  <c r="AH24" i="28" s="1"/>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Z15" i="28"/>
  <c r="AA15" i="28" s="1"/>
  <c r="Z16" i="28"/>
  <c r="Z17" i="28"/>
  <c r="AA17" i="28" s="1"/>
  <c r="Z18" i="28"/>
  <c r="Z19" i="28"/>
  <c r="Z20" i="28"/>
  <c r="Z21" i="28"/>
  <c r="Z22" i="28"/>
  <c r="Z23" i="28"/>
  <c r="Z24" i="28"/>
  <c r="Z25" i="28"/>
  <c r="AB25" i="28" s="1"/>
  <c r="Z26" i="28"/>
  <c r="Z27" i="28"/>
  <c r="Z28" i="28"/>
  <c r="Z29" i="28"/>
  <c r="Z30" i="28"/>
  <c r="Z31" i="28"/>
  <c r="Z32" i="28"/>
  <c r="Z33" i="28"/>
  <c r="Z34" i="28"/>
  <c r="Z35" i="28"/>
  <c r="Z36" i="28"/>
  <c r="Z37" i="28"/>
  <c r="Z38" i="28"/>
  <c r="Z39" i="28"/>
  <c r="Z40" i="28"/>
  <c r="Z41" i="28"/>
  <c r="Z42" i="28"/>
  <c r="Z43" i="28"/>
  <c r="Z44" i="28"/>
  <c r="Z45" i="28"/>
  <c r="Z46" i="28"/>
  <c r="Z47" i="28"/>
  <c r="S15" i="28"/>
  <c r="S16" i="28"/>
  <c r="U16" i="28" s="1"/>
  <c r="S17" i="28"/>
  <c r="S18" i="28"/>
  <c r="S19" i="28"/>
  <c r="S20" i="28"/>
  <c r="S21" i="28"/>
  <c r="S22" i="28"/>
  <c r="S23" i="28"/>
  <c r="S24" i="28"/>
  <c r="T24" i="28" s="1"/>
  <c r="S25" i="28"/>
  <c r="S26" i="28"/>
  <c r="S27" i="28"/>
  <c r="S28" i="28"/>
  <c r="S29" i="28"/>
  <c r="S30" i="28"/>
  <c r="S31" i="28"/>
  <c r="S32" i="28"/>
  <c r="S33" i="28"/>
  <c r="S34" i="28"/>
  <c r="S35" i="28"/>
  <c r="S36" i="28"/>
  <c r="S37" i="28"/>
  <c r="S38" i="28"/>
  <c r="S39" i="28"/>
  <c r="S40" i="28"/>
  <c r="S41" i="28"/>
  <c r="S42" i="28"/>
  <c r="S43" i="28"/>
  <c r="S44" i="28"/>
  <c r="S45" i="28"/>
  <c r="S46" i="28"/>
  <c r="S47" i="28"/>
  <c r="L15" i="28"/>
  <c r="M15" i="28" s="1"/>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E15" i="28"/>
  <c r="G15" i="28" s="1"/>
  <c r="E16" i="28"/>
  <c r="E17" i="28"/>
  <c r="E18" i="28"/>
  <c r="E19" i="28"/>
  <c r="E20" i="28"/>
  <c r="E21" i="28"/>
  <c r="E22" i="28"/>
  <c r="G22" i="28" s="1"/>
  <c r="E23" i="28"/>
  <c r="E24" i="28"/>
  <c r="E25" i="28"/>
  <c r="E26" i="28"/>
  <c r="E27" i="28"/>
  <c r="E28" i="28"/>
  <c r="E29" i="28"/>
  <c r="E30" i="28"/>
  <c r="E31" i="28"/>
  <c r="E32" i="28"/>
  <c r="E33" i="28"/>
  <c r="E34" i="28"/>
  <c r="E35" i="28"/>
  <c r="E36" i="28"/>
  <c r="E37" i="28"/>
  <c r="E38" i="28"/>
  <c r="E39" i="28"/>
  <c r="E40" i="28"/>
  <c r="E41" i="28"/>
  <c r="E42" i="28"/>
  <c r="E43" i="28"/>
  <c r="E44" i="28"/>
  <c r="E45" i="28"/>
  <c r="E46" i="28"/>
  <c r="E47" i="28"/>
  <c r="BR15" i="28"/>
  <c r="BR16" i="28"/>
  <c r="BR17" i="28"/>
  <c r="BR18" i="28"/>
  <c r="BR19" i="28"/>
  <c r="BR21" i="28"/>
  <c r="BR22" i="28"/>
  <c r="BR23" i="28"/>
  <c r="BR24" i="28"/>
  <c r="BR25" i="28"/>
  <c r="BR26" i="28"/>
  <c r="BR27" i="28"/>
  <c r="BR29" i="28"/>
  <c r="BR30" i="28"/>
  <c r="BR31" i="28"/>
  <c r="BR32" i="28"/>
  <c r="BR33" i="28"/>
  <c r="BR34" i="28"/>
  <c r="BR35" i="28"/>
  <c r="BR36" i="28"/>
  <c r="BR37" i="28"/>
  <c r="BR38" i="28"/>
  <c r="BR39" i="28"/>
  <c r="BR40" i="28"/>
  <c r="BR41" i="28"/>
  <c r="BR42" i="28"/>
  <c r="BR43" i="28"/>
  <c r="BR44" i="28"/>
  <c r="BR45" i="28"/>
  <c r="BR46" i="28"/>
  <c r="BR47" i="28"/>
  <c r="BQ15" i="28"/>
  <c r="BQ16" i="28"/>
  <c r="BQ17"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AP15" i="28"/>
  <c r="AP16" i="28"/>
  <c r="AP17"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O15" i="28"/>
  <c r="AO16" i="28"/>
  <c r="AO18" i="28"/>
  <c r="AO20" i="28"/>
  <c r="AO21" i="28"/>
  <c r="AO22"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I15"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H16" i="28"/>
  <c r="AH17" i="28"/>
  <c r="AH18" i="28"/>
  <c r="AH19" i="28"/>
  <c r="AH20" i="28"/>
  <c r="AH21" i="28"/>
  <c r="AH22" i="28"/>
  <c r="AH23" i="28"/>
  <c r="AH25" i="28"/>
  <c r="AH26" i="28"/>
  <c r="AH27" i="28"/>
  <c r="AH28" i="28"/>
  <c r="AH29" i="28"/>
  <c r="AH30" i="28"/>
  <c r="AH31" i="28"/>
  <c r="AH32" i="28"/>
  <c r="AH33" i="28"/>
  <c r="AH34" i="28"/>
  <c r="AH35" i="28"/>
  <c r="AH36" i="28"/>
  <c r="AH37" i="28"/>
  <c r="AH38" i="28"/>
  <c r="AH39" i="28"/>
  <c r="AH40" i="28"/>
  <c r="AH41" i="28"/>
  <c r="AH42" i="28"/>
  <c r="AH43" i="28"/>
  <c r="AH44" i="28"/>
  <c r="AH45" i="28"/>
  <c r="AH46" i="28"/>
  <c r="AH47" i="28"/>
  <c r="AB15" i="28"/>
  <c r="AB16" i="28"/>
  <c r="AB17" i="28"/>
  <c r="AB18" i="28"/>
  <c r="AB19" i="28"/>
  <c r="AB20" i="28"/>
  <c r="AB21" i="28"/>
  <c r="AB22" i="28"/>
  <c r="AB23" i="28"/>
  <c r="AB24" i="28"/>
  <c r="AB26" i="28"/>
  <c r="AB27" i="28"/>
  <c r="AB28" i="28"/>
  <c r="AB29" i="28"/>
  <c r="AB30" i="28"/>
  <c r="AB31" i="28"/>
  <c r="AB32" i="28"/>
  <c r="AB33" i="28"/>
  <c r="AB34" i="28"/>
  <c r="AB35" i="28"/>
  <c r="AB36" i="28"/>
  <c r="AB37" i="28"/>
  <c r="AB38" i="28"/>
  <c r="AB39" i="28"/>
  <c r="AB40" i="28"/>
  <c r="AB41" i="28"/>
  <c r="AB42" i="28"/>
  <c r="AB43" i="28"/>
  <c r="AB44" i="28"/>
  <c r="AB45" i="28"/>
  <c r="AB46" i="28"/>
  <c r="AB47" i="28"/>
  <c r="AA16"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U15"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T15" i="28"/>
  <c r="T16" i="28"/>
  <c r="T17" i="28"/>
  <c r="T18" i="28"/>
  <c r="T19" i="28"/>
  <c r="T20" i="28"/>
  <c r="T21" i="28"/>
  <c r="T22" i="28"/>
  <c r="T23" i="28"/>
  <c r="T25" i="28"/>
  <c r="T26" i="28"/>
  <c r="T27" i="28"/>
  <c r="T28" i="28"/>
  <c r="T29" i="28"/>
  <c r="T30" i="28"/>
  <c r="T31" i="28"/>
  <c r="T32" i="28"/>
  <c r="T33" i="28"/>
  <c r="T34" i="28"/>
  <c r="T35" i="28"/>
  <c r="T36" i="28"/>
  <c r="T37" i="28"/>
  <c r="T38" i="28"/>
  <c r="T39" i="28"/>
  <c r="T40" i="28"/>
  <c r="T41" i="28"/>
  <c r="T42" i="28"/>
  <c r="T43" i="28"/>
  <c r="T44" i="28"/>
  <c r="T45" i="28"/>
  <c r="T46" i="28"/>
  <c r="T47"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G16" i="28"/>
  <c r="G17" i="28"/>
  <c r="G18" i="28"/>
  <c r="G19" i="28"/>
  <c r="G20" i="28"/>
  <c r="G21"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BR15" i="27"/>
  <c r="BR17" i="27"/>
  <c r="BR18" i="27"/>
  <c r="BR19" i="27"/>
  <c r="BR20" i="27"/>
  <c r="BR21" i="27"/>
  <c r="BR23" i="27"/>
  <c r="BR24" i="27"/>
  <c r="BR25" i="27"/>
  <c r="BR26" i="27"/>
  <c r="BR27" i="27"/>
  <c r="BR28" i="27"/>
  <c r="BR29" i="27"/>
  <c r="BR30" i="27"/>
  <c r="BR31" i="27"/>
  <c r="BR32" i="27"/>
  <c r="BR33" i="27"/>
  <c r="BR34" i="27"/>
  <c r="BR35" i="27"/>
  <c r="BR36" i="27"/>
  <c r="BR37" i="27"/>
  <c r="BR38" i="27"/>
  <c r="BR39" i="27"/>
  <c r="BR40" i="27"/>
  <c r="BR41" i="27"/>
  <c r="BR42" i="27"/>
  <c r="BR43" i="27"/>
  <c r="BR44" i="27"/>
  <c r="BR45" i="27"/>
  <c r="BR46" i="27"/>
  <c r="BR47" i="27"/>
  <c r="BQ16" i="27"/>
  <c r="BQ17" i="27"/>
  <c r="BQ18" i="27"/>
  <c r="BQ19" i="27"/>
  <c r="BQ20" i="27"/>
  <c r="BQ21" i="27"/>
  <c r="BQ22" i="27"/>
  <c r="BQ23" i="27"/>
  <c r="BQ25" i="27"/>
  <c r="BQ26" i="27"/>
  <c r="BQ27" i="27"/>
  <c r="BQ28" i="27"/>
  <c r="BQ29" i="27"/>
  <c r="BQ30" i="27"/>
  <c r="BQ31" i="27"/>
  <c r="BQ32" i="27"/>
  <c r="BQ33" i="27"/>
  <c r="BQ34" i="27"/>
  <c r="BQ35" i="27"/>
  <c r="BQ36" i="27"/>
  <c r="BQ37" i="27"/>
  <c r="BQ38" i="27"/>
  <c r="BQ39" i="27"/>
  <c r="BQ40" i="27"/>
  <c r="BQ41" i="27"/>
  <c r="BQ42" i="27"/>
  <c r="BQ43" i="27"/>
  <c r="BQ44" i="27"/>
  <c r="BQ45" i="27"/>
  <c r="BQ46" i="27"/>
  <c r="BQ47" i="27"/>
  <c r="AP15" i="27"/>
  <c r="AP16" i="27"/>
  <c r="AP17" i="27"/>
  <c r="AP18" i="27"/>
  <c r="AP19" i="27"/>
  <c r="AP20" i="27"/>
  <c r="AP21"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I15" i="27"/>
  <c r="AI16" i="27"/>
  <c r="AI17" i="27"/>
  <c r="AI18" i="27"/>
  <c r="AI19" i="27"/>
  <c r="AI21" i="27"/>
  <c r="AI22" i="27"/>
  <c r="AI23" i="27"/>
  <c r="AI24" i="27"/>
  <c r="AI25" i="27"/>
  <c r="AI26" i="27"/>
  <c r="AI29" i="27"/>
  <c r="AI30" i="27"/>
  <c r="AI31" i="27"/>
  <c r="AI32" i="27"/>
  <c r="AI33" i="27"/>
  <c r="AI34" i="27"/>
  <c r="AI35" i="27"/>
  <c r="AI36" i="27"/>
  <c r="AI37" i="27"/>
  <c r="AI38" i="27"/>
  <c r="AI39" i="27"/>
  <c r="AI40" i="27"/>
  <c r="AI41" i="27"/>
  <c r="AI42" i="27"/>
  <c r="AI43" i="27"/>
  <c r="AI44" i="27"/>
  <c r="AI45" i="27"/>
  <c r="AI46" i="27"/>
  <c r="AI47" i="27"/>
  <c r="AH15" i="27"/>
  <c r="AH16" i="27"/>
  <c r="AH17" i="27"/>
  <c r="AH18"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T15" i="27"/>
  <c r="T16" i="27"/>
  <c r="T17" i="27"/>
  <c r="T18" i="27"/>
  <c r="T19" i="27"/>
  <c r="T20" i="27"/>
  <c r="T21" i="27"/>
  <c r="T22" i="27"/>
  <c r="T23" i="27"/>
  <c r="T24" i="27"/>
  <c r="T25" i="27"/>
  <c r="T27" i="27"/>
  <c r="T28" i="27"/>
  <c r="T29" i="27"/>
  <c r="T30" i="27"/>
  <c r="T31" i="27"/>
  <c r="T32" i="27"/>
  <c r="T33" i="27"/>
  <c r="T34" i="27"/>
  <c r="T35" i="27"/>
  <c r="T36" i="27"/>
  <c r="T37" i="27"/>
  <c r="T38" i="27"/>
  <c r="T39" i="27"/>
  <c r="T40" i="27"/>
  <c r="T41" i="27"/>
  <c r="T42" i="27"/>
  <c r="T43" i="27"/>
  <c r="T44" i="27"/>
  <c r="T45" i="27"/>
  <c r="T46" i="27"/>
  <c r="T47" i="27"/>
  <c r="N15" i="27"/>
  <c r="N16" i="27"/>
  <c r="N17" i="27"/>
  <c r="N18" i="27"/>
  <c r="N19" i="27"/>
  <c r="N20" i="27"/>
  <c r="N21" i="27"/>
  <c r="N22" i="27"/>
  <c r="N23" i="27"/>
  <c r="N24" i="27"/>
  <c r="N26" i="27"/>
  <c r="N27" i="27"/>
  <c r="N28" i="27"/>
  <c r="N29" i="27"/>
  <c r="N30" i="27"/>
  <c r="N31" i="27"/>
  <c r="N32" i="27"/>
  <c r="N33" i="27"/>
  <c r="N34" i="27"/>
  <c r="N35" i="27"/>
  <c r="N36" i="27"/>
  <c r="N37" i="27"/>
  <c r="N38" i="27"/>
  <c r="N39" i="27"/>
  <c r="N40" i="27"/>
  <c r="N41" i="27"/>
  <c r="N42" i="27"/>
  <c r="N43" i="27"/>
  <c r="N44" i="27"/>
  <c r="N45" i="27"/>
  <c r="N46" i="27"/>
  <c r="N47" i="27"/>
  <c r="M15" i="27"/>
  <c r="M16" i="27"/>
  <c r="M18" i="27"/>
  <c r="M19" i="27"/>
  <c r="M20" i="27"/>
  <c r="M21" i="27"/>
  <c r="M22" i="27"/>
  <c r="M23" i="27"/>
  <c r="M25" i="27"/>
  <c r="M26" i="27"/>
  <c r="M27" i="27"/>
  <c r="M28" i="27"/>
  <c r="M29" i="27"/>
  <c r="M30" i="27"/>
  <c r="M31" i="27"/>
  <c r="M32" i="27"/>
  <c r="M33" i="27"/>
  <c r="M34" i="27"/>
  <c r="M35" i="27"/>
  <c r="M36" i="27"/>
  <c r="M37" i="27"/>
  <c r="M38" i="27"/>
  <c r="M39" i="27"/>
  <c r="M40" i="27"/>
  <c r="M41" i="27"/>
  <c r="M42" i="27"/>
  <c r="M43" i="27"/>
  <c r="M44" i="27"/>
  <c r="M45" i="27"/>
  <c r="M46" i="27"/>
  <c r="M47" i="27"/>
  <c r="G15" i="27"/>
  <c r="G16" i="27"/>
  <c r="G17" i="27"/>
  <c r="G19" i="27"/>
  <c r="G20" i="27"/>
  <c r="G21" i="27"/>
  <c r="G22" i="27"/>
  <c r="G23" i="27"/>
  <c r="G24" i="27"/>
  <c r="G26" i="27"/>
  <c r="G27" i="27"/>
  <c r="G28" i="27"/>
  <c r="G29" i="27"/>
  <c r="G30" i="27"/>
  <c r="G31" i="27"/>
  <c r="G32" i="27"/>
  <c r="G33" i="27"/>
  <c r="G34" i="27"/>
  <c r="G35" i="27"/>
  <c r="G36" i="27"/>
  <c r="G37" i="27"/>
  <c r="G38" i="27"/>
  <c r="G39" i="27"/>
  <c r="G40" i="27"/>
  <c r="G41" i="27"/>
  <c r="G42" i="27"/>
  <c r="G43" i="27"/>
  <c r="G44" i="27"/>
  <c r="G45" i="27"/>
  <c r="G46" i="27"/>
  <c r="G47" i="27"/>
  <c r="F15" i="27"/>
  <c r="F16" i="27"/>
  <c r="F18" i="27"/>
  <c r="F19" i="27"/>
  <c r="F20" i="27"/>
  <c r="F21" i="27"/>
  <c r="F22" i="27"/>
  <c r="F23" i="27"/>
  <c r="F24" i="27"/>
  <c r="F25" i="27"/>
  <c r="F27" i="27"/>
  <c r="F28" i="27"/>
  <c r="F29" i="27"/>
  <c r="F30" i="27"/>
  <c r="F31" i="27"/>
  <c r="F32" i="27"/>
  <c r="F33" i="27"/>
  <c r="F34" i="27"/>
  <c r="F35" i="27"/>
  <c r="F36" i="27"/>
  <c r="F37" i="27"/>
  <c r="F38" i="27"/>
  <c r="F39" i="27"/>
  <c r="F40" i="27"/>
  <c r="F41" i="27"/>
  <c r="F42" i="27"/>
  <c r="F43" i="27"/>
  <c r="F44" i="27"/>
  <c r="F45" i="27"/>
  <c r="F46" i="27"/>
  <c r="F47" i="2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BQ16" i="17"/>
  <c r="BR16" i="17"/>
  <c r="BQ17" i="17"/>
  <c r="BR17" i="17"/>
  <c r="BQ18" i="17"/>
  <c r="BQ19" i="17"/>
  <c r="BR19" i="17"/>
  <c r="BQ20" i="17"/>
  <c r="BQ21" i="17"/>
  <c r="BR21" i="17"/>
  <c r="BQ22" i="17"/>
  <c r="BR22" i="17"/>
  <c r="BQ23" i="17"/>
  <c r="BR23" i="17"/>
  <c r="BQ24" i="17"/>
  <c r="BR24" i="17"/>
  <c r="BQ25" i="17"/>
  <c r="BR25" i="17"/>
  <c r="BR26" i="17"/>
  <c r="BQ27" i="17"/>
  <c r="BR27" i="17"/>
  <c r="BQ28" i="17"/>
  <c r="BQ29" i="17"/>
  <c r="BR29" i="17"/>
  <c r="BQ30" i="17"/>
  <c r="BR30" i="17"/>
  <c r="BQ31" i="17"/>
  <c r="BR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R15" i="17"/>
  <c r="BQ15" i="17"/>
  <c r="AP15" i="17"/>
  <c r="AP16" i="17"/>
  <c r="AP17" i="17"/>
  <c r="AP18" i="17"/>
  <c r="AP19" i="17"/>
  <c r="AP20" i="17"/>
  <c r="AP21" i="17"/>
  <c r="AP22" i="17"/>
  <c r="AP23" i="17"/>
  <c r="AP24" i="17"/>
  <c r="AP25" i="17"/>
  <c r="AP26" i="17"/>
  <c r="AP28" i="17"/>
  <c r="AP29" i="17"/>
  <c r="AP30" i="17"/>
  <c r="AP31" i="17"/>
  <c r="AP32" i="17"/>
  <c r="AP33" i="17"/>
  <c r="AP34" i="17"/>
  <c r="AP35" i="17"/>
  <c r="AP36" i="17"/>
  <c r="AP37" i="17"/>
  <c r="AP38" i="17"/>
  <c r="AP39" i="17"/>
  <c r="AP40" i="17"/>
  <c r="AP41" i="17"/>
  <c r="AP42" i="17"/>
  <c r="AP43" i="17"/>
  <c r="AP44" i="17"/>
  <c r="AP45" i="17"/>
  <c r="AP46" i="17"/>
  <c r="AP47" i="17"/>
  <c r="AO15" i="17"/>
  <c r="AO16" i="17"/>
  <c r="AO17" i="17"/>
  <c r="AO18"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H16" i="17"/>
  <c r="AI16" i="17"/>
  <c r="AH17" i="17"/>
  <c r="AI17" i="17"/>
  <c r="AH18" i="17"/>
  <c r="AH19" i="17"/>
  <c r="AI19" i="17"/>
  <c r="AH20" i="17"/>
  <c r="AI20" i="17"/>
  <c r="AH21" i="17"/>
  <c r="AI21" i="17"/>
  <c r="AH22" i="17"/>
  <c r="AI22" i="17"/>
  <c r="AH23" i="17"/>
  <c r="AI23" i="17"/>
  <c r="AH24" i="17"/>
  <c r="AI24" i="17"/>
  <c r="AH25" i="17"/>
  <c r="AI25" i="17"/>
  <c r="AI26" i="17"/>
  <c r="AH27" i="17"/>
  <c r="AI27" i="17"/>
  <c r="AH28" i="17"/>
  <c r="AI28" i="17"/>
  <c r="AH29"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I15" i="17"/>
  <c r="AH15" i="17"/>
  <c r="AB15" i="17"/>
  <c r="AB17"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A15" i="17"/>
  <c r="AA16" i="17"/>
  <c r="AA17" i="17"/>
  <c r="AA18" i="17"/>
  <c r="AA19" i="17"/>
  <c r="AA20" i="17"/>
  <c r="AA21" i="17"/>
  <c r="AA22" i="17"/>
  <c r="AA23" i="17"/>
  <c r="AA25" i="17"/>
  <c r="AA27" i="17"/>
  <c r="AA28" i="17"/>
  <c r="AA29" i="17"/>
  <c r="AA30" i="17"/>
  <c r="AA31" i="17"/>
  <c r="AA32" i="17"/>
  <c r="AA33" i="17"/>
  <c r="AA34" i="17"/>
  <c r="AA35" i="17"/>
  <c r="AA36" i="17"/>
  <c r="AA37" i="17"/>
  <c r="AA38" i="17"/>
  <c r="AA39" i="17"/>
  <c r="AA40" i="17"/>
  <c r="AA41" i="17"/>
  <c r="AA42" i="17"/>
  <c r="AA43" i="17"/>
  <c r="AA44" i="17"/>
  <c r="AA45" i="17"/>
  <c r="AA46" i="17"/>
  <c r="AA47" i="17"/>
  <c r="U15" i="17"/>
  <c r="U17" i="17"/>
  <c r="U18" i="17"/>
  <c r="U19" i="17"/>
  <c r="U20" i="17"/>
  <c r="U21" i="17"/>
  <c r="U22" i="17"/>
  <c r="U23" i="17"/>
  <c r="U24" i="17"/>
  <c r="U26" i="17"/>
  <c r="U27" i="17"/>
  <c r="U28" i="17"/>
  <c r="U29" i="17"/>
  <c r="U30" i="17"/>
  <c r="U31" i="17"/>
  <c r="U32" i="17"/>
  <c r="U33" i="17"/>
  <c r="U34" i="17"/>
  <c r="U35" i="17"/>
  <c r="U36" i="17"/>
  <c r="U37" i="17"/>
  <c r="U38" i="17"/>
  <c r="U39" i="17"/>
  <c r="U40" i="17"/>
  <c r="U41" i="17"/>
  <c r="U42" i="17"/>
  <c r="U43" i="17"/>
  <c r="U44" i="17"/>
  <c r="U45" i="17"/>
  <c r="U46" i="17"/>
  <c r="U47" i="17"/>
  <c r="T15" i="17"/>
  <c r="T16" i="17"/>
  <c r="T18" i="17"/>
  <c r="T19" i="17"/>
  <c r="T20" i="17"/>
  <c r="T22" i="17"/>
  <c r="T23" i="17"/>
  <c r="T25" i="17"/>
  <c r="T26" i="17"/>
  <c r="T27" i="17"/>
  <c r="T28" i="17"/>
  <c r="T29" i="17"/>
  <c r="T30" i="17"/>
  <c r="T31" i="17"/>
  <c r="T32" i="17"/>
  <c r="T33" i="17"/>
  <c r="T34" i="17"/>
  <c r="T35" i="17"/>
  <c r="T36" i="17"/>
  <c r="T37" i="17"/>
  <c r="T38" i="17"/>
  <c r="T39" i="17"/>
  <c r="T40" i="17"/>
  <c r="T41" i="17"/>
  <c r="T42" i="17"/>
  <c r="T43" i="17"/>
  <c r="T44" i="17"/>
  <c r="T45" i="17"/>
  <c r="T46" i="17"/>
  <c r="T47" i="17"/>
  <c r="N15"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M15" i="17"/>
  <c r="M16" i="17"/>
  <c r="M17" i="17"/>
  <c r="M18" i="17"/>
  <c r="M19" i="17"/>
  <c r="M20" i="17"/>
  <c r="M21" i="17"/>
  <c r="M22" i="17"/>
  <c r="M23" i="17"/>
  <c r="M25" i="17"/>
  <c r="M26" i="17"/>
  <c r="M27" i="17"/>
  <c r="M28" i="17"/>
  <c r="M29" i="17"/>
  <c r="M30" i="17"/>
  <c r="M31" i="17"/>
  <c r="M32" i="17"/>
  <c r="M33" i="17"/>
  <c r="M34" i="17"/>
  <c r="M35" i="17"/>
  <c r="M36" i="17"/>
  <c r="M37" i="17"/>
  <c r="M38" i="17"/>
  <c r="M39" i="17"/>
  <c r="M40" i="17"/>
  <c r="M41" i="17"/>
  <c r="M42" i="17"/>
  <c r="M43" i="17"/>
  <c r="M44" i="17"/>
  <c r="M45" i="17"/>
  <c r="M46" i="17"/>
  <c r="M47"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X19" i="24"/>
  <c r="X20" i="24"/>
  <c r="X22" i="24"/>
  <c r="X21" i="24"/>
  <c r="X11" i="24"/>
  <c r="X10" i="24"/>
  <c r="AF56" i="24"/>
  <c r="AF38" i="24"/>
  <c r="AF20" i="24"/>
  <c r="AE33" i="24" l="1"/>
  <c r="AD71" i="24"/>
  <c r="AE52" i="24"/>
  <c r="AE68" i="24"/>
  <c r="AE72" i="24"/>
  <c r="AD72" i="24"/>
  <c r="AE50" i="24"/>
  <c r="AE71" i="24"/>
  <c r="AD52" i="24"/>
  <c r="AD69" i="24"/>
  <c r="AD70" i="24"/>
  <c r="AE51" i="24"/>
  <c r="AE55" i="24"/>
  <c r="AD55" i="24"/>
  <c r="AD35" i="24"/>
  <c r="AD36" i="24"/>
  <c r="AD53" i="24"/>
  <c r="AD73" i="24"/>
  <c r="AE37" i="24"/>
  <c r="AE54" i="24"/>
  <c r="AE70" i="24"/>
  <c r="AE35" i="24"/>
  <c r="AE34" i="24"/>
  <c r="AD34" i="24"/>
  <c r="AE69" i="24"/>
  <c r="AD33" i="24"/>
  <c r="AD37" i="24"/>
  <c r="AE36" i="24"/>
  <c r="AD51" i="24"/>
  <c r="AD54" i="24"/>
  <c r="AE53" i="24"/>
  <c r="AE73" i="24"/>
  <c r="AE32" i="24"/>
  <c r="AD50" i="24"/>
  <c r="AD26" i="24"/>
  <c r="AD32" i="24"/>
  <c r="AD68" i="24"/>
  <c r="AD19" i="24"/>
  <c r="AE15" i="24"/>
  <c r="AD18" i="24"/>
  <c r="AD14" i="24"/>
  <c r="AD15" i="24"/>
  <c r="AD16" i="24"/>
  <c r="AE27" i="24"/>
  <c r="AD23" i="24"/>
  <c r="AD27" i="24"/>
  <c r="AD31" i="24"/>
  <c r="AD24" i="24"/>
  <c r="AD25" i="24"/>
  <c r="AE23" i="24"/>
  <c r="AE31" i="24"/>
  <c r="AE25" i="24"/>
  <c r="AE26" i="24"/>
  <c r="AE24" i="24"/>
  <c r="AE22" i="24"/>
  <c r="AD42" i="24"/>
  <c r="AE41" i="24"/>
  <c r="AD43" i="24"/>
  <c r="AD44" i="24"/>
  <c r="AD41" i="24"/>
  <c r="AE45" i="24"/>
  <c r="AD49" i="24"/>
  <c r="AE42" i="24"/>
  <c r="AD45" i="24"/>
  <c r="AE49" i="24"/>
  <c r="AE43" i="24"/>
  <c r="AE44" i="24"/>
  <c r="AE67" i="24"/>
  <c r="AD67" i="24"/>
  <c r="AD61" i="24"/>
  <c r="AD62" i="24"/>
  <c r="AE60" i="24"/>
  <c r="AD60" i="24"/>
  <c r="AD59" i="24"/>
  <c r="AD63" i="24"/>
  <c r="AE61" i="24"/>
  <c r="AE62" i="24"/>
  <c r="AE59" i="24"/>
  <c r="AE63" i="24"/>
  <c r="AE17" i="24"/>
  <c r="AE19" i="24"/>
  <c r="AE14" i="24"/>
  <c r="AE18" i="24"/>
  <c r="AE16" i="24"/>
  <c r="AD17" i="24"/>
  <c r="AD22" i="24"/>
  <c r="AD40" i="24"/>
  <c r="AD58" i="24"/>
  <c r="X12" i="24"/>
  <c r="X13" i="24"/>
  <c r="C9" i="18"/>
  <c r="C8" i="18"/>
  <c r="D119" i="18"/>
  <c r="C119" i="18"/>
  <c r="J2" i="25" a="1"/>
  <c r="J2" i="25" s="1"/>
  <c r="H2" i="25" a="1"/>
  <c r="H2" i="25" s="1"/>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10" i="22"/>
  <c r="E13" i="18"/>
  <c r="E14" i="18"/>
  <c r="E15" i="18"/>
  <c r="E16" i="18"/>
  <c r="E17" i="18"/>
  <c r="E18" i="18"/>
  <c r="E19" i="18"/>
  <c r="E20" i="18"/>
  <c r="E21" i="18"/>
  <c r="E22" i="18"/>
  <c r="E23" i="18"/>
  <c r="AF74"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52" i="24" l="1"/>
  <c r="AF50" i="24"/>
  <c r="AF55" i="24"/>
  <c r="AF34" i="24"/>
  <c r="AF35" i="24"/>
  <c r="AF17" i="24"/>
  <c r="AF54" i="24"/>
  <c r="AF51" i="24"/>
  <c r="AF24" i="24"/>
  <c r="AF23" i="24"/>
  <c r="AF42" i="24"/>
  <c r="AF31" i="24"/>
  <c r="AF14" i="24"/>
  <c r="AF25" i="24"/>
  <c r="AF41" i="24"/>
  <c r="AF26" i="24"/>
  <c r="AF27" i="24"/>
  <c r="AF19" i="24"/>
  <c r="AF16" i="24"/>
  <c r="AF18" i="24"/>
  <c r="AF15" i="24"/>
  <c r="AF32" i="24"/>
  <c r="AF37" i="24"/>
  <c r="AF36" i="24"/>
  <c r="AF53" i="24"/>
  <c r="AF22" i="24"/>
  <c r="AE40" i="24"/>
  <c r="AF40" i="24" s="1"/>
  <c r="AF49" i="24"/>
  <c r="AF45" i="24"/>
  <c r="AF44" i="24"/>
  <c r="AF43" i="24"/>
  <c r="AF62" i="24"/>
  <c r="AF67" i="24"/>
  <c r="AF59" i="24"/>
  <c r="AF60" i="24"/>
  <c r="AE58" i="24"/>
  <c r="AF58" i="24" s="1"/>
  <c r="AF63" i="24"/>
  <c r="AF61" i="24"/>
  <c r="AF33" i="24"/>
  <c r="AF72" i="24"/>
  <c r="AF73" i="24"/>
  <c r="AF70" i="24"/>
  <c r="C198" i="24"/>
  <c r="C192" i="24"/>
  <c r="C172" i="24"/>
  <c r="C203" i="24"/>
  <c r="C195" i="24"/>
  <c r="C187" i="24"/>
  <c r="C171" i="24"/>
  <c r="C200" i="24"/>
  <c r="C170" i="24"/>
  <c r="C11" i="16"/>
  <c r="C8" i="16"/>
  <c r="C10" i="16"/>
  <c r="C9" i="16"/>
  <c r="C7" i="16"/>
  <c r="C6" i="16"/>
  <c r="I19" i="16" a="1"/>
  <c r="I19" i="16" s="1"/>
  <c r="F19" i="16" a="1"/>
  <c r="F19" i="16" s="1"/>
  <c r="B19" i="16" l="1" a="1"/>
  <c r="B19" i="16" s="1"/>
  <c r="B356" i="22"/>
  <c r="B9" i="22"/>
  <c r="E119" i="18"/>
  <c r="B119" i="18"/>
  <c r="AF71" i="24" l="1"/>
  <c r="AF69" i="24"/>
  <c r="AD4" i="24"/>
  <c r="B200" i="22"/>
  <c r="B320" i="22"/>
  <c r="B256" i="22"/>
  <c r="B192" i="22"/>
  <c r="B128" i="22"/>
  <c r="B64" i="22"/>
  <c r="B312" i="22"/>
  <c r="B248" i="22"/>
  <c r="B184" i="22"/>
  <c r="B120" i="22"/>
  <c r="B56" i="22"/>
  <c r="B176" i="22"/>
  <c r="B296" i="22"/>
  <c r="B232" i="22"/>
  <c r="B168" i="22"/>
  <c r="B104" i="22"/>
  <c r="B40" i="22"/>
  <c r="B328" i="22"/>
  <c r="B304" i="22"/>
  <c r="B240" i="22"/>
  <c r="B352" i="22"/>
  <c r="B288" i="22"/>
  <c r="B224" i="22"/>
  <c r="B160" i="22"/>
  <c r="B96" i="22"/>
  <c r="B32" i="22"/>
  <c r="B48" i="22"/>
  <c r="B344" i="22"/>
  <c r="B280" i="22"/>
  <c r="B216" i="22"/>
  <c r="B152" i="22"/>
  <c r="B88" i="22"/>
  <c r="B24" i="22"/>
  <c r="B264" i="22"/>
  <c r="B112" i="22"/>
  <c r="B336" i="22"/>
  <c r="B272" i="22"/>
  <c r="B208" i="22"/>
  <c r="B144" i="22"/>
  <c r="B80" i="22"/>
  <c r="B16" i="22"/>
  <c r="B136" i="22"/>
  <c r="B72" i="22"/>
  <c r="B343" i="22"/>
  <c r="B327" i="22"/>
  <c r="B311" i="22"/>
  <c r="B295" i="22"/>
  <c r="B279" i="22"/>
  <c r="B263" i="22"/>
  <c r="B239" i="22"/>
  <c r="B223" i="22"/>
  <c r="B207" i="22"/>
  <c r="B191" i="22"/>
  <c r="B175" i="22"/>
  <c r="B159" i="22"/>
  <c r="B143" i="22"/>
  <c r="B127" i="22"/>
  <c r="B95" i="22"/>
  <c r="B71" i="22"/>
  <c r="B55" i="22"/>
  <c r="B31" i="22"/>
  <c r="B15"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1" i="22"/>
  <c r="B335" i="22"/>
  <c r="B319" i="22"/>
  <c r="B303" i="22"/>
  <c r="B287" i="22"/>
  <c r="B271" i="22"/>
  <c r="B255" i="22"/>
  <c r="B247" i="22"/>
  <c r="B231" i="22"/>
  <c r="B215" i="22"/>
  <c r="B199" i="22"/>
  <c r="B183" i="22"/>
  <c r="B167" i="22"/>
  <c r="B151" i="22"/>
  <c r="B135" i="22"/>
  <c r="B119" i="22"/>
  <c r="B111" i="22"/>
  <c r="B103" i="22"/>
  <c r="B87" i="22"/>
  <c r="B79" i="22"/>
  <c r="B63" i="22"/>
  <c r="B47" i="22"/>
  <c r="B39" i="22"/>
  <c r="B23"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B13" i="22"/>
  <c r="B340" i="22"/>
  <c r="B324" i="22"/>
  <c r="B308" i="22"/>
  <c r="B292" i="22"/>
  <c r="B276" i="22"/>
  <c r="B260" i="22"/>
  <c r="B244" i="22"/>
  <c r="B236" i="22"/>
  <c r="B220" i="22"/>
  <c r="B204" i="22"/>
  <c r="B188" i="22"/>
  <c r="B172" i="22"/>
  <c r="B156" i="22"/>
  <c r="B148" i="22"/>
  <c r="B132" i="22"/>
  <c r="B116" i="22"/>
  <c r="B108" i="22"/>
  <c r="B92" i="22"/>
  <c r="B76" i="22"/>
  <c r="B60" i="22"/>
  <c r="B44" i="22"/>
  <c r="B36" i="22"/>
  <c r="B28" i="22"/>
  <c r="B12" i="22"/>
  <c r="B355" i="22"/>
  <c r="B347" i="22"/>
  <c r="B339" i="22"/>
  <c r="B331" i="22"/>
  <c r="B323" i="22"/>
  <c r="B315" i="22"/>
  <c r="B307" i="22"/>
  <c r="B299" i="22"/>
  <c r="B291" i="22"/>
  <c r="B283" i="22"/>
  <c r="B275" i="22"/>
  <c r="B267" i="22"/>
  <c r="B259" i="22"/>
  <c r="B251" i="22"/>
  <c r="B243" i="22"/>
  <c r="B235" i="22"/>
  <c r="B227" i="22"/>
  <c r="B219" i="22"/>
  <c r="B211" i="22"/>
  <c r="B203" i="22"/>
  <c r="B195" i="22"/>
  <c r="B187" i="22"/>
  <c r="B179" i="22"/>
  <c r="B171" i="22"/>
  <c r="B163" i="22"/>
  <c r="B155" i="22"/>
  <c r="B147" i="22"/>
  <c r="B139" i="22"/>
  <c r="B131" i="22"/>
  <c r="B123" i="22"/>
  <c r="B115" i="22"/>
  <c r="B107" i="22"/>
  <c r="B99" i="22"/>
  <c r="B91" i="22"/>
  <c r="B83" i="22"/>
  <c r="B75" i="22"/>
  <c r="B67" i="22"/>
  <c r="B59" i="22"/>
  <c r="B51" i="22"/>
  <c r="B43" i="22"/>
  <c r="B35" i="22"/>
  <c r="B27" i="22"/>
  <c r="B19" i="22"/>
  <c r="B11" i="22"/>
  <c r="B348" i="22"/>
  <c r="B332" i="22"/>
  <c r="B316" i="22"/>
  <c r="B300" i="22"/>
  <c r="B284" i="22"/>
  <c r="B268" i="22"/>
  <c r="B252" i="22"/>
  <c r="B228" i="22"/>
  <c r="B212" i="22"/>
  <c r="B196" i="22"/>
  <c r="B180" i="22"/>
  <c r="B164" i="22"/>
  <c r="B140" i="22"/>
  <c r="B124" i="22"/>
  <c r="B100" i="22"/>
  <c r="B84" i="22"/>
  <c r="B68" i="22"/>
  <c r="B52" i="22"/>
  <c r="B20"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10"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AD9" i="24"/>
  <c r="AD128" i="24" l="1"/>
  <c r="AE128" i="24" s="1"/>
  <c r="AC123" i="24"/>
  <c r="E12" i="18" s="1"/>
  <c r="E24" i="18" s="1"/>
  <c r="AE9" i="24"/>
  <c r="AF9" i="24" s="1"/>
  <c r="AD7" i="24"/>
  <c r="AD6" i="24"/>
  <c r="AE6" i="24"/>
  <c r="AE7" i="24"/>
  <c r="AD124" i="24"/>
  <c r="AD130" i="24"/>
  <c r="AD126" i="24"/>
  <c r="AD132" i="24"/>
  <c r="AD134" i="24"/>
  <c r="AD131" i="24"/>
  <c r="AD133" i="24"/>
  <c r="AD127" i="24"/>
  <c r="AD129" i="24"/>
  <c r="AD123" i="24"/>
  <c r="AD125" i="24"/>
  <c r="AF68" i="24"/>
  <c r="AE5" i="24"/>
  <c r="AD13" i="24"/>
  <c r="AD8" i="24"/>
  <c r="B11" i="14" a="1"/>
  <c r="B11" i="14" s="1"/>
  <c r="F17" i="18" l="1"/>
  <c r="AF7" i="24"/>
  <c r="AF6" i="24"/>
  <c r="AD5" i="24"/>
  <c r="AF5" i="24" s="1"/>
  <c r="AE131" i="24"/>
  <c r="F20" i="18"/>
  <c r="AE134" i="24"/>
  <c r="F23" i="18"/>
  <c r="AE132" i="24"/>
  <c r="F21" i="18"/>
  <c r="AE123" i="24"/>
  <c r="F12" i="18"/>
  <c r="AE130" i="24"/>
  <c r="F19" i="18"/>
  <c r="AE125" i="24"/>
  <c r="F14" i="18"/>
  <c r="AE129" i="24"/>
  <c r="F18" i="18"/>
  <c r="AE124" i="24"/>
  <c r="F13" i="18"/>
  <c r="AE126" i="24"/>
  <c r="F15" i="18"/>
  <c r="AE127" i="24"/>
  <c r="F16" i="18"/>
  <c r="AE133" i="24"/>
  <c r="F22" i="18"/>
  <c r="AE13" i="24"/>
  <c r="AF13" i="24" s="1"/>
  <c r="AE8" i="24"/>
  <c r="AF8" i="24" s="1"/>
  <c r="G11" i="14"/>
  <c r="F11" i="14"/>
  <c r="E11" i="14"/>
  <c r="D11" i="14"/>
  <c r="C11" i="14"/>
  <c r="C10" i="14" s="1"/>
  <c r="H11" i="14"/>
  <c r="F24" i="18" l="1"/>
  <c r="D21" i="24" a="1"/>
  <c r="B24" i="14"/>
  <c r="B21" i="14" a="1"/>
  <c r="C21" i="14" s="1"/>
  <c r="B15" i="14" a="1"/>
  <c r="F15" i="14" s="1"/>
  <c r="B19" i="14" a="1"/>
  <c r="F19" i="14" s="1"/>
  <c r="B13" i="14" a="1"/>
  <c r="H13" i="14" s="1"/>
  <c r="B17" i="14" a="1"/>
  <c r="E17" i="14" s="1"/>
  <c r="C24" i="14"/>
  <c r="F27" i="24" l="1"/>
  <c r="F26" i="24"/>
  <c r="F24" i="24"/>
  <c r="F23" i="24"/>
  <c r="F22" i="24"/>
  <c r="F25" i="24"/>
  <c r="D21" i="24"/>
  <c r="F21" i="24" s="1"/>
  <c r="AE4" i="24"/>
  <c r="AF4" i="24" s="1"/>
  <c r="D10" i="14"/>
  <c r="B27" i="14" a="1"/>
  <c r="C27" i="14" s="1"/>
  <c r="B21" i="14"/>
  <c r="G13" i="14"/>
  <c r="D13" i="14"/>
  <c r="F13" i="14"/>
  <c r="F17" i="14"/>
  <c r="B17" i="14"/>
  <c r="G17" i="14"/>
  <c r="E15" i="14"/>
  <c r="C17" i="14"/>
  <c r="B29" i="14" a="1"/>
  <c r="G29" i="14" s="1"/>
  <c r="H17" i="14"/>
  <c r="B15" i="14"/>
  <c r="B31" i="14" a="1"/>
  <c r="B31" i="14" s="1"/>
  <c r="D17" i="14"/>
  <c r="G15" i="14"/>
  <c r="B35" i="14" a="1"/>
  <c r="B35" i="14" s="1"/>
  <c r="C40" i="14"/>
  <c r="B40" i="14"/>
  <c r="B33" i="14" a="1"/>
  <c r="H33" i="14" s="1"/>
  <c r="C19" i="14"/>
  <c r="G19" i="14"/>
  <c r="D19" i="14"/>
  <c r="B19" i="14"/>
  <c r="H19" i="14"/>
  <c r="H15" i="14"/>
  <c r="C15" i="14"/>
  <c r="D15" i="14"/>
  <c r="B13" i="14"/>
  <c r="C13" i="14"/>
  <c r="E13" i="14"/>
  <c r="E19" i="14"/>
  <c r="B37" i="14" a="1"/>
  <c r="D56" i="24" l="1" a="1"/>
  <c r="F57" i="24" s="1"/>
  <c r="D49" i="24" a="1"/>
  <c r="D42" i="24" a="1"/>
  <c r="D28" i="24" a="1"/>
  <c r="D35" i="24" a="1"/>
  <c r="B56" i="14"/>
  <c r="E10" i="14"/>
  <c r="H10" i="14"/>
  <c r="F10" i="14"/>
  <c r="G10" i="14"/>
  <c r="F27" i="14"/>
  <c r="G27" i="14"/>
  <c r="D27" i="14"/>
  <c r="E27" i="14"/>
  <c r="H27" i="14"/>
  <c r="B27" i="14"/>
  <c r="C26" i="14"/>
  <c r="B43" i="14" a="1"/>
  <c r="G43" i="14" s="1"/>
  <c r="H31" i="14"/>
  <c r="C29" i="14"/>
  <c r="F29" i="14"/>
  <c r="E29" i="14"/>
  <c r="C33" i="14"/>
  <c r="G31" i="14"/>
  <c r="B29" i="14"/>
  <c r="C56" i="14"/>
  <c r="H35" i="14"/>
  <c r="D29" i="14"/>
  <c r="H29" i="14"/>
  <c r="C35" i="14"/>
  <c r="C31" i="14"/>
  <c r="D35" i="14"/>
  <c r="B49" i="14" a="1"/>
  <c r="G49" i="14" s="1"/>
  <c r="E31" i="14"/>
  <c r="F31" i="14"/>
  <c r="D31" i="14"/>
  <c r="E35" i="14"/>
  <c r="G35" i="14"/>
  <c r="F35" i="14"/>
  <c r="F33" i="14"/>
  <c r="D33" i="14"/>
  <c r="B33" i="14"/>
  <c r="E33" i="14"/>
  <c r="G33" i="14"/>
  <c r="B45" i="14" a="1"/>
  <c r="B51" i="14" a="1"/>
  <c r="B47" i="14" a="1"/>
  <c r="B53" i="14" a="1"/>
  <c r="C37" i="14"/>
  <c r="B37"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3" i="14"/>
  <c r="F26" i="14"/>
  <c r="E26" i="14"/>
  <c r="D26" i="14"/>
  <c r="B67" i="14" a="1"/>
  <c r="C67" i="14" s="1"/>
  <c r="H26" i="14"/>
  <c r="G26" i="14"/>
  <c r="B26" i="14"/>
  <c r="G42" i="14"/>
  <c r="E43" i="14"/>
  <c r="B43" i="14"/>
  <c r="D43" i="14"/>
  <c r="C43" i="14"/>
  <c r="F43" i="14"/>
  <c r="F49" i="14"/>
  <c r="B72" i="14"/>
  <c r="C49" i="14"/>
  <c r="B49" i="14"/>
  <c r="H49" i="14"/>
  <c r="E49" i="14"/>
  <c r="D49" i="14"/>
  <c r="B65" i="14" a="1"/>
  <c r="D65" i="14" s="1"/>
  <c r="B63" i="14" a="1"/>
  <c r="D63" i="14" s="1"/>
  <c r="B59" i="14" a="1"/>
  <c r="G59" i="14" s="1"/>
  <c r="C72" i="14"/>
  <c r="C47" i="14"/>
  <c r="D47" i="14"/>
  <c r="B47" i="14"/>
  <c r="F47" i="14"/>
  <c r="E47" i="14"/>
  <c r="G47" i="14"/>
  <c r="H47" i="14"/>
  <c r="B61" i="14" a="1"/>
  <c r="B69" i="14" a="1"/>
  <c r="F45" i="14"/>
  <c r="B45" i="14"/>
  <c r="D45" i="14"/>
  <c r="H45" i="14"/>
  <c r="G45" i="14"/>
  <c r="C45" i="14"/>
  <c r="E45" i="14"/>
  <c r="C51" i="14"/>
  <c r="E51" i="14"/>
  <c r="G51" i="14"/>
  <c r="F51" i="14"/>
  <c r="B51" i="14"/>
  <c r="D51" i="14"/>
  <c r="H51" i="14"/>
  <c r="B53" i="14"/>
  <c r="C53"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2" i="14"/>
  <c r="F67" i="14"/>
  <c r="E67" i="14"/>
  <c r="B67" i="14"/>
  <c r="G67" i="14"/>
  <c r="D67" i="14"/>
  <c r="H67" i="14"/>
  <c r="B77" i="14" a="1"/>
  <c r="H77" i="14" s="1"/>
  <c r="C42" i="14"/>
  <c r="D42" i="14"/>
  <c r="E42" i="14"/>
  <c r="G58" i="14"/>
  <c r="F42" i="14"/>
  <c r="B79" i="14" a="1"/>
  <c r="D79" i="14" s="1"/>
  <c r="B42" i="14"/>
  <c r="C88" i="14"/>
  <c r="H63" i="14"/>
  <c r="C63" i="14"/>
  <c r="E63" i="14"/>
  <c r="F63" i="14"/>
  <c r="G63" i="14"/>
  <c r="B65" i="14"/>
  <c r="H65" i="14"/>
  <c r="G65" i="14"/>
  <c r="F65" i="14"/>
  <c r="C65" i="14"/>
  <c r="E65" i="14"/>
  <c r="B59" i="14"/>
  <c r="B63" i="14"/>
  <c r="C59" i="14"/>
  <c r="F59" i="14"/>
  <c r="H59" i="14"/>
  <c r="B85" i="14" a="1"/>
  <c r="C85" i="14" s="1"/>
  <c r="B83" i="14" a="1"/>
  <c r="E83" i="14" s="1"/>
  <c r="E59" i="14"/>
  <c r="B88" i="14"/>
  <c r="B81" i="14" a="1"/>
  <c r="D81" i="14" s="1"/>
  <c r="D59" i="14"/>
  <c r="B75" i="14" a="1"/>
  <c r="B75" i="14" s="1"/>
  <c r="C61" i="14"/>
  <c r="H61" i="14"/>
  <c r="B61" i="14"/>
  <c r="G61" i="14"/>
  <c r="F61" i="14"/>
  <c r="D61" i="14"/>
  <c r="E61" i="14"/>
  <c r="B69" i="14"/>
  <c r="C69"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7" i="14"/>
  <c r="F77" i="14"/>
  <c r="C77" i="14"/>
  <c r="G77" i="14"/>
  <c r="B77" i="14"/>
  <c r="D77" i="14"/>
  <c r="F79" i="14"/>
  <c r="E79" i="14"/>
  <c r="C79" i="14"/>
  <c r="H79" i="14"/>
  <c r="G79" i="14"/>
  <c r="B79" i="14"/>
  <c r="C104" i="14"/>
  <c r="E58" i="14"/>
  <c r="C58" i="14"/>
  <c r="D58" i="14"/>
  <c r="H58" i="14"/>
  <c r="F58" i="14"/>
  <c r="B58" i="14"/>
  <c r="B74" i="14"/>
  <c r="G83" i="14"/>
  <c r="B101" i="14" a="1"/>
  <c r="C101" i="14" s="1"/>
  <c r="B104" i="14"/>
  <c r="B93" i="14" a="1"/>
  <c r="C93" i="14" s="1"/>
  <c r="B97" i="14" a="1"/>
  <c r="C97" i="14" s="1"/>
  <c r="B95" i="14" a="1"/>
  <c r="D95" i="14" s="1"/>
  <c r="B99" i="14" a="1"/>
  <c r="D99" i="14" s="1"/>
  <c r="B91" i="14" a="1"/>
  <c r="F91" i="14" s="1"/>
  <c r="C81" i="14"/>
  <c r="H83" i="14"/>
  <c r="B85" i="14"/>
  <c r="F81" i="14"/>
  <c r="F75" i="14"/>
  <c r="H75" i="14"/>
  <c r="G75" i="14"/>
  <c r="H81" i="14"/>
  <c r="E81" i="14"/>
  <c r="F83" i="14"/>
  <c r="C75" i="14"/>
  <c r="E75" i="14"/>
  <c r="D83" i="14"/>
  <c r="B83" i="14"/>
  <c r="B81" i="14"/>
  <c r="G81" i="14"/>
  <c r="C83" i="14"/>
  <c r="D75"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6" i="14"/>
  <c r="B117" i="14" a="1"/>
  <c r="C117" i="14" s="1"/>
  <c r="F90" i="14"/>
  <c r="C120" i="14"/>
  <c r="G74" i="14"/>
  <c r="H74" i="14"/>
  <c r="F74" i="14"/>
  <c r="E74" i="14"/>
  <c r="C74" i="14"/>
  <c r="D74" i="14"/>
  <c r="B109" i="14" a="1"/>
  <c r="C109" i="14" s="1"/>
  <c r="B111" i="14" a="1"/>
  <c r="C111" i="14" s="1"/>
  <c r="B107" i="14" a="1"/>
  <c r="E107" i="14" s="1"/>
  <c r="B101" i="14"/>
  <c r="E93" i="14"/>
  <c r="B113" i="14" a="1"/>
  <c r="B113" i="14" s="1"/>
  <c r="G95" i="14"/>
  <c r="C95" i="14"/>
  <c r="B115" i="14" a="1"/>
  <c r="H115" i="14" s="1"/>
  <c r="E95" i="14"/>
  <c r="H99" i="14"/>
  <c r="C99" i="14"/>
  <c r="B120" i="14"/>
  <c r="F95" i="14"/>
  <c r="B95" i="14"/>
  <c r="C91" i="14"/>
  <c r="G93" i="14"/>
  <c r="H95" i="14"/>
  <c r="H97" i="14"/>
  <c r="D97" i="14"/>
  <c r="E97" i="14"/>
  <c r="B97" i="14"/>
  <c r="G97" i="14"/>
  <c r="F97" i="14"/>
  <c r="B99" i="14"/>
  <c r="G99" i="14"/>
  <c r="D93" i="14"/>
  <c r="F99" i="14"/>
  <c r="E99" i="14"/>
  <c r="H93" i="14"/>
  <c r="B93" i="14"/>
  <c r="B91" i="14"/>
  <c r="E91" i="14"/>
  <c r="G91" i="14"/>
  <c r="H91" i="14"/>
  <c r="D91" i="14"/>
  <c r="F93"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7" i="14"/>
  <c r="C107" i="14"/>
  <c r="C106" i="14" s="1"/>
  <c r="F111" i="14"/>
  <c r="F109" i="14"/>
  <c r="H107" i="14"/>
  <c r="D107" i="14"/>
  <c r="D106" i="14" s="1"/>
  <c r="B111" i="14"/>
  <c r="B131" i="14" a="1"/>
  <c r="E131" i="14" s="1"/>
  <c r="H90" i="14"/>
  <c r="B107" i="14"/>
  <c r="G109" i="14"/>
  <c r="D111" i="14"/>
  <c r="C90" i="14"/>
  <c r="D90" i="14"/>
  <c r="E106" i="14"/>
  <c r="F107" i="14"/>
  <c r="H111" i="14"/>
  <c r="G90" i="14"/>
  <c r="G107" i="14"/>
  <c r="G111" i="14"/>
  <c r="E90" i="14"/>
  <c r="B109" i="14"/>
  <c r="E111" i="14"/>
  <c r="D109" i="14"/>
  <c r="B123" i="14" a="1"/>
  <c r="F123" i="14" s="1"/>
  <c r="B125" i="14" a="1"/>
  <c r="E125" i="14" s="1"/>
  <c r="E109" i="14"/>
  <c r="H109" i="14"/>
  <c r="B90" i="14"/>
  <c r="G113" i="14"/>
  <c r="F113" i="14"/>
  <c r="E113" i="14"/>
  <c r="C113" i="14"/>
  <c r="D113" i="14"/>
  <c r="H113" i="14"/>
  <c r="C115" i="14"/>
  <c r="D115" i="14"/>
  <c r="B115" i="14"/>
  <c r="G115" i="14"/>
  <c r="F115" i="14"/>
  <c r="E115" i="14"/>
  <c r="B133" i="14" a="1"/>
  <c r="C133" i="14" s="1"/>
  <c r="B129" i="14" a="1"/>
  <c r="F129" i="14" s="1"/>
  <c r="C136" i="14"/>
  <c r="B127" i="14" a="1"/>
  <c r="E127"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6" i="14"/>
  <c r="H131" i="14"/>
  <c r="F131" i="14"/>
  <c r="B131" i="14"/>
  <c r="G131" i="14"/>
  <c r="C131" i="14"/>
  <c r="D131" i="14"/>
  <c r="E123" i="14"/>
  <c r="H123" i="14"/>
  <c r="F122" i="14"/>
  <c r="C123" i="14"/>
  <c r="F106" i="14"/>
  <c r="G123" i="14"/>
  <c r="B123" i="14"/>
  <c r="D123" i="14"/>
  <c r="B149" i="14" a="1"/>
  <c r="B149" i="14" s="1"/>
  <c r="B106" i="14"/>
  <c r="G106" i="14"/>
  <c r="H125" i="14"/>
  <c r="B125" i="14"/>
  <c r="G125" i="14"/>
  <c r="D125" i="14"/>
  <c r="C125" i="14"/>
  <c r="F125" i="14"/>
  <c r="B143" i="14" a="1"/>
  <c r="D143" i="14" s="1"/>
  <c r="B145" i="14" a="1"/>
  <c r="E145" i="14" s="1"/>
  <c r="B133" i="14"/>
  <c r="E129" i="14"/>
  <c r="G129" i="14"/>
  <c r="H129" i="14"/>
  <c r="G127" i="14"/>
  <c r="D129" i="14"/>
  <c r="H127" i="14"/>
  <c r="B141" i="14" a="1"/>
  <c r="D141" i="14" s="1"/>
  <c r="F127" i="14"/>
  <c r="B147" i="14" a="1"/>
  <c r="E147" i="14" s="1"/>
  <c r="C127" i="14"/>
  <c r="D127" i="14"/>
  <c r="B129" i="14"/>
  <c r="B127" i="14"/>
  <c r="B152" i="14"/>
  <c r="C129" i="14"/>
  <c r="C152" i="14"/>
  <c r="B139" i="14" a="1"/>
  <c r="B139"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2" i="14"/>
  <c r="C149" i="14"/>
  <c r="B122" i="14"/>
  <c r="H122" i="14"/>
  <c r="D122" i="14"/>
  <c r="C122" i="14"/>
  <c r="B163" i="14" a="1"/>
  <c r="D163" i="14" s="1"/>
  <c r="G122" i="14"/>
  <c r="H143" i="14"/>
  <c r="G143" i="14"/>
  <c r="C143" i="14"/>
  <c r="B138" i="14"/>
  <c r="F143" i="14"/>
  <c r="E143" i="14"/>
  <c r="D145" i="14"/>
  <c r="B143" i="14"/>
  <c r="G145" i="14"/>
  <c r="F145" i="14"/>
  <c r="H145" i="14"/>
  <c r="C145" i="14"/>
  <c r="B145" i="14"/>
  <c r="B161" i="14" a="1"/>
  <c r="H161" i="14" s="1"/>
  <c r="B168" i="14"/>
  <c r="B159" i="14" a="1"/>
  <c r="B159" i="14" s="1"/>
  <c r="C168" i="14"/>
  <c r="D147" i="14"/>
  <c r="H141" i="14"/>
  <c r="B155" i="14" a="1"/>
  <c r="B155" i="14" s="1"/>
  <c r="D139" i="14"/>
  <c r="H147" i="14"/>
  <c r="F139" i="14"/>
  <c r="C141" i="14"/>
  <c r="C147" i="14"/>
  <c r="B165" i="14" a="1"/>
  <c r="B165" i="14" s="1"/>
  <c r="G147" i="14"/>
  <c r="F141" i="14"/>
  <c r="B147" i="14"/>
  <c r="E141" i="14"/>
  <c r="B157" i="14" a="1"/>
  <c r="H157" i="14" s="1"/>
  <c r="F147" i="14"/>
  <c r="G141" i="14"/>
  <c r="C139" i="14"/>
  <c r="B141" i="14"/>
  <c r="H139" i="14"/>
  <c r="G139" i="14"/>
  <c r="E139"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3" i="14"/>
  <c r="B163" i="14"/>
  <c r="G163" i="14"/>
  <c r="C163" i="14"/>
  <c r="E163" i="14"/>
  <c r="H163" i="14"/>
  <c r="B154" i="14"/>
  <c r="E138" i="14"/>
  <c r="H138" i="14"/>
  <c r="F138" i="14"/>
  <c r="D138" i="14"/>
  <c r="C138" i="14"/>
  <c r="G138" i="14"/>
  <c r="B161" i="14"/>
  <c r="B179" i="14" a="1"/>
  <c r="B179" i="14" s="1"/>
  <c r="F161" i="14"/>
  <c r="C161" i="14"/>
  <c r="E161" i="14"/>
  <c r="D161" i="14"/>
  <c r="D159" i="14"/>
  <c r="G159" i="14"/>
  <c r="E159" i="14"/>
  <c r="G161" i="14"/>
  <c r="F159" i="14"/>
  <c r="H159" i="14"/>
  <c r="C159" i="14"/>
  <c r="G155" i="14"/>
  <c r="D155" i="14"/>
  <c r="E155" i="14"/>
  <c r="C155" i="14"/>
  <c r="H155" i="14"/>
  <c r="F155" i="14"/>
  <c r="B171" i="14" a="1"/>
  <c r="E171" i="14" s="1"/>
  <c r="B177" i="14" a="1"/>
  <c r="B177" i="14" s="1"/>
  <c r="C165" i="14"/>
  <c r="B184" i="14"/>
  <c r="D157" i="14"/>
  <c r="F157" i="14"/>
  <c r="B173" i="14" a="1"/>
  <c r="D173" i="14" s="1"/>
  <c r="B157" i="14"/>
  <c r="B181" i="14" a="1"/>
  <c r="C181" i="14" s="1"/>
  <c r="B175" i="14" a="1"/>
  <c r="H175" i="14" s="1"/>
  <c r="C157" i="14"/>
  <c r="E157" i="14"/>
  <c r="C184" i="14"/>
  <c r="G157"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4" i="14"/>
  <c r="H154" i="14"/>
  <c r="E154" i="14"/>
  <c r="D154" i="14"/>
  <c r="G154" i="14"/>
  <c r="C154" i="14"/>
  <c r="E170" i="14"/>
  <c r="G179" i="14"/>
  <c r="B187" i="14" a="1"/>
  <c r="B187" i="14" s="1"/>
  <c r="C179" i="14"/>
  <c r="B171" i="14"/>
  <c r="H179" i="14"/>
  <c r="E179" i="14"/>
  <c r="D179" i="14"/>
  <c r="F179" i="14"/>
  <c r="B193" i="14" a="1"/>
  <c r="F193" i="14" s="1"/>
  <c r="B197" i="14" a="1"/>
  <c r="B197" i="14" s="1"/>
  <c r="F171" i="14"/>
  <c r="D171" i="14"/>
  <c r="H171" i="14"/>
  <c r="B173" i="14"/>
  <c r="G171" i="14"/>
  <c r="F177" i="14"/>
  <c r="C177" i="14"/>
  <c r="G175" i="14"/>
  <c r="D177" i="14"/>
  <c r="B195" i="14" a="1"/>
  <c r="E195" i="14" s="1"/>
  <c r="E173" i="14"/>
  <c r="E177" i="14"/>
  <c r="G173" i="14"/>
  <c r="B175" i="14"/>
  <c r="H177" i="14"/>
  <c r="B189" i="14" a="1"/>
  <c r="C189" i="14" s="1"/>
  <c r="F173" i="14"/>
  <c r="D175" i="14"/>
  <c r="C171" i="14"/>
  <c r="B191" i="14" a="1"/>
  <c r="C191" i="14" s="1"/>
  <c r="E175" i="14"/>
  <c r="G177" i="14"/>
  <c r="H173" i="14"/>
  <c r="C175" i="14"/>
  <c r="F175" i="14"/>
  <c r="B181" i="14"/>
  <c r="C173"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7" i="14"/>
  <c r="C186" i="14" s="1"/>
  <c r="F187" i="14"/>
  <c r="F186" i="14" s="1"/>
  <c r="D187" i="14"/>
  <c r="D186" i="14" s="1"/>
  <c r="C170" i="14"/>
  <c r="H170" i="14"/>
  <c r="B170" i="14"/>
  <c r="F170" i="14"/>
  <c r="G187" i="14"/>
  <c r="E187" i="14"/>
  <c r="H187" i="14"/>
  <c r="D170" i="14"/>
  <c r="G170" i="14"/>
  <c r="G193" i="14"/>
  <c r="E193" i="14"/>
  <c r="B186" i="14"/>
  <c r="C193" i="14"/>
  <c r="D193" i="14"/>
  <c r="E191" i="14"/>
  <c r="B195" i="14"/>
  <c r="B191" i="14"/>
  <c r="H193" i="14"/>
  <c r="C197" i="14"/>
  <c r="B193" i="14"/>
  <c r="E189" i="14"/>
  <c r="H191" i="14"/>
  <c r="D195" i="14"/>
  <c r="F189" i="14"/>
  <c r="H189" i="14"/>
  <c r="B189" i="14"/>
  <c r="H195" i="14"/>
  <c r="D191" i="14"/>
  <c r="D189" i="14"/>
  <c r="C195" i="14"/>
  <c r="G191" i="14"/>
  <c r="F195" i="14"/>
  <c r="F191" i="14"/>
  <c r="G189" i="14"/>
  <c r="G195"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6" i="14"/>
  <c r="G186" i="14"/>
  <c r="E186"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O22" i="24" s="1"/>
  <c r="O23" i="24" s="1"/>
  <c r="O24" i="24" s="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5" i="24" l="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Q22" i="24"/>
  <c r="Q23" i="24"/>
  <c r="Y5" i="24"/>
  <c r="C29" i="18" s="1"/>
  <c r="Y4" i="24"/>
  <c r="C28" i="18" s="1"/>
  <c r="T21" i="24" l="1" a="1"/>
  <c r="T21" i="24" s="1"/>
  <c r="Q223" i="24"/>
  <c r="O224" i="24"/>
  <c r="Q24" i="24"/>
  <c r="T23" i="24" a="1"/>
  <c r="T23" i="24" s="1"/>
  <c r="S23" i="24" a="1"/>
  <c r="S23" i="24" s="1"/>
  <c r="T22" i="24" a="1"/>
  <c r="T22" i="24" s="1"/>
  <c r="S22" i="24" a="1"/>
  <c r="S22" i="24" s="1"/>
  <c r="AD107" i="24" l="1"/>
  <c r="AE107" i="24"/>
  <c r="Q224" i="24"/>
  <c r="O225" i="24"/>
  <c r="Q25" i="24"/>
  <c r="Q26" i="24"/>
  <c r="S24" i="24" a="1"/>
  <c r="S24" i="24" s="1"/>
  <c r="T24" i="24" a="1"/>
  <c r="T24"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AE108" i="24" s="1"/>
  <c r="D13" i="18" s="1"/>
  <c r="H13" i="18" s="1"/>
  <c r="J13" i="18" s="1"/>
  <c r="S226" i="24" a="1"/>
  <c r="S226" i="24" s="1"/>
  <c r="AD108" i="24" s="1"/>
  <c r="C13" i="18" s="1"/>
  <c r="G13" i="18" s="1"/>
  <c r="I13" i="18" s="1"/>
  <c r="T225" i="24" a="1"/>
  <c r="T225" i="24" s="1"/>
  <c r="AE118" i="24" s="1"/>
  <c r="D23" i="18" s="1"/>
  <c r="S225" i="24" a="1"/>
  <c r="S225" i="24" s="1"/>
  <c r="AD118" i="24" s="1"/>
  <c r="C23" i="18" s="1"/>
  <c r="AD109" i="24" l="1"/>
  <c r="C14" i="18" s="1"/>
  <c r="G14" i="18" s="1"/>
  <c r="AD110" i="24"/>
  <c r="C15" i="18" s="1"/>
  <c r="AD111" i="24"/>
  <c r="C16" i="18" s="1"/>
  <c r="AD112" i="24"/>
  <c r="C17" i="18" s="1"/>
  <c r="AD113" i="24"/>
  <c r="C18" i="18" s="1"/>
  <c r="AD114" i="24"/>
  <c r="C19" i="18" s="1"/>
  <c r="AD115" i="24"/>
  <c r="C20" i="18" s="1"/>
  <c r="AD116" i="24"/>
  <c r="C21" i="18" s="1"/>
  <c r="AD117" i="24"/>
  <c r="C22" i="18" s="1"/>
  <c r="AE109" i="24"/>
  <c r="D14" i="18" s="1"/>
  <c r="AE110" i="24"/>
  <c r="D15" i="18" s="1"/>
  <c r="AE111" i="24"/>
  <c r="D16" i="18" s="1"/>
  <c r="AE112" i="24"/>
  <c r="D17" i="18" s="1"/>
  <c r="AE113" i="24"/>
  <c r="D18" i="18" s="1"/>
  <c r="AE114" i="24"/>
  <c r="D19" i="18" s="1"/>
  <c r="AE115" i="24"/>
  <c r="D20" i="18" s="1"/>
  <c r="AE116" i="24"/>
  <c r="D21" i="18" s="1"/>
  <c r="AE117" i="24"/>
  <c r="D22" i="18" s="1"/>
  <c r="C24" i="18" l="1"/>
  <c r="G119" i="18" s="1"/>
  <c r="H14" i="18"/>
  <c r="J14" i="18" s="1"/>
  <c r="D24" i="18"/>
  <c r="G28" i="18" s="1"/>
  <c r="I14" i="18"/>
  <c r="G15" i="18"/>
  <c r="G27" i="18" l="1"/>
  <c r="G29" i="18" s="1"/>
  <c r="I119" i="18" s="1"/>
  <c r="H15" i="18"/>
  <c r="J15" i="18" s="1"/>
  <c r="I15" i="18"/>
  <c r="G16" i="18"/>
  <c r="H119" i="18"/>
  <c r="H16" i="18" l="1"/>
  <c r="J16" i="18" s="1"/>
  <c r="I16" i="18"/>
  <c r="G17" i="18"/>
  <c r="H17" i="18" l="1"/>
  <c r="J17" i="18" s="1"/>
  <c r="I17" i="18"/>
  <c r="G18" i="18"/>
  <c r="H18" i="18" l="1"/>
  <c r="J18" i="18" s="1"/>
  <c r="I18" i="18"/>
  <c r="G19" i="18"/>
  <c r="H19" i="18" l="1"/>
  <c r="J19" i="18" s="1"/>
  <c r="I19" i="18"/>
  <c r="G20" i="18"/>
  <c r="H20" i="18" l="1"/>
  <c r="J20" i="18" s="1"/>
  <c r="I20" i="18"/>
  <c r="G21" i="18"/>
  <c r="H21" i="18" l="1"/>
  <c r="J21" i="18" s="1"/>
  <c r="I21" i="18"/>
  <c r="G22" i="18"/>
  <c r="H22" i="18" l="1"/>
  <c r="J22" i="18" s="1"/>
  <c r="H23" i="18"/>
  <c r="J23" i="18" s="1"/>
  <c r="I22" i="18"/>
  <c r="G23" i="18"/>
  <c r="I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<sst xmlns="http://schemas.openxmlformats.org/spreadsheetml/2006/main" count="8792" uniqueCount="4248">
  <si>
    <t>Teacher Name</t>
  </si>
  <si>
    <t>School</t>
  </si>
  <si>
    <t>FTE</t>
  </si>
  <si>
    <t>Typical Full-Time Hours</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</si>
  <si>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</si>
  <si>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</si>
  <si>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</si>
  <si>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</si>
  <si>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</si>
  <si>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</si>
  <si>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</si>
  <si>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</si>
  <si>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</si>
  <si>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</si>
  <si>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</si>
  <si>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</si>
  <si>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</si>
  <si>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</si>
  <si>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</si>
  <si>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</si>
  <si>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</si>
  <si>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</si>
  <si>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</si>
  <si>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</si>
  <si>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</si>
  <si>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</si>
  <si>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</si>
  <si>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</si>
  <si>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</si>
  <si>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</si>
  <si>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</si>
  <si>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</si>
  <si>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</si>
  <si>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</si>
  <si>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</si>
  <si>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</si>
  <si>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</si>
  <si>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</si>
  <si>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</si>
  <si>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</si>
  <si>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</si>
  <si>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</si>
  <si>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</si>
  <si>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</si>
  <si>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</si>
  <si>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</si>
  <si>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</si>
  <si>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</si>
  <si>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</si>
  <si>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</si>
  <si>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</si>
  <si>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</si>
  <si>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</si>
  <si>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</si>
  <si>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</si>
  <si>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</si>
  <si>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</si>
  <si>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</si>
  <si>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</si>
  <si>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</si>
  <si>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</si>
  <si>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</si>
  <si>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</si>
  <si>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</si>
  <si>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</si>
  <si>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</si>
  <si>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</si>
  <si>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</si>
  <si>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</si>
  <si>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</si>
  <si>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</si>
  <si>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</si>
  <si>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</si>
  <si>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</si>
  <si>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</si>
  <si>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</si>
  <si>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</si>
  <si>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</si>
  <si>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</si>
  <si>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</si>
  <si>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</si>
  <si>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</si>
  <si>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</si>
  <si>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</si>
  <si>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</si>
  <si>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</si>
  <si>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</si>
  <si>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</si>
  <si>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</si>
  <si>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</si>
  <si>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</si>
  <si>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</si>
  <si>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</si>
  <si>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</si>
  <si>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</si>
  <si>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</si>
  <si>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</si>
  <si>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</si>
  <si>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</si>
  <si>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</si>
  <si>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</si>
  <si>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</si>
  <si>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</si>
  <si>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</si>
  <si>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</si>
  <si>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</si>
  <si>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</si>
  <si>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</si>
  <si>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</si>
  <si>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</si>
  <si>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</si>
  <si>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</si>
  <si>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</si>
  <si>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</si>
  <si>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</si>
  <si>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</si>
  <si>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</si>
  <si>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</si>
  <si>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</si>
  <si>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</si>
  <si>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</si>
  <si>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</si>
  <si>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</si>
  <si>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</si>
  <si>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</si>
  <si>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</si>
  <si>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</si>
  <si>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</si>
  <si>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</si>
  <si>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</si>
  <si>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</si>
  <si>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</si>
  <si>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</si>
  <si>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</si>
  <si>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</si>
  <si>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</si>
  <si>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</si>
  <si>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</si>
  <si>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</si>
  <si>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</si>
  <si>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</si>
  <si>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</si>
  <si>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</si>
  <si>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</si>
  <si>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</si>
  <si>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</si>
  <si>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</si>
  <si>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</si>
  <si>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</si>
  <si>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</si>
  <si>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</si>
  <si>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</si>
  <si>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</si>
  <si>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</si>
  <si>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</si>
  <si>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</si>
  <si>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</si>
  <si>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</si>
  <si>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</si>
  <si>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</si>
  <si>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</si>
  <si>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</si>
  <si>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</si>
  <si>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</si>
  <si>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</si>
  <si>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</si>
  <si>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</si>
  <si>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</si>
  <si>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</si>
  <si>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</si>
  <si>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</si>
  <si>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</si>
  <si>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</si>
  <si>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</si>
  <si>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</si>
  <si>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</si>
  <si>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</si>
  <si>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</si>
  <si>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</si>
  <si>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</si>
  <si>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</si>
  <si>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</si>
  <si>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</si>
  <si>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</si>
  <si>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</si>
  <si>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</si>
  <si>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</si>
  <si>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</si>
  <si>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</si>
  <si>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</si>
  <si>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</si>
  <si>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</si>
  <si>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</si>
  <si>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</si>
  <si>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</si>
  <si>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</si>
  <si>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</si>
  <si>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</si>
  <si>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</si>
  <si>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</si>
  <si>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</si>
  <si>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</si>
  <si>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</si>
  <si>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</si>
  <si>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</si>
  <si>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</si>
  <si>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</si>
  <si>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</si>
  <si>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</si>
  <si>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</si>
  <si>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</si>
  <si>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</si>
  <si>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</si>
  <si>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</si>
  <si>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</si>
  <si>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</si>
  <si>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</si>
  <si>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</si>
  <si>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</si>
  <si>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</si>
  <si>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</si>
  <si>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</si>
  <si>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</si>
  <si>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</si>
  <si>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</si>
  <si>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</si>
  <si>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</si>
  <si>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</si>
  <si>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</si>
  <si>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</si>
  <si>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</si>
  <si>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</si>
  <si>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</si>
  <si>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</si>
  <si>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</si>
  <si>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</si>
  <si>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</si>
  <si>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</si>
  <si>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</si>
  <si>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</si>
  <si>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</si>
  <si>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</si>
  <si>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</si>
  <si>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</si>
  <si>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</si>
  <si>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</si>
  <si>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</si>
  <si>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</si>
  <si>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</si>
  <si>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</si>
  <si>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</si>
  <si>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</si>
  <si>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</si>
  <si>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</si>
  <si>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</si>
  <si>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</si>
  <si>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</si>
  <si>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</si>
  <si>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</si>
  <si>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</si>
  <si>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</si>
  <si>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</si>
  <si>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</si>
  <si>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</si>
  <si>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</si>
  <si>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</si>
  <si>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</si>
  <si>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</si>
  <si>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</si>
  <si>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</si>
  <si>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</si>
  <si>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</si>
  <si>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</si>
  <si>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</si>
  <si>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</si>
  <si>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</si>
  <si>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</si>
  <si>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</si>
  <si>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</si>
  <si>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</si>
  <si>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</si>
  <si>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</si>
  <si>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</si>
  <si>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</si>
  <si>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</si>
  <si>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</si>
  <si>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</si>
  <si>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</si>
  <si>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</si>
  <si>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</si>
  <si>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</si>
  <si>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</si>
  <si>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</si>
  <si>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</si>
  <si>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</si>
  <si>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</si>
  <si>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</si>
  <si>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</si>
  <si>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</si>
  <si>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</si>
  <si>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</si>
  <si>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</si>
  <si>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</si>
  <si>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</si>
  <si>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</si>
  <si>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</si>
  <si>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</si>
  <si>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</si>
  <si>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</si>
  <si>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</si>
  <si>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</si>
  <si>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</si>
  <si>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</si>
  <si>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</si>
  <si>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</si>
  <si>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</si>
  <si>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</si>
  <si>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</si>
  <si>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</si>
  <si>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</si>
  <si>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</si>
  <si>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</si>
  <si>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</si>
  <si>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</si>
  <si>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</si>
  <si>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</si>
  <si>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</si>
  <si>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</si>
  <si>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</si>
  <si>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</si>
  <si>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</si>
  <si>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</si>
  <si>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</si>
  <si>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</si>
  <si>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</si>
  <si>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</si>
  <si>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</si>
  <si>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</si>
  <si>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</si>
  <si>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</si>
  <si>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</si>
  <si>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</si>
  <si>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</si>
  <si>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</si>
  <si>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</si>
  <si>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</si>
  <si>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</si>
  <si>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</si>
  <si>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</si>
  <si>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</si>
  <si>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</si>
  <si>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</si>
  <si>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</si>
  <si>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</si>
  <si>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</si>
  <si>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</si>
  <si>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</si>
  <si>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</si>
  <si>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</si>
  <si>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</si>
  <si>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</si>
  <si>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</si>
  <si>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</si>
  <si>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</si>
  <si>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</si>
  <si>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</si>
  <si>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</si>
  <si>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</si>
  <si>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</si>
  <si>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</si>
  <si>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</si>
  <si>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</si>
  <si>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</si>
  <si>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</si>
  <si>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</si>
  <si>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</si>
  <si>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</si>
  <si>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</si>
  <si>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</si>
  <si>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</si>
  <si>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</si>
  <si>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</si>
  <si>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</si>
  <si>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</si>
  <si>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</si>
  <si>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</si>
  <si>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</si>
  <si>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</si>
  <si>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</si>
  <si>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</si>
  <si>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</si>
  <si>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</si>
  <si>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</si>
  <si>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</si>
  <si>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</si>
  <si>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</si>
  <si>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</si>
  <si>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</si>
  <si>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</si>
  <si>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</si>
  <si>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</si>
  <si>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</si>
  <si>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</si>
  <si>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</si>
  <si>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</si>
  <si>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</si>
  <si>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</si>
  <si>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</si>
  <si>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</si>
  <si>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</si>
  <si>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</si>
  <si>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</si>
  <si>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</si>
  <si>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</si>
  <si>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</si>
  <si>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</si>
  <si>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</si>
  <si>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</si>
  <si>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</si>
  <si>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</si>
  <si>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</si>
  <si>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</si>
  <si>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</si>
  <si>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</si>
  <si>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</si>
  <si>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</si>
  <si>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</si>
  <si>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</si>
  <si>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</si>
  <si>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</si>
  <si>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</si>
  <si>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</si>
  <si>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</si>
  <si>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</si>
  <si>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</si>
  <si>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</si>
  <si>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</si>
  <si>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</si>
  <si>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</si>
  <si>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</si>
  <si>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</si>
  <si>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</si>
  <si>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</si>
  <si>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</si>
  <si>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</si>
  <si>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</si>
  <si>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</si>
  <si>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</si>
  <si>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</si>
  <si>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</si>
  <si>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</si>
  <si>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</si>
  <si>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</si>
  <si>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</si>
  <si>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</si>
  <si>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</si>
  <si>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</si>
  <si>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</si>
  <si>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</si>
  <si>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</si>
  <si>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</si>
  <si>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</si>
  <si>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</si>
  <si>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</si>
  <si>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</si>
  <si>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</si>
  <si>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</si>
  <si>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</si>
  <si>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</si>
  <si>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</si>
  <si>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</si>
  <si>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</si>
  <si>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</si>
  <si>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</si>
  <si>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</si>
  <si>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</si>
  <si>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</si>
  <si>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</si>
  <si>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</si>
  <si>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</si>
  <si>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</si>
  <si>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</si>
  <si>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</si>
  <si>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</si>
  <si>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</si>
  <si>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</si>
  <si>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</si>
  <si>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</si>
  <si>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</si>
  <si>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</si>
  <si>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</si>
  <si>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</si>
  <si>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</si>
  <si>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</si>
  <si>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</si>
  <si>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</si>
  <si>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</si>
  <si>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</si>
  <si>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</si>
  <si>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</si>
  <si>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</si>
  <si>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</si>
  <si>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</si>
  <si>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</si>
  <si>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</si>
  <si>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</si>
  <si>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</si>
  <si>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</si>
  <si>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</si>
  <si>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</si>
  <si>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</si>
  <si>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</si>
  <si>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</si>
  <si>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</si>
  <si>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</si>
  <si>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</si>
  <si>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</si>
  <si>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</si>
  <si>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</si>
  <si>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</si>
  <si>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</si>
  <si>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</si>
  <si>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</si>
  <si>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</si>
  <si>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</si>
  <si>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</si>
  <si>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</si>
  <si>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</si>
  <si>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</si>
  <si>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</si>
  <si>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</si>
  <si>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</si>
  <si>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</si>
  <si>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</si>
  <si>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</si>
  <si>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</si>
  <si>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</si>
  <si>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</si>
  <si>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</si>
  <si>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</si>
  <si>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</si>
  <si>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</si>
  <si>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</si>
  <si>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</si>
  <si>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</si>
  <si>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</si>
  <si>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</si>
  <si>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</si>
  <si>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</si>
  <si>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</si>
  <si>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</si>
  <si>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</si>
  <si>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</si>
  <si>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</si>
  <si>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</si>
  <si>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</si>
  <si>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</si>
  <si>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</si>
  <si>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</si>
  <si>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</si>
  <si>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</si>
  <si>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</si>
  <si>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</si>
  <si>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</si>
  <si>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</si>
  <si>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</si>
  <si>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</si>
  <si>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</si>
  <si>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</si>
  <si>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</si>
  <si>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</si>
  <si>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</si>
  <si>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</si>
  <si>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</si>
  <si>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</si>
  <si>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</si>
  <si>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</si>
  <si>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</si>
  <si>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</si>
  <si>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</si>
  <si>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</si>
  <si>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</si>
  <si>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</si>
  <si>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</si>
  <si>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</si>
  <si>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</si>
  <si>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</si>
  <si>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</si>
  <si>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</si>
  <si>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</si>
  <si>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</si>
  <si>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</si>
  <si>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</si>
  <si>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</si>
  <si>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</si>
  <si>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</si>
  <si>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</si>
  <si>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</si>
  <si>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</si>
  <si>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</si>
  <si>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</si>
  <si>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</si>
  <si>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</si>
  <si>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</si>
  <si>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</si>
  <si>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</si>
  <si>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</si>
  <si>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</si>
  <si>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</si>
  <si>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</si>
  <si>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</si>
  <si>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</si>
  <si>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</si>
  <si>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</si>
  <si>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</si>
  <si>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</si>
  <si>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</si>
  <si>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</si>
  <si>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</si>
  <si>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</si>
  <si>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</si>
  <si>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</si>
  <si>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</si>
  <si>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</si>
  <si>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</si>
  <si>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</si>
  <si>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</si>
  <si>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</si>
  <si>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</si>
  <si>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</si>
  <si>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</si>
  <si>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</si>
  <si>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</si>
  <si>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</si>
  <si>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</si>
  <si>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</si>
  <si>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</si>
  <si>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</si>
  <si>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</si>
  <si>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</si>
  <si>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</si>
  <si>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</si>
  <si>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</si>
  <si>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</si>
  <si>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</si>
  <si>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</si>
  <si>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</si>
  <si>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</si>
  <si>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</si>
  <si>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</si>
  <si>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</si>
  <si>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</si>
  <si>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</si>
  <si>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</si>
  <si>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</si>
  <si>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</si>
  <si>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</si>
  <si>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</si>
  <si>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</si>
  <si>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</si>
  <si>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</si>
  <si>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</si>
  <si>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</si>
  <si>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</si>
  <si>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</si>
  <si>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</si>
  <si>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</si>
  <si>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</si>
  <si>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</si>
  <si>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</si>
  <si>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</si>
  <si>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</si>
  <si>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</si>
  <si>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</si>
  <si>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</si>
  <si>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</si>
  <si>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</si>
  <si>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</si>
  <si>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</si>
  <si>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</si>
  <si>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</si>
  <si>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</si>
  <si>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</si>
  <si>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</si>
  <si>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</si>
  <si>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</si>
  <si>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</si>
  <si>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</si>
  <si>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</si>
  <si>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</si>
  <si>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</si>
  <si>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</si>
  <si>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</si>
  <si>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</si>
  <si>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</si>
  <si>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</si>
  <si>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</si>
  <si>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</si>
  <si>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</si>
  <si>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</si>
  <si>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</si>
  <si>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</si>
  <si>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</si>
  <si>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</si>
  <si>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</si>
  <si>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</si>
  <si>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</si>
  <si>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</si>
  <si>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</si>
  <si>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</si>
  <si>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</si>
  <si>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</si>
  <si>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</si>
  <si>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</si>
  <si>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</si>
  <si>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</si>
  <si>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</si>
  <si>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</si>
  <si>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</si>
  <si>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</si>
  <si>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</si>
  <si>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</si>
  <si>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</si>
  <si>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</si>
  <si>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</si>
  <si>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</si>
  <si>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</si>
  <si>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</si>
  <si>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</si>
  <si>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</si>
  <si>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</si>
  <si>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</si>
  <si>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</si>
  <si>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</si>
  <si>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</si>
  <si>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</si>
  <si>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</si>
  <si>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</si>
  <si>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</si>
  <si>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</si>
  <si>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</si>
  <si>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</si>
  <si>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</si>
  <si>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</si>
  <si>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</si>
  <si>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</si>
  <si>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</si>
  <si>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</si>
  <si>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</si>
  <si>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</si>
  <si>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</si>
  <si>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</si>
  <si>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</si>
  <si>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</si>
  <si>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</si>
  <si>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</si>
  <si>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</si>
  <si>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</si>
  <si>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</si>
  <si>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</si>
  <si>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</si>
  <si>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</si>
  <si>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</si>
  <si>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</si>
  <si>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</si>
  <si>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</si>
  <si>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</si>
  <si>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</si>
  <si>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</si>
  <si>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</si>
  <si>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</si>
  <si>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</si>
  <si>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</si>
  <si>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</si>
  <si>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</si>
  <si>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</si>
  <si>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</si>
  <si>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</si>
  <si>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</si>
  <si>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</si>
  <si>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</si>
  <si>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</si>
  <si>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</si>
  <si>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</si>
  <si>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</si>
  <si>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</si>
  <si>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</si>
  <si>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</si>
  <si>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</si>
  <si>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</si>
  <si>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</si>
  <si>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</si>
  <si>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</si>
  <si>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</si>
  <si>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</si>
  <si>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</si>
  <si>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</si>
  <si>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</si>
  <si>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</si>
  <si>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</si>
  <si>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</si>
  <si>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</si>
  <si>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</si>
  <si>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</si>
  <si>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</si>
  <si>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</si>
  <si>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</si>
  <si>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</si>
  <si>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</si>
  <si>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</si>
  <si>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</si>
  <si>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</si>
  <si>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</si>
  <si>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</si>
  <si>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</si>
  <si>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</si>
  <si>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</si>
  <si>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</si>
  <si>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</si>
  <si>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</si>
  <si>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</si>
  <si>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</si>
  <si>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</si>
  <si>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</si>
  <si>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</si>
  <si>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</si>
  <si>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</si>
  <si>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</si>
  <si>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</si>
  <si>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</si>
  <si>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</si>
  <si>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</si>
  <si>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</si>
  <si>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</si>
  <si>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</si>
  <si>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</si>
  <si>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</si>
  <si>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</si>
  <si>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</si>
  <si>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</si>
  <si>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</si>
  <si>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</si>
  <si>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</si>
  <si>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</si>
  <si>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</si>
  <si>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</si>
  <si>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</si>
  <si>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</si>
  <si>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</si>
  <si>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</si>
  <si>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</si>
  <si>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</si>
  <si>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</si>
  <si>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</si>
  <si>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</si>
  <si>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</si>
  <si>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</si>
  <si>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</si>
  <si>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</si>
  <si>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</si>
  <si>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</si>
  <si>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</si>
  <si>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</si>
  <si>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</si>
  <si>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</si>
  <si>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</si>
  <si>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</si>
  <si>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</si>
  <si>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</si>
  <si>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</si>
  <si>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</si>
  <si>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</si>
  <si>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</si>
  <si>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</si>
  <si>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</si>
  <si>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</si>
  <si>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</si>
  <si>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</si>
  <si>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</si>
  <si>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</si>
  <si>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</si>
  <si>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</si>
  <si>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</si>
  <si>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</si>
  <si>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</si>
  <si>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</si>
  <si>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</si>
  <si>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</si>
  <si>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</si>
  <si>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</si>
  <si>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</si>
  <si>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</si>
  <si>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</si>
  <si>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</si>
  <si>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</si>
  <si>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</si>
  <si>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</si>
  <si>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</si>
  <si>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</si>
  <si>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</si>
  <si>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</si>
  <si>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</si>
  <si>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</si>
  <si>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</si>
  <si>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</si>
  <si>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</si>
  <si>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</si>
  <si>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</si>
  <si>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</si>
  <si>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</si>
  <si>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</si>
  <si>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</si>
  <si>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</si>
  <si>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</si>
  <si>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</si>
  <si>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</si>
  <si>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</si>
  <si>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</si>
  <si>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</si>
  <si>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</si>
  <si>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</si>
  <si>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</si>
  <si>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</si>
  <si>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</si>
  <si>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</si>
  <si>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</si>
  <si>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</si>
  <si>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</si>
  <si>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</si>
  <si>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</si>
  <si>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</si>
  <si>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</si>
  <si>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</si>
  <si>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</si>
  <si>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</si>
  <si>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</si>
  <si>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</si>
  <si>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</si>
  <si>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</si>
  <si>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</si>
  <si>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</si>
  <si>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</si>
  <si>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</si>
  <si>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</si>
  <si>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</si>
  <si>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</si>
  <si>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</si>
  <si>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</si>
  <si>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</si>
  <si>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</si>
  <si>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</si>
  <si>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</si>
  <si>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</si>
  <si>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</si>
  <si>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</si>
  <si>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</si>
  <si>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</si>
  <si>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</si>
  <si>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</si>
  <si>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</si>
  <si>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</si>
  <si>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</si>
  <si>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</si>
  <si>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</si>
  <si>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</si>
  <si>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</si>
  <si>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</si>
  <si>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</si>
  <si>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</si>
  <si>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</si>
  <si>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</si>
  <si>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</si>
  <si>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</si>
  <si>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</si>
  <si>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</si>
  <si>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</si>
  <si>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</si>
  <si>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</si>
  <si>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</si>
  <si>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</si>
  <si>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</si>
  <si>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</si>
  <si>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</si>
  <si>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</si>
  <si>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</si>
  <si>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</si>
  <si>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</si>
  <si>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</si>
  <si>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</si>
  <si>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</si>
  <si>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</si>
  <si>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</si>
  <si>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</si>
  <si>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</si>
  <si>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</si>
  <si>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</si>
  <si>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</si>
  <si>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</si>
  <si>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</si>
  <si>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</si>
  <si>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</si>
  <si>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</si>
  <si>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</si>
  <si>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</si>
  <si>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</si>
  <si>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</si>
  <si>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</si>
  <si>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</si>
  <si>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</si>
  <si>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</si>
  <si>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</si>
  <si>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</si>
  <si>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</si>
  <si>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</si>
  <si>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</si>
  <si>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</si>
  <si>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</si>
  <si>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</si>
  <si>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</si>
  <si>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</si>
  <si>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</si>
  <si>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</si>
  <si>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</si>
  <si>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</si>
  <si>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</si>
  <si>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</si>
  <si>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</si>
  <si>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</si>
  <si>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</si>
  <si>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</si>
  <si>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</si>
  <si>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</si>
  <si>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</si>
  <si>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</si>
  <si>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</si>
  <si>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</si>
  <si>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</si>
  <si>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</si>
  <si>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</si>
  <si>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</si>
  <si>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</si>
  <si>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</si>
  <si>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</si>
  <si>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</si>
  <si>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</si>
  <si>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</si>
  <si>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</si>
  <si>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</si>
  <si>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</si>
  <si>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</si>
  <si>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</si>
  <si>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</si>
  <si>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</si>
  <si>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</si>
  <si>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</si>
  <si>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</si>
  <si>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</si>
  <si>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</si>
  <si>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</si>
  <si>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</si>
  <si>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</si>
  <si>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</si>
  <si>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</si>
  <si>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</si>
  <si>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</si>
  <si>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</si>
  <si>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</si>
  <si>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</si>
  <si>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</si>
  <si>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</si>
  <si>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</si>
  <si>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</si>
  <si>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</si>
  <si>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</si>
  <si>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</si>
  <si>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</si>
  <si>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</si>
  <si>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</si>
  <si>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</si>
  <si>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</si>
  <si>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</si>
  <si>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</si>
  <si>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</si>
  <si>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</si>
  <si>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</si>
  <si>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</si>
  <si>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</si>
  <si>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</si>
  <si>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</si>
  <si>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</si>
  <si>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</si>
  <si>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</si>
  <si>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</si>
  <si>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</si>
  <si>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</si>
  <si>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</si>
  <si>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</si>
  <si>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</si>
  <si>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</si>
  <si>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</si>
  <si>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</si>
  <si>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</si>
  <si>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</si>
  <si>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</si>
  <si>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</si>
  <si>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</si>
  <si>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</si>
  <si>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</si>
  <si>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</si>
  <si>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</si>
  <si>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</si>
  <si>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</si>
  <si>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</si>
  <si>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</si>
  <si>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</si>
  <si>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</si>
  <si>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</si>
  <si>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</si>
  <si>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</si>
  <si>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</si>
  <si>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</si>
  <si>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</si>
  <si>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</si>
  <si>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</si>
  <si>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</si>
  <si>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</si>
  <si>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</si>
  <si>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</si>
  <si>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</si>
  <si>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</si>
  <si>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</si>
  <si>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</si>
  <si>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</si>
  <si>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</si>
  <si>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</si>
  <si>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</si>
  <si>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</si>
  <si>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</si>
  <si>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</si>
  <si>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</si>
  <si>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</si>
  <si>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</si>
  <si>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</si>
  <si>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</si>
  <si>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</si>
  <si>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</si>
  <si>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</si>
  <si>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</si>
  <si>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</si>
  <si>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</si>
  <si>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</si>
  <si>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</si>
  <si>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</si>
  <si>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</si>
  <si>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</si>
  <si>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</si>
  <si>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</si>
  <si>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</si>
  <si>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</si>
  <si>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</si>
  <si>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</si>
  <si>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</si>
  <si>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</si>
  <si>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</si>
  <si>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</si>
  <si>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</si>
  <si>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</si>
  <si>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</si>
  <si>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</si>
  <si>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</si>
  <si>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</si>
  <si>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</si>
  <si>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</si>
  <si>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</si>
  <si>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</si>
  <si>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</si>
  <si>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</si>
  <si>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</si>
  <si>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</si>
  <si>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</si>
  <si>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</si>
  <si>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</si>
  <si>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</si>
  <si>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</si>
  <si>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</si>
  <si>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</si>
  <si>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</si>
  <si>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</si>
  <si>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</si>
  <si>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</si>
  <si>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</si>
  <si>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</si>
  <si>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</si>
  <si>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</si>
  <si>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</si>
  <si>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</si>
  <si>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</si>
  <si>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</si>
  <si>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</si>
  <si>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</si>
  <si>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</si>
  <si>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</si>
  <si>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</si>
  <si>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</si>
  <si>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</si>
  <si>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</si>
  <si>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</si>
  <si>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</si>
  <si>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</si>
  <si>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</si>
  <si>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</si>
  <si>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</si>
  <si>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</si>
  <si>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</si>
  <si>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</si>
  <si>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</si>
  <si>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</si>
  <si>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</si>
  <si>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</si>
  <si>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</si>
  <si>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</si>
  <si>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</si>
  <si>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</si>
  <si>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</si>
  <si>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</si>
  <si>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</si>
  <si>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</si>
  <si>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</si>
  <si>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</si>
  <si>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</si>
  <si>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</si>
  <si>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</si>
  <si>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</si>
  <si>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</si>
  <si>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</si>
  <si>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</si>
  <si>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</si>
  <si>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</si>
  <si>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</si>
  <si>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</si>
  <si>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</si>
  <si>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</si>
  <si>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</si>
  <si>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</si>
  <si>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</si>
  <si>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</si>
  <si>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</si>
  <si>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</si>
  <si>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</si>
  <si>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</si>
  <si>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</si>
  <si>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</si>
  <si>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</si>
  <si>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</si>
  <si>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</si>
  <si>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</si>
  <si>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</si>
  <si>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</si>
  <si>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</si>
  <si>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</si>
  <si>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</si>
  <si>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</si>
  <si>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</si>
  <si>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</si>
  <si>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</si>
  <si>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</si>
  <si>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</si>
  <si>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</si>
  <si>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</si>
  <si>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</si>
  <si>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</si>
  <si>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</si>
  <si>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</si>
  <si>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</si>
  <si>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</si>
  <si>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</si>
  <si>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</si>
  <si>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</si>
  <si>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</si>
  <si>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</si>
  <si>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</si>
  <si>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</si>
  <si>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</si>
  <si>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</si>
  <si>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</si>
  <si>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</si>
  <si>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</si>
  <si>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</si>
  <si>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</si>
  <si>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</si>
  <si>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</si>
  <si>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</si>
  <si>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</si>
  <si>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</si>
  <si>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</si>
  <si>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</si>
  <si>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</si>
  <si>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</si>
  <si>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</si>
  <si>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</si>
  <si>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</si>
  <si>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</si>
  <si>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</si>
  <si>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</si>
  <si>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</si>
  <si>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</si>
  <si>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</si>
  <si>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</si>
  <si>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</si>
  <si>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</si>
  <si>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</si>
  <si>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</si>
  <si>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</si>
  <si>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</si>
  <si>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</si>
  <si>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</si>
  <si>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</si>
  <si>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</si>
  <si>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</si>
  <si>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</si>
  <si>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</si>
  <si>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</si>
  <si>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</si>
  <si>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</si>
  <si>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</si>
  <si>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</si>
  <si>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</si>
  <si>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</si>
  <si>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</si>
  <si>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</si>
  <si>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</si>
  <si>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</si>
  <si>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</si>
  <si>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</si>
  <si>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</si>
  <si>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</si>
  <si>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</si>
  <si>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</si>
  <si>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</si>
  <si>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</si>
  <si>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</si>
  <si>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</si>
  <si>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</si>
  <si>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</si>
  <si>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</si>
  <si>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</si>
  <si>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</si>
  <si>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</si>
  <si>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</si>
  <si>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</si>
  <si>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</si>
  <si>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</si>
  <si>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</si>
  <si>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</si>
  <si>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</si>
  <si>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</si>
  <si>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</si>
  <si>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</si>
  <si>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</si>
  <si>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</si>
  <si>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</si>
  <si>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</si>
  <si>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</si>
  <si>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</si>
  <si>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</si>
  <si>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</si>
  <si>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</si>
  <si>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</si>
  <si>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</si>
  <si>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</si>
  <si>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</si>
  <si>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</si>
  <si>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</si>
  <si>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</si>
  <si>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</si>
  <si>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</si>
  <si>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</si>
  <si>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</si>
  <si>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</si>
  <si>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</si>
  <si>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</si>
  <si>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</si>
  <si>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</si>
  <si>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</si>
  <si>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</si>
  <si>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</si>
  <si>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</si>
  <si>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</si>
  <si>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</si>
  <si>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</si>
  <si>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</si>
  <si>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</si>
  <si>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</si>
  <si>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</si>
  <si>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</si>
  <si>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</si>
  <si>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</si>
  <si>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</si>
  <si>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</si>
  <si>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</si>
  <si>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</si>
  <si>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</si>
  <si>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</si>
  <si>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</si>
  <si>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</si>
  <si>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</si>
  <si>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</si>
  <si>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</si>
  <si>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</si>
  <si>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</si>
  <si>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</si>
  <si>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</si>
  <si>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</si>
  <si>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</si>
  <si>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</si>
  <si>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</si>
  <si>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</si>
  <si>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</si>
  <si>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</si>
  <si>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</si>
  <si>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</si>
  <si>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</si>
  <si>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</si>
  <si>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</si>
  <si>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</si>
  <si>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</si>
  <si>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</si>
  <si>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</si>
  <si>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</si>
  <si>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</si>
  <si>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</si>
  <si>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</si>
  <si>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</si>
  <si>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</si>
  <si>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</si>
  <si>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</si>
  <si>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</si>
  <si>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</si>
  <si>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</si>
  <si>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</si>
  <si>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</si>
  <si>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</si>
  <si>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</si>
  <si>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</si>
  <si>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</si>
  <si>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</si>
  <si>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</si>
  <si>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</si>
  <si>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</si>
  <si>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</si>
  <si>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</si>
  <si>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</si>
  <si>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</si>
  <si>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</si>
  <si>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</si>
  <si>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</si>
  <si>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</si>
  <si>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</si>
  <si>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</si>
  <si>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</si>
  <si>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</si>
  <si>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</si>
  <si>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</si>
  <si>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</si>
  <si>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</si>
  <si>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</si>
  <si>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</si>
  <si>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</si>
  <si>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</si>
  <si>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</si>
  <si>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</si>
  <si>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</si>
  <si>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</si>
  <si>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</si>
  <si>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</si>
  <si>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</si>
  <si>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</si>
  <si>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</si>
  <si>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</si>
  <si>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</si>
  <si>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</si>
  <si>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</si>
  <si>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</si>
  <si>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</si>
  <si>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</si>
  <si>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</si>
  <si>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</si>
  <si>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</si>
  <si>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</si>
  <si>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</si>
  <si>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</si>
  <si>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</si>
  <si>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</si>
  <si>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</si>
  <si>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</si>
  <si>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</si>
  <si>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</si>
  <si>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</si>
  <si>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</si>
  <si>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</si>
  <si>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</si>
  <si>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</si>
  <si>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</si>
  <si>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</si>
  <si>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</si>
  <si>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</si>
  <si>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</si>
  <si>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</si>
  <si>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</si>
  <si>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</si>
  <si>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</si>
  <si>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</si>
  <si>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</si>
  <si>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</si>
  <si>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</si>
  <si>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</si>
  <si>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</si>
  <si>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</si>
  <si>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</si>
  <si>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</si>
  <si>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</si>
  <si>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</si>
  <si>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</si>
  <si>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</si>
  <si>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</si>
  <si>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</si>
  <si>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</si>
  <si>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</si>
  <si>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</si>
  <si>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</si>
  <si>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</si>
  <si>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</si>
  <si>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</si>
  <si>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</si>
  <si>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</si>
  <si>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</si>
  <si>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</si>
  <si>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</si>
  <si>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</si>
  <si>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</si>
  <si>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</si>
  <si>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</si>
  <si>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</si>
  <si>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</si>
  <si>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</si>
  <si>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</si>
  <si>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</si>
  <si>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</si>
  <si>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</si>
  <si>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</si>
  <si>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</si>
  <si>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</si>
  <si>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</si>
  <si>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</si>
  <si>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</si>
  <si>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</si>
  <si>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</si>
  <si>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</si>
  <si>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</si>
  <si>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</si>
  <si>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</si>
  <si>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</si>
  <si>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</si>
  <si>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</si>
  <si>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</si>
  <si>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</si>
  <si>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</si>
  <si>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</si>
  <si>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</si>
  <si>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</si>
  <si>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</si>
  <si>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</si>
  <si>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</si>
  <si>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</si>
  <si>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</si>
  <si>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</si>
  <si>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</si>
  <si>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</si>
  <si>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</si>
  <si>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</si>
  <si>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</si>
  <si>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</si>
  <si>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</si>
  <si>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</si>
  <si>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</si>
  <si>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</si>
  <si>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</si>
  <si>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</si>
  <si>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</si>
  <si>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</si>
  <si>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</si>
  <si>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</si>
  <si>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</si>
  <si>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</si>
  <si>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</si>
  <si>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</si>
  <si>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</si>
  <si>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</si>
  <si>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</si>
  <si>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</si>
  <si>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</si>
  <si>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</si>
  <si>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</si>
  <si>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</si>
  <si>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</si>
  <si>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</si>
  <si>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</si>
  <si>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</si>
  <si>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</si>
  <si>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</si>
  <si>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</si>
  <si>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</si>
  <si>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</si>
  <si>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</si>
  <si>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</si>
  <si>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</si>
  <si>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</si>
  <si>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</si>
  <si>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</si>
  <si>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</si>
  <si>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</si>
  <si>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</si>
  <si>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</si>
  <si>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</si>
  <si>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</si>
  <si>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</si>
  <si>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</si>
  <si>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</si>
  <si>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</si>
  <si>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</si>
  <si>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</si>
  <si>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</si>
  <si>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</si>
  <si>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</si>
  <si>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</si>
  <si>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</si>
  <si>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</si>
  <si>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</si>
  <si>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</si>
  <si>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</si>
  <si>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</si>
  <si>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</si>
  <si>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</si>
  <si>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</si>
  <si>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</si>
  <si>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</si>
  <si>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</si>
  <si>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</si>
  <si>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</si>
  <si>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</si>
  <si>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</si>
  <si>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</si>
  <si>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</si>
  <si>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</si>
  <si>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</si>
  <si>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</si>
  <si>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</si>
  <si>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</si>
  <si>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</si>
  <si>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</si>
  <si>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</si>
  <si>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</si>
  <si>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</si>
  <si>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</si>
  <si>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</si>
  <si>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</si>
  <si>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</si>
  <si>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</si>
  <si>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</si>
  <si>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</si>
  <si>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</si>
  <si>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</si>
  <si>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</si>
  <si>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</si>
  <si>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</si>
  <si>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</si>
  <si>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</si>
  <si>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</si>
  <si>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</si>
  <si>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</si>
  <si>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</si>
  <si>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</si>
  <si>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</si>
  <si>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</si>
  <si>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</si>
  <si>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</si>
  <si>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</si>
  <si>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</si>
  <si>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</si>
  <si>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</si>
  <si>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</si>
  <si>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</si>
  <si>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</si>
  <si>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</si>
  <si>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</si>
  <si>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</si>
  <si>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</si>
  <si>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</si>
  <si>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</si>
  <si>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</si>
  <si>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</si>
  <si>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</si>
  <si>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</si>
  <si>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</si>
  <si>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</si>
  <si>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</si>
  <si>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</si>
  <si>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</si>
  <si>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</si>
  <si>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</si>
  <si>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</si>
  <si>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</si>
  <si>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</si>
  <si>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</si>
  <si>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</si>
  <si>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</si>
  <si>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</si>
  <si>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</si>
  <si>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</si>
  <si>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</si>
  <si>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</si>
  <si>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</si>
  <si>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</si>
  <si>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</si>
  <si>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</si>
  <si>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</si>
  <si>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</si>
  <si>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</si>
  <si>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</si>
  <si>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</si>
  <si>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</si>
  <si>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</si>
  <si>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</si>
  <si>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</si>
  <si>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</si>
  <si>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</si>
  <si>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</si>
  <si>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</si>
  <si>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</si>
  <si>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</si>
  <si>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</si>
  <si>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</si>
  <si>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</si>
  <si>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</si>
  <si>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</si>
  <si>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</si>
  <si>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</si>
  <si>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</si>
  <si>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</si>
  <si>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</si>
  <si>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</si>
  <si>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</si>
  <si>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</si>
  <si>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</si>
  <si>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</si>
  <si>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</si>
  <si>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</si>
  <si>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</si>
  <si>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</si>
  <si>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</si>
  <si>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</si>
  <si>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</si>
  <si>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</si>
  <si>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</si>
  <si>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</si>
  <si>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</si>
  <si>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</si>
  <si>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</si>
  <si>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</si>
  <si>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</si>
  <si>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</si>
  <si>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</si>
  <si>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</si>
  <si>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</si>
  <si>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</si>
  <si>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</si>
  <si>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</si>
  <si>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</si>
  <si>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</si>
  <si>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</si>
  <si>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</si>
  <si>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</si>
  <si>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</si>
  <si>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</si>
  <si>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</si>
  <si>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</si>
  <si>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</si>
  <si>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</si>
  <si>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</si>
  <si>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</si>
  <si>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</si>
  <si>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</si>
  <si>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</si>
  <si>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</si>
  <si>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</si>
  <si>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</si>
  <si>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</si>
  <si>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</si>
  <si>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</si>
  <si>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</si>
  <si>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</si>
  <si>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</si>
  <si>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</si>
  <si>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</si>
  <si>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</si>
  <si>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</si>
  <si>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</si>
  <si>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</si>
  <si>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</si>
  <si>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</si>
  <si>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</si>
  <si>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</si>
  <si>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</si>
  <si>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</si>
  <si>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</si>
  <si>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</si>
  <si>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</si>
  <si>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</si>
  <si>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</si>
  <si>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</si>
  <si>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</si>
  <si>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</si>
  <si>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</si>
  <si>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</si>
  <si>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</si>
  <si>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</si>
  <si>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</si>
  <si>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</si>
  <si>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</si>
  <si>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</si>
  <si>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</si>
  <si>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</si>
  <si>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</si>
  <si>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</si>
  <si>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</si>
  <si>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</si>
  <si>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</si>
  <si>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</si>
  <si>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</si>
  <si>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</si>
  <si>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</si>
  <si>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</si>
  <si>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</si>
  <si>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</si>
  <si>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</si>
  <si>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</si>
  <si>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</si>
  <si>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</si>
  <si>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</si>
  <si>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</si>
  <si>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</si>
  <si>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</si>
  <si>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</si>
  <si>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</si>
  <si>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</si>
  <si>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</si>
  <si>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</si>
  <si>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</si>
  <si>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</si>
  <si>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</si>
  <si>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</si>
  <si>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</si>
  <si>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</si>
  <si>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</si>
  <si>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</si>
  <si>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</si>
  <si>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</si>
  <si>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</si>
  <si>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</si>
  <si>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</si>
  <si>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</si>
  <si>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</si>
  <si>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</si>
  <si>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</si>
  <si>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</si>
  <si>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</si>
  <si>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</si>
  <si>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</si>
  <si>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</si>
  <si>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</si>
  <si>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</si>
  <si>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</si>
  <si>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</si>
  <si>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</si>
  <si>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</si>
  <si>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</si>
  <si>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</si>
  <si>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</si>
  <si>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</si>
  <si>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</si>
  <si>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</si>
  <si>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</si>
  <si>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</si>
  <si>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</si>
  <si>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</si>
  <si>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</si>
  <si>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</si>
  <si>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</si>
  <si>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</si>
  <si>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</si>
  <si>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</si>
  <si>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</si>
  <si>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</si>
  <si>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</si>
  <si>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</si>
  <si>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</si>
  <si>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</si>
  <si>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</si>
  <si>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</si>
  <si>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</si>
  <si>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</si>
  <si>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</si>
  <si>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</si>
  <si>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</si>
  <si>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</si>
  <si>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</si>
  <si>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</si>
  <si>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</si>
  <si>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</si>
  <si>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</si>
  <si>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</si>
  <si>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</si>
  <si>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</si>
  <si>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</si>
  <si>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</si>
  <si>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</si>
  <si>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</si>
  <si>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</si>
  <si>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</si>
  <si>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</si>
  <si>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</si>
  <si>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</si>
  <si>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</si>
  <si>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</si>
  <si>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</si>
  <si>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</si>
  <si>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</si>
  <si>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</si>
  <si>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</si>
  <si>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</si>
  <si>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</si>
  <si>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</si>
  <si>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</si>
  <si>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</si>
  <si>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</si>
  <si>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</si>
  <si>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</si>
  <si>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</si>
  <si>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</si>
  <si>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</si>
  <si>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</si>
  <si>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</si>
  <si>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</si>
  <si>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</si>
  <si>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</si>
  <si>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</si>
  <si>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</si>
  <si>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</si>
  <si>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</si>
  <si>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</si>
  <si>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</si>
  <si>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</si>
  <si>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</si>
  <si>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</si>
  <si>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</si>
  <si>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</si>
  <si>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</si>
  <si>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</si>
  <si>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</si>
  <si>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</si>
  <si>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</si>
  <si>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</si>
  <si>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</si>
  <si>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</si>
  <si>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</si>
  <si>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</si>
  <si>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</si>
  <si>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</si>
  <si>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</si>
  <si>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</si>
  <si>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</si>
  <si>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</si>
  <si>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</si>
  <si>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</si>
  <si>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</si>
  <si>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</si>
  <si>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</si>
  <si>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</si>
  <si>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</si>
  <si>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</si>
  <si>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</si>
  <si>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</si>
  <si>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</si>
  <si>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</si>
  <si>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</si>
  <si>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</si>
  <si>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</si>
  <si>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</si>
  <si>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</si>
  <si>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</si>
  <si>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</si>
  <si>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</si>
  <si>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</si>
  <si>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</si>
  <si>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</si>
  <si>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</si>
  <si>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</si>
  <si>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</si>
  <si>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</si>
  <si>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</si>
  <si>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</si>
  <si>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</si>
  <si>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</si>
  <si>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</si>
  <si>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</si>
  <si>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</si>
  <si>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</si>
  <si>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</si>
  <si>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</si>
  <si>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</si>
  <si>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</si>
  <si>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</si>
  <si>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</si>
  <si>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</si>
  <si>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</si>
  <si>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</si>
  <si>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</si>
  <si>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</si>
  <si>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</si>
  <si>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</si>
  <si>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</si>
  <si>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</si>
  <si>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</si>
  <si>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</si>
  <si>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</si>
  <si>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</si>
  <si>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</si>
  <si>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</si>
  <si>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</si>
  <si>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</si>
  <si>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</si>
  <si>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</si>
  <si>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</si>
  <si>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</si>
  <si>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</si>
  <si>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</si>
  <si>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</si>
  <si>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</si>
  <si>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</si>
  <si>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</si>
  <si>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</si>
  <si>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</si>
  <si>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</si>
  <si>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</si>
  <si>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</si>
  <si>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</si>
  <si>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</si>
  <si>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</si>
  <si>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</si>
  <si>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</si>
  <si>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</si>
  <si>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</si>
  <si>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</si>
  <si>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</si>
  <si>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</si>
  <si>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</si>
  <si>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</si>
  <si>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</si>
  <si>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</si>
  <si>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</si>
  <si>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</si>
  <si>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</si>
  <si>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</si>
  <si>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</si>
  <si>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</si>
  <si>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</si>
  <si>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</si>
  <si>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</si>
  <si>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</si>
  <si>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</si>
  <si>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</si>
  <si>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</si>
  <si>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</si>
  <si>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</si>
  <si>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</si>
  <si>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</si>
  <si>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</si>
  <si>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</si>
  <si>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</si>
  <si>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</si>
  <si>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</si>
  <si>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</si>
  <si>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</si>
  <si>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</si>
  <si>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</si>
  <si>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</si>
  <si>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</si>
  <si>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</si>
  <si>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</si>
  <si>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</si>
  <si>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</si>
  <si>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</si>
  <si>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</si>
  <si>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</si>
  <si>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</si>
  <si>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</si>
  <si>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</si>
  <si>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</si>
  <si>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</si>
  <si>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</si>
  <si>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</si>
  <si>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</si>
  <si>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</si>
  <si>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</si>
  <si>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</si>
  <si>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</si>
  <si>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</si>
  <si>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</si>
  <si>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</si>
  <si>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</si>
  <si>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</si>
  <si>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</si>
  <si>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</si>
  <si>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</si>
  <si>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</si>
  <si>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</si>
  <si>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</si>
  <si>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</si>
  <si>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</si>
  <si>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</si>
  <si>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</si>
  <si>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</si>
  <si>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</si>
  <si>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</si>
  <si>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</si>
  <si>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</si>
  <si>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</si>
  <si>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</si>
  <si>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</si>
  <si>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</si>
  <si>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</si>
  <si>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</si>
  <si>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</si>
  <si>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</si>
  <si>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</si>
  <si>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</si>
  <si>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</si>
  <si>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</si>
  <si>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</si>
  <si>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</si>
  <si>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</si>
  <si>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</si>
  <si>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</si>
  <si>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</si>
  <si>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</si>
  <si>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</si>
  <si>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</si>
  <si>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</si>
  <si>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</si>
  <si>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</si>
  <si>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</si>
  <si>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</si>
  <si>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</si>
  <si>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</si>
  <si>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</si>
  <si>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</si>
  <si>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</si>
  <si>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</si>
  <si>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</si>
  <si>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</si>
  <si>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</si>
  <si>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</si>
  <si>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</si>
  <si>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</si>
  <si>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</si>
  <si>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</si>
  <si>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</si>
  <si>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</si>
  <si>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</si>
  <si>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</si>
  <si>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</si>
  <si>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</si>
  <si>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</si>
  <si>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</si>
  <si>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</si>
  <si>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</si>
  <si>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</si>
  <si>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</si>
  <si>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</si>
  <si>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</si>
  <si>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</si>
  <si>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</si>
  <si>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</si>
  <si>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</si>
  <si>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</si>
  <si>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</si>
  <si>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</si>
  <si>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</si>
  <si>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</si>
  <si>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</si>
  <si>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</si>
  <si>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</si>
  <si>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</si>
  <si>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</si>
  <si>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</si>
  <si>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</si>
  <si>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</si>
  <si>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</si>
  <si>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</si>
  <si>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</si>
  <si>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</si>
  <si>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</si>
  <si>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</si>
  <si>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</si>
  <si>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</si>
  <si>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</si>
  <si>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</si>
  <si>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</si>
  <si>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</si>
  <si>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</si>
  <si>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</si>
  <si>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</si>
  <si>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</si>
  <si>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</si>
  <si>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</si>
  <si>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</si>
  <si>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</si>
  <si>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</si>
  <si>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</si>
  <si>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</si>
  <si>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</si>
  <si>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</si>
  <si>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</si>
  <si>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</si>
  <si>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</si>
  <si>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</si>
  <si>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</si>
  <si>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</si>
  <si>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</si>
  <si>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</si>
  <si>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</si>
  <si>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</si>
  <si>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</si>
  <si>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</si>
  <si>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</si>
  <si>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</si>
  <si>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</si>
  <si>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</si>
  <si>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</si>
  <si>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</si>
  <si>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</si>
  <si>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</si>
  <si>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</si>
  <si>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</si>
  <si>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</si>
  <si>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</si>
  <si>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</si>
  <si>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</si>
  <si>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</si>
  <si>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</si>
  <si>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</si>
  <si>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</si>
  <si>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</si>
  <si>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</si>
  <si>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</si>
  <si>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</si>
  <si>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</si>
  <si>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</si>
  <si>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</si>
  <si>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</si>
  <si>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</si>
  <si>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</si>
  <si>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</si>
  <si>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</si>
  <si>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</si>
  <si>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</si>
  <si>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</si>
  <si>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</si>
  <si>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</si>
  <si>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</si>
  <si>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</si>
  <si>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</si>
  <si>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</si>
  <si>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</si>
  <si>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</si>
  <si>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</si>
  <si>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</si>
  <si>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</si>
  <si>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</si>
  <si>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</si>
  <si>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</si>
  <si>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</si>
  <si>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</si>
  <si>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</si>
  <si>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</si>
  <si>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</si>
  <si>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</si>
  <si>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</si>
  <si>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</si>
  <si>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</si>
  <si>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</si>
  <si>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</si>
  <si>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</si>
  <si>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</si>
  <si>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</si>
  <si>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</si>
  <si>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</si>
  <si>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</si>
  <si>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</si>
  <si>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</si>
  <si>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</si>
  <si>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</si>
  <si>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</si>
  <si>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</si>
  <si>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</si>
  <si>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</si>
  <si>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</si>
  <si>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</si>
  <si>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</si>
  <si>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</si>
  <si>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</si>
  <si>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</si>
  <si>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</si>
  <si>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</si>
  <si>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</si>
  <si>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</si>
  <si>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</si>
  <si>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</si>
  <si>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</si>
  <si>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</si>
  <si>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</si>
  <si>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</si>
  <si>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</si>
  <si>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</si>
  <si>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</si>
  <si>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</si>
  <si>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</si>
  <si>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</si>
  <si>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</si>
  <si>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</si>
  <si>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</si>
  <si>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</si>
  <si>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</si>
  <si>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</si>
  <si>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</si>
  <si>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</si>
  <si>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</si>
  <si>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</si>
  <si>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</si>
  <si>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</si>
  <si>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</si>
  <si>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</si>
  <si>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</si>
  <si>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</si>
  <si>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</si>
  <si>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</si>
  <si>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</si>
  <si>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</si>
  <si>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</si>
  <si>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</si>
  <si>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</si>
  <si>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</si>
  <si>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</si>
  <si>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</si>
  <si>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</si>
  <si>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</si>
  <si>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</si>
  <si>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</si>
  <si>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</si>
  <si>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</si>
  <si>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</si>
  <si>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</si>
  <si>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</si>
  <si>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</si>
  <si>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</si>
  <si>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</si>
  <si>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</si>
  <si>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</si>
  <si>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</si>
  <si>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</si>
  <si>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</si>
  <si>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</si>
  <si>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</si>
  <si>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</si>
  <si>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</si>
  <si>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</si>
  <si>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</si>
  <si>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</si>
  <si>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</si>
  <si>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</si>
  <si>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</si>
  <si>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</si>
  <si>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</si>
  <si>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</si>
  <si>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</si>
  <si>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</si>
  <si>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</si>
  <si>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</si>
  <si>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</si>
  <si>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</si>
  <si>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</si>
  <si>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</si>
  <si>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</si>
  <si>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</si>
  <si>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</si>
  <si>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</si>
  <si>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</si>
  <si>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</si>
  <si>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</si>
  <si>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</si>
  <si>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</si>
  <si>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</si>
  <si>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</si>
  <si>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</si>
  <si>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</si>
  <si>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</si>
  <si>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</si>
  <si>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</si>
  <si>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</si>
  <si>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</si>
  <si>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</si>
  <si>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</si>
  <si>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</si>
  <si>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</si>
  <si>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</si>
  <si>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</si>
  <si>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</si>
  <si>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</si>
  <si>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</si>
  <si>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</si>
  <si>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</si>
  <si>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</si>
  <si>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</si>
  <si>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</si>
  <si>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</si>
  <si>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</si>
  <si>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</si>
  <si>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</si>
  <si>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</si>
  <si>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</si>
  <si>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</si>
  <si>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</si>
  <si>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</si>
  <si>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</si>
  <si>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</si>
  <si>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</si>
  <si>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</si>
  <si>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</si>
  <si>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</si>
  <si>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</si>
  <si>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</si>
  <si>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</si>
  <si>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</si>
  <si>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</si>
  <si>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</si>
  <si>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</si>
  <si>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</si>
  <si>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</si>
  <si>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</si>
  <si>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</si>
  <si>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</si>
  <si>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</si>
  <si>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</si>
  <si>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</si>
  <si>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</si>
  <si>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</si>
  <si>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</si>
  <si>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</si>
  <si>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</si>
  <si>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</si>
  <si>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</si>
  <si>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</si>
  <si>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</si>
  <si>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</si>
  <si>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</si>
  <si>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</si>
  <si>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</si>
  <si>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</si>
  <si>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</si>
  <si>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</si>
  <si>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</si>
  <si>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</si>
  <si>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</si>
  <si>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</si>
  <si>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</si>
  <si>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</si>
  <si>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</si>
  <si>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</si>
  <si>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</si>
  <si>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</si>
  <si>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</si>
  <si>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</si>
  <si>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</si>
  <si>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</si>
  <si>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</si>
  <si>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</si>
  <si>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</si>
  <si>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</si>
  <si>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</si>
  <si>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</si>
  <si>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</si>
  <si>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</si>
  <si>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</si>
  <si>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</si>
  <si>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</si>
  <si>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</si>
  <si>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</si>
  <si>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</si>
  <si>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</si>
  <si>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</si>
  <si>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</si>
  <si>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</si>
  <si>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</si>
  <si>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</si>
  <si>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</si>
  <si>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</si>
  <si>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</si>
  <si>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</si>
  <si>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</si>
  <si>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</si>
  <si>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</si>
  <si>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</si>
  <si>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</si>
  <si>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</si>
  <si>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</si>
  <si>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</si>
  <si>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</si>
  <si>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</si>
  <si>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</si>
  <si>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</si>
  <si>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</si>
  <si>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</si>
  <si>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</si>
  <si>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</si>
  <si>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</si>
  <si>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</si>
  <si>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</si>
  <si>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</si>
  <si>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</si>
  <si>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</si>
  <si>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</si>
  <si>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</si>
  <si>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</si>
  <si>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</si>
  <si>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</si>
  <si>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</si>
  <si>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</si>
  <si>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</si>
  <si>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</si>
  <si>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</si>
  <si>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</si>
  <si>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</si>
  <si>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</si>
  <si>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</si>
  <si>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</si>
  <si>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</si>
  <si>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</si>
  <si>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</si>
  <si>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</si>
  <si>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</si>
  <si>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</si>
  <si>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</si>
  <si>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</si>
  <si>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</si>
  <si>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</si>
  <si>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</si>
  <si>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</si>
  <si>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</si>
  <si>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</si>
  <si>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</si>
  <si>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</si>
  <si>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</si>
  <si>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</si>
  <si>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</si>
  <si>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</si>
  <si>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</si>
  <si>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</si>
  <si>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</si>
  <si>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</si>
  <si>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</si>
  <si>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</si>
  <si>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</si>
  <si>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</si>
  <si>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</si>
  <si>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</si>
  <si>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</si>
  <si>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</si>
  <si>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</si>
  <si>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</si>
  <si>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</si>
  <si>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</si>
  <si>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</si>
  <si>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</si>
  <si>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</si>
  <si>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</si>
  <si>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</si>
  <si>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</si>
  <si>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</si>
  <si>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</si>
  <si>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</si>
  <si>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</si>
  <si>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</si>
  <si>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</si>
  <si>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</si>
  <si>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</si>
  <si>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</si>
  <si>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</si>
  <si>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</si>
  <si>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</si>
  <si>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</si>
  <si>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</si>
  <si>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</si>
  <si>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</si>
  <si>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</si>
  <si>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</si>
  <si>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</si>
  <si>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</si>
  <si>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</si>
  <si>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</si>
  <si>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</si>
  <si>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</si>
  <si>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</si>
  <si>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</si>
  <si>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</si>
  <si>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</si>
  <si>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</si>
  <si>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</si>
  <si>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</si>
  <si>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</si>
  <si>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</si>
  <si>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</si>
  <si>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</si>
  <si>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</si>
  <si>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</si>
  <si>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</si>
  <si>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</si>
  <si>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</si>
  <si>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</si>
  <si>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</si>
  <si>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</si>
  <si>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</si>
  <si>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</si>
  <si>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</si>
  <si>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</si>
  <si>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</si>
  <si>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</si>
  <si>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</si>
  <si>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</si>
  <si>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</si>
  <si>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</si>
  <si>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</si>
  <si>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</si>
  <si>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</si>
  <si>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</si>
  <si>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</si>
  <si>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</si>
  <si>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</si>
  <si>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</si>
  <si>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</si>
  <si>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</si>
  <si>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</si>
  <si>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</si>
  <si>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</si>
  <si>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</si>
  <si>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</si>
  <si>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</si>
  <si>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</si>
  <si>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</si>
  <si>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</si>
  <si>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</si>
  <si>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</si>
  <si>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</si>
  <si>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</si>
  <si>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</si>
  <si>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</si>
  <si>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</si>
  <si>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</si>
  <si>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</si>
  <si>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</si>
  <si>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</si>
  <si>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</si>
  <si>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</si>
  <si>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</si>
  <si>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</si>
  <si>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</si>
  <si>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</si>
  <si>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</si>
  <si>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</si>
  <si>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</si>
  <si>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</si>
  <si>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</si>
  <si>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</si>
  <si>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</si>
  <si>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</si>
  <si>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</si>
  <si>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</si>
  <si>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</si>
  <si>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</si>
  <si>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</si>
  <si>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</si>
  <si>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</si>
  <si>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</si>
  <si>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</si>
  <si>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</si>
  <si>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</si>
  <si>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</si>
  <si>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</si>
  <si>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</si>
  <si>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</si>
  <si>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</si>
  <si>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</si>
  <si>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</si>
  <si>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</si>
  <si>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</si>
  <si>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</si>
  <si>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</si>
  <si>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</si>
  <si>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</si>
  <si>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</si>
  <si>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</si>
  <si>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</si>
  <si>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</si>
  <si>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</si>
  <si>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</si>
  <si>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</si>
  <si>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</si>
  <si>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</si>
  <si>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</si>
  <si>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</si>
  <si>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</si>
  <si>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</si>
  <si>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</si>
  <si>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</si>
  <si>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</si>
  <si>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</si>
  <si>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</si>
  <si>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</si>
  <si>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</si>
  <si>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</si>
  <si>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</si>
  <si>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</si>
  <si>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</si>
  <si>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</si>
  <si>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</si>
  <si>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</si>
  <si>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</si>
  <si>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</si>
  <si>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</si>
  <si>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</si>
  <si>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</si>
  <si>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</si>
  <si>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</si>
  <si>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</si>
  <si>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</si>
  <si>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</si>
  <si>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</si>
  <si>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</si>
  <si>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</si>
  <si>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</si>
  <si>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</si>
  <si>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</si>
  <si>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</si>
  <si>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</si>
  <si>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</si>
  <si>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</si>
  <si>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</si>
  <si>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</si>
  <si>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</si>
  <si>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</si>
  <si>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</si>
  <si>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</si>
  <si>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</si>
  <si>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</si>
  <si>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</si>
  <si>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</si>
  <si>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</si>
  <si>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</si>
  <si>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</si>
  <si>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</si>
  <si>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</si>
  <si>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</si>
  <si>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</si>
  <si>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</si>
  <si>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</si>
  <si>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</si>
  <si>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</si>
  <si>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</si>
  <si>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</si>
  <si>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</si>
  <si>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</si>
  <si>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</si>
  <si>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</si>
  <si>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</si>
  <si>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</si>
  <si>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</si>
  <si>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</si>
  <si>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</si>
  <si>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</si>
  <si>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</si>
  <si>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</si>
  <si>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</si>
  <si>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</si>
  <si>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</si>
  <si>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</si>
  <si>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</si>
  <si>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</si>
  <si>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</si>
  <si>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</si>
  <si>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</si>
  <si>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</si>
  <si>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</si>
  <si>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</si>
  <si>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</si>
  <si>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</si>
  <si>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</si>
  <si>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</si>
  <si>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</si>
  <si>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</si>
  <si>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</si>
  <si>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</si>
  <si>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</si>
  <si>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</si>
  <si>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</si>
  <si>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</si>
  <si>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</si>
  <si>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</si>
  <si>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</si>
  <si>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</si>
  <si>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</si>
  <si>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</si>
  <si>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</si>
  <si>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</si>
  <si>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</si>
  <si>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</si>
  <si>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</si>
  <si>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</si>
  <si>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</si>
  <si>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</si>
  <si>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</si>
  <si>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</si>
  <si>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</si>
  <si>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</si>
  <si>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</si>
  <si>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</si>
  <si>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</si>
  <si>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</si>
  <si>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</si>
  <si>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</si>
  <si>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</si>
  <si>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</si>
  <si>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</si>
  <si>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</si>
  <si>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</si>
  <si>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</si>
  <si>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</si>
  <si>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</si>
  <si>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</si>
  <si>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</si>
  <si>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</si>
  <si>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</si>
  <si>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</si>
  <si>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</si>
  <si>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</si>
  <si>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</si>
  <si>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</si>
  <si>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</si>
  <si>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</si>
  <si>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</si>
  <si>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</si>
  <si>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</si>
  <si>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</si>
  <si>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</si>
  <si>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</si>
  <si>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</si>
  <si>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</si>
  <si>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</si>
  <si>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</si>
  <si>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</si>
  <si>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</si>
  <si>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</si>
  <si>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</si>
  <si>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</si>
  <si>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</si>
  <si>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</si>
  <si>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</si>
  <si>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</si>
  <si>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</si>
  <si>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</si>
  <si>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</si>
  <si>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</si>
  <si>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</si>
  <si>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</si>
  <si>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</si>
  <si>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</si>
  <si>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</si>
  <si>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</si>
  <si>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</si>
  <si>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</si>
  <si>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</si>
  <si>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</si>
  <si>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</si>
  <si>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</si>
  <si>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</si>
  <si>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</si>
  <si>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</si>
  <si>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</si>
  <si>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</si>
  <si>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</si>
  <si>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</si>
  <si>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</si>
  <si>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</si>
  <si>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</si>
  <si>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</si>
  <si>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</si>
  <si>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</si>
  <si>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</si>
  <si>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</si>
  <si>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</si>
  <si>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</si>
  <si>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</si>
  <si>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</si>
  <si>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</si>
  <si>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</si>
  <si>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</si>
  <si>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</si>
  <si>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</si>
  <si>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</si>
  <si>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</si>
  <si>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</si>
  <si>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</si>
  <si>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</si>
  <si>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</si>
  <si>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</si>
  <si>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</si>
  <si>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</si>
  <si>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</si>
  <si>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</si>
  <si>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</si>
  <si>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</si>
  <si>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</si>
  <si>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</si>
  <si>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</si>
  <si>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</si>
  <si>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</si>
  <si>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</si>
  <si>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</si>
  <si>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</si>
  <si>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</si>
  <si>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</si>
  <si>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</si>
  <si>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</si>
  <si>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</si>
  <si>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</si>
  <si>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</si>
  <si>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</si>
  <si>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</si>
  <si>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</si>
  <si>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</si>
  <si>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</si>
  <si>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</si>
  <si>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</si>
  <si>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</si>
  <si>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</si>
  <si>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</si>
  <si>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</si>
  <si>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</si>
  <si>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</si>
  <si>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</si>
  <si>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</si>
  <si>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</si>
  <si>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</si>
  <si>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</si>
  <si>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</si>
  <si>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</si>
  <si>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</si>
  <si>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</si>
  <si>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</si>
  <si>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</si>
  <si>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</si>
  <si>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</si>
  <si>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</si>
  <si>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</si>
  <si>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</si>
  <si>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</si>
  <si>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</si>
  <si>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</si>
  <si>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</si>
  <si>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</si>
  <si>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</si>
  <si>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</si>
  <si>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</si>
  <si>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</si>
  <si>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</si>
  <si>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</si>
  <si>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</si>
  <si>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</si>
  <si>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</si>
  <si>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</si>
  <si>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</si>
  <si>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</si>
  <si>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</si>
  <si>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</si>
  <si>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</si>
  <si>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</si>
  <si>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</si>
  <si>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</si>
  <si>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</si>
  <si>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</si>
  <si>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</si>
  <si>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</si>
  <si>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</si>
  <si>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</si>
  <si>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</si>
  <si>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</si>
  <si>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</si>
  <si>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</si>
  <si>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</si>
  <si>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</si>
  <si>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</si>
  <si>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</si>
  <si>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</si>
  <si>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</si>
  <si>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</si>
  <si>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</si>
  <si>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</si>
  <si>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</si>
  <si>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</si>
  <si>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</si>
  <si>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</si>
  <si>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</si>
  <si>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</si>
  <si>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</si>
  <si>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</si>
  <si>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</si>
  <si>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</si>
  <si>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</si>
  <si>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</si>
  <si>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</si>
  <si>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</si>
  <si>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</si>
  <si>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</si>
  <si>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</si>
  <si>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</si>
  <si>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</si>
  <si>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</si>
  <si>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</si>
  <si>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</si>
  <si>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</si>
  <si>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</si>
  <si>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</si>
  <si>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</si>
  <si>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</si>
  <si>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</si>
  <si>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</si>
  <si>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</si>
  <si>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</si>
  <si>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</si>
  <si>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</si>
  <si>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</si>
  <si>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</si>
  <si>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</si>
  <si>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</si>
  <si>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</si>
  <si>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</si>
  <si>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</si>
  <si>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</si>
  <si>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</si>
  <si>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</si>
  <si>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</si>
  <si>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</si>
  <si>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</si>
  <si>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</si>
  <si>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</si>
  <si>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</si>
  <si>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</si>
  <si>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</si>
  <si>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</si>
  <si>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</si>
  <si>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</si>
  <si>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</si>
  <si>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</si>
  <si>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</si>
  <si>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</si>
  <si>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</si>
  <si>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</si>
  <si>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</si>
  <si>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</si>
  <si>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</si>
  <si>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</si>
  <si>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</si>
  <si>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</si>
  <si>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</si>
  <si>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</si>
  <si>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</si>
  <si>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</si>
  <si>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</si>
  <si>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</si>
  <si>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</si>
  <si>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</si>
  <si>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</si>
  <si>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</si>
  <si>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</si>
  <si>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</si>
  <si>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</si>
  <si>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</si>
  <si>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</si>
  <si>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</si>
  <si>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</si>
  <si>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</si>
  <si>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</si>
  <si>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</si>
  <si>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</si>
  <si>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</si>
  <si>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</si>
  <si>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</si>
  <si>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</si>
  <si>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</si>
  <si>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</si>
  <si>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</si>
  <si>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</si>
  <si>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</si>
  <si>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</si>
  <si>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</si>
  <si>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</si>
  <si>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</si>
  <si>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</si>
  <si>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</si>
  <si>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</si>
  <si>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</si>
  <si>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</si>
  <si>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</si>
  <si>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</si>
  <si>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</si>
  <si>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</si>
  <si>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</si>
  <si>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</si>
  <si>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</si>
  <si>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</si>
  <si>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</si>
  <si>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</si>
  <si>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</si>
  <si>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</si>
  <si>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</si>
  <si>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</si>
  <si>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</si>
  <si>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</si>
  <si>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</si>
  <si>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</si>
  <si>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</si>
  <si>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</si>
  <si>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</si>
  <si>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</si>
  <si>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</si>
  <si>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</si>
  <si>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</si>
  <si>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</si>
  <si>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</si>
  <si>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</si>
  <si>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</si>
  <si>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</si>
  <si>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</si>
  <si>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</si>
  <si>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</si>
  <si>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</si>
  <si>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</si>
  <si>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</si>
  <si>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</si>
  <si>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</si>
  <si>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</si>
  <si>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</si>
  <si>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</si>
  <si>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</si>
  <si>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</si>
  <si>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</si>
  <si>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</si>
  <si>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</si>
  <si>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</si>
  <si>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</si>
  <si>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</si>
  <si>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</si>
  <si>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</si>
  <si>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</si>
  <si>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</si>
  <si>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</si>
  <si>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</si>
  <si>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</si>
  <si>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</si>
  <si>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</si>
  <si>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</si>
  <si>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</si>
  <si>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</si>
  <si>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</si>
  <si>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</si>
  <si>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</si>
  <si>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</si>
  <si>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</si>
  <si>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</si>
  <si>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</si>
  <si>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</si>
  <si>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</si>
  <si>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</si>
  <si>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</si>
  <si>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</si>
  <si>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</si>
  <si>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</si>
  <si>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</si>
  <si>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</si>
  <si>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</si>
  <si>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</si>
  <si>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</si>
  <si>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</si>
  <si>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</si>
  <si>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</si>
  <si>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</si>
  <si>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</si>
  <si>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</si>
  <si>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</si>
  <si>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</si>
  <si>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</si>
  <si>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</si>
  <si>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</si>
  <si>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</si>
  <si>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</si>
  <si>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</si>
  <si>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</si>
  <si>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</si>
  <si>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</si>
  <si>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</si>
  <si>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</si>
  <si>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</si>
  <si>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</si>
  <si>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</si>
  <si>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</si>
  <si>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</si>
  <si>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</si>
  <si>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</si>
  <si>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</si>
  <si>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</si>
  <si>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</si>
  <si>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</si>
  <si>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</si>
  <si>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</si>
  <si>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</si>
  <si>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</si>
  <si>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</si>
  <si>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</si>
  <si>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</si>
  <si>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</si>
  <si>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</si>
  <si>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</si>
  <si>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</si>
  <si>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</si>
  <si>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</si>
  <si>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</si>
  <si>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</si>
  <si>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</si>
  <si>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</si>
  <si>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</si>
  <si>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</si>
  <si>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</si>
  <si>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</si>
  <si>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</si>
  <si>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</si>
  <si>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</si>
  <si>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</si>
  <si>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</si>
  <si>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</si>
  <si>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</si>
  <si>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</si>
  <si>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</si>
  <si>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</si>
  <si>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</si>
  <si>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</si>
  <si>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</si>
  <si>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</si>
  <si>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</si>
  <si>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</si>
  <si>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</si>
  <si>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</si>
  <si>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</si>
  <si>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</si>
  <si>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</si>
  <si>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</si>
  <si>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</si>
  <si>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</si>
  <si>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</si>
  <si>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</si>
  <si>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</si>
  <si>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</si>
  <si>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</si>
  <si>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</si>
  <si>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</si>
  <si>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</si>
  <si>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</si>
  <si>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</si>
  <si>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</si>
  <si>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</si>
  <si>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</si>
  <si>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</si>
  <si>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</si>
  <si>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</si>
  <si>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</si>
  <si>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</si>
  <si>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</si>
  <si>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</si>
  <si>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</si>
  <si>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</si>
  <si>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</si>
  <si>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</si>
  <si>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</si>
  <si>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</si>
  <si>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</si>
  <si>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</si>
  <si>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</si>
  <si>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</si>
  <si>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</si>
  <si>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</si>
  <si>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</si>
  <si>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</si>
  <si>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</si>
  <si>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</si>
  <si>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</si>
  <si>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</si>
  <si>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</si>
  <si>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</si>
  <si>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</si>
  <si>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</si>
  <si>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</si>
  <si>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</si>
  <si>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</si>
  <si>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</si>
  <si>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</si>
  <si>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</si>
  <si>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</si>
  <si>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</si>
  <si>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</si>
  <si>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</si>
  <si>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</si>
  <si>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</si>
  <si>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</si>
  <si>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</si>
  <si>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</si>
  <si>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</si>
  <si>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</si>
  <si>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</si>
  <si>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</si>
  <si>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</si>
  <si>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</si>
  <si>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</si>
  <si>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</si>
  <si>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</si>
  <si>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</si>
  <si>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</si>
  <si>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</si>
  <si>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</si>
  <si>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</si>
  <si>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</si>
  <si>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</si>
  <si>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</si>
  <si>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</si>
  <si>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</si>
  <si>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</si>
  <si>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</si>
  <si>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</si>
  <si>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</si>
  <si>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</si>
  <si>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</si>
  <si>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</si>
  <si>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</si>
  <si>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</si>
  <si>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</si>
  <si>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</si>
  <si>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</si>
  <si>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</si>
  <si>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</si>
  <si>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</si>
  <si>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</si>
  <si>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</si>
  <si>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</si>
  <si>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</si>
  <si>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</si>
  <si>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</si>
  <si>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</si>
  <si>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</si>
  <si>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</si>
  <si>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</si>
  <si>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</si>
  <si>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</si>
  <si>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</si>
  <si>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</si>
  <si>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</si>
  <si>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</si>
  <si>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</si>
  <si>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</si>
  <si>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</si>
  <si>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</si>
  <si>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</si>
  <si>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</si>
  <si>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</si>
  <si>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</si>
  <si>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</si>
  <si>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</si>
  <si>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</si>
  <si>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</si>
  <si>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</si>
  <si>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</si>
  <si>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</si>
  <si>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</si>
  <si>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</si>
  <si>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</si>
  <si>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</si>
  <si>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</si>
  <si>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</si>
  <si>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</si>
  <si>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</si>
  <si>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</si>
  <si>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</si>
  <si>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</si>
  <si>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</si>
  <si>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</si>
  <si>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</si>
  <si>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</si>
  <si>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</si>
  <si>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</si>
  <si>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</si>
  <si>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</si>
  <si>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</si>
  <si>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</si>
  <si>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</si>
  <si>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</si>
  <si>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</si>
  <si>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</si>
  <si>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</si>
  <si>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</si>
  <si>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</si>
  <si>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</si>
  <si>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</si>
  <si>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</si>
  <si>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</si>
  <si>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</si>
  <si>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</si>
  <si>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</si>
  <si>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</si>
  <si>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</si>
  <si>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</si>
  <si>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</si>
  <si>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</si>
  <si>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</si>
  <si>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</si>
  <si>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</si>
  <si>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</si>
  <si>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</si>
  <si>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</si>
  <si>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</si>
  <si>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</si>
  <si>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</si>
  <si>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</si>
  <si>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</si>
  <si>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</si>
  <si>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</si>
  <si>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</si>
  <si>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</si>
  <si>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</si>
  <si>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</si>
  <si>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</si>
  <si>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</si>
  <si>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</si>
  <si>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</si>
  <si>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</si>
  <si>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</si>
  <si>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</si>
  <si>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</si>
  <si>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</si>
  <si>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</si>
  <si>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</si>
  <si>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</si>
  <si>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</si>
  <si>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</si>
  <si>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</si>
  <si>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</si>
  <si>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</si>
  <si>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</si>
  <si>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</si>
  <si>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</si>
  <si>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</si>
  <si>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</si>
  <si>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</si>
  <si>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</si>
  <si>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</si>
  <si>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</si>
  <si>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</si>
  <si>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</si>
  <si>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</si>
  <si>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</si>
  <si>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</si>
  <si>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</si>
  <si>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</si>
  <si>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</si>
  <si>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</si>
  <si>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</si>
  <si>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</si>
  <si>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</si>
  <si>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</si>
  <si>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</si>
  <si>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</si>
  <si>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</si>
  <si>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</si>
  <si>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</si>
  <si>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</si>
  <si>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</si>
  <si>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</si>
  <si>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</si>
  <si>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</si>
  <si>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</si>
  <si>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</si>
  <si>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</si>
  <si>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</si>
  <si>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</si>
  <si>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</si>
  <si>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</si>
  <si>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</si>
  <si>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</si>
  <si>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</si>
  <si>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</si>
  <si>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</si>
  <si>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</si>
  <si>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</si>
  <si>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</si>
  <si>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</si>
  <si>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</si>
  <si>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</si>
  <si>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</si>
  <si>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</si>
  <si>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</si>
  <si>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</si>
  <si>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</si>
  <si>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</si>
  <si>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</si>
  <si>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</si>
  <si>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</si>
  <si>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</si>
  <si>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</si>
  <si>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</si>
  <si>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</si>
  <si>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</si>
  <si>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</si>
  <si>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</si>
  <si>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</si>
  <si>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</si>
  <si>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</si>
  <si>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</si>
  <si>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</si>
  <si>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</si>
  <si>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</si>
  <si>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</si>
  <si>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</si>
  <si>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</si>
  <si>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</si>
  <si>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</si>
  <si>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</si>
  <si>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</si>
  <si>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</si>
  <si>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</si>
  <si>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</si>
  <si>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</si>
  <si>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</si>
  <si>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</si>
  <si>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</si>
  <si>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</si>
  <si>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</si>
  <si>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</si>
  <si>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</si>
  <si>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</si>
  <si>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</si>
  <si>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</si>
  <si>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</si>
  <si>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</si>
  <si>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</si>
  <si>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</si>
  <si>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</si>
  <si>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</si>
  <si>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</si>
  <si>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</si>
  <si>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</si>
  <si>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</si>
  <si>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</si>
  <si>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</si>
  <si>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</si>
  <si>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</si>
  <si>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</si>
  <si>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</si>
  <si>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</si>
  <si>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</si>
  <si>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</si>
  <si>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</si>
  <si>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</si>
  <si>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</si>
  <si>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</si>
  <si>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</si>
  <si>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</si>
  <si>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</si>
  <si>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</si>
  <si>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</si>
  <si>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</si>
  <si>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</si>
  <si>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</si>
  <si>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</si>
  <si>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</si>
  <si>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</si>
  <si>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</si>
  <si>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</si>
  <si>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</si>
  <si>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</si>
  <si>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</si>
  <si>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</si>
  <si>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</si>
  <si>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</si>
  <si>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</si>
  <si>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</si>
  <si>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</si>
  <si>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</si>
  <si>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</si>
  <si>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</si>
  <si>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</si>
  <si>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</si>
  <si>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</si>
  <si>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</si>
  <si>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</si>
  <si>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</si>
  <si>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</si>
  <si>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</si>
  <si>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</si>
  <si>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</si>
  <si>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</si>
  <si>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</si>
  <si>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</si>
  <si>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</si>
  <si>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</si>
  <si>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</si>
  <si>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</si>
  <si>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</si>
  <si>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</si>
  <si>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</si>
  <si>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</si>
  <si>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</si>
  <si>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</si>
  <si>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</si>
  <si>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</si>
  <si>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</si>
  <si>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</si>
  <si>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</si>
  <si>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</si>
  <si>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</si>
  <si>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</si>
  <si>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</si>
  <si>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</si>
  <si>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</si>
  <si>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</si>
  <si>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</si>
  <si>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</si>
  <si>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</si>
  <si>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</si>
  <si>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</si>
  <si>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</si>
  <si>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</si>
  <si>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</si>
  <si>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</si>
  <si>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</si>
  <si>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</si>
  <si>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</si>
  <si>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</si>
  <si>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</si>
  <si>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</si>
  <si>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</si>
  <si>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</si>
  <si>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</si>
  <si>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</si>
  <si>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</si>
  <si>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</si>
  <si>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</si>
  <si>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</si>
  <si>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</si>
  <si>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</si>
  <si>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</si>
  <si>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</si>
  <si>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</si>
  <si>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</si>
  <si>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</si>
  <si>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</si>
  <si>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</si>
  <si>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</si>
  <si>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</si>
  <si>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</si>
  <si>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</si>
  <si>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</si>
  <si>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</si>
  <si>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</si>
  <si>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</si>
  <si>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</si>
  <si>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</si>
  <si>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</si>
  <si>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</si>
  <si>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</si>
  <si>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</si>
  <si>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</si>
  <si>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</si>
  <si>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</si>
  <si>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</si>
  <si>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</si>
  <si>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</si>
  <si>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</si>
  <si>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</si>
  <si>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</si>
  <si>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</si>
  <si>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</si>
  <si>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</si>
  <si>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</si>
  <si>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</si>
  <si>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</si>
  <si>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</si>
  <si>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</si>
  <si>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</si>
  <si>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</si>
  <si>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</si>
  <si>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</si>
  <si>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</si>
  <si>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</si>
  <si>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</si>
  <si>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</si>
  <si>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</si>
  <si>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</si>
  <si>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</si>
  <si>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</si>
  <si>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</si>
  <si>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</si>
  <si>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</si>
  <si>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</si>
  <si>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</si>
  <si>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</si>
  <si>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</si>
  <si>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</si>
  <si>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</si>
  <si>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</si>
  <si>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</si>
  <si>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</si>
  <si>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</si>
  <si>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</si>
  <si>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</si>
  <si>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</si>
  <si>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</si>
  <si>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</si>
  <si>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</si>
  <si>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</si>
  <si>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</si>
  <si>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</si>
  <si>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</si>
  <si>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</si>
  <si>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</si>
  <si>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</si>
  <si>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</si>
  <si>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</si>
  <si>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</si>
  <si>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</si>
  <si>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</si>
  <si>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</si>
  <si>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</si>
  <si>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</si>
  <si>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</si>
  <si>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</si>
  <si>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</si>
  <si>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</si>
  <si>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</si>
  <si>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</si>
  <si>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</si>
  <si>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</si>
  <si>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</si>
  <si>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</si>
  <si>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</si>
  <si>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</si>
  <si>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</si>
  <si>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</si>
  <si>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</si>
  <si>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</si>
  <si>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</si>
  <si>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</si>
  <si>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</si>
  <si>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</si>
  <si>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</si>
  <si>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</si>
  <si>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</si>
  <si>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</si>
  <si>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</si>
  <si>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</si>
  <si>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</si>
  <si>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</si>
  <si>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</si>
  <si>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</si>
  <si>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</si>
  <si>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</si>
  <si>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</si>
  <si>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</si>
  <si>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</si>
  <si>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</si>
  <si>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</si>
  <si>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</si>
  <si>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</si>
  <si>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</si>
  <si>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</si>
  <si>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</si>
  <si>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</si>
  <si>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</si>
  <si>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</si>
  <si>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</si>
  <si>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</si>
  <si>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</si>
  <si>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</si>
  <si>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</si>
  <si>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</si>
  <si>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</si>
  <si>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</si>
  <si>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</si>
  <si>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</si>
  <si>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</si>
  <si>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</si>
  <si>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</si>
  <si>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</si>
  <si>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</si>
  <si>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</si>
  <si>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</si>
  <si>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</si>
  <si>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</si>
  <si>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</si>
  <si>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</si>
  <si>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</si>
  <si>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</si>
  <si>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</si>
  <si>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</si>
  <si>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</si>
  <si>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</si>
  <si>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</si>
  <si>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</si>
  <si>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</si>
  <si>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</si>
  <si>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</si>
  <si>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</si>
  <si>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</si>
  <si>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</si>
  <si>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</si>
  <si>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</si>
  <si>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</si>
  <si>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</si>
  <si>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</si>
  <si>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</si>
  <si>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</si>
  <si>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</si>
  <si>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</si>
  <si>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</si>
  <si>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</si>
  <si>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</si>
  <si>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</si>
  <si>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</si>
  <si>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</si>
  <si>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</si>
  <si>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</si>
  <si>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</si>
  <si>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</si>
  <si>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</si>
  <si>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</si>
  <si>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</si>
  <si>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</si>
  <si>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</si>
  <si>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</si>
  <si>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</si>
  <si>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</si>
  <si>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</si>
  <si>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</si>
  <si>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</si>
  <si>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</si>
  <si>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</si>
  <si>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</si>
  <si>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</si>
  <si>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</si>
  <si>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</si>
  <si>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</si>
  <si>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</si>
  <si>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</si>
  <si>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</si>
  <si>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</si>
  <si>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</si>
  <si>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</si>
  <si>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</si>
  <si>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</si>
  <si>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</si>
  <si>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</si>
  <si>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</si>
  <si>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</si>
  <si>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</si>
  <si>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</si>
  <si>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</si>
  <si>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</si>
  <si>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</si>
  <si>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</si>
  <si>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</si>
  <si>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</si>
  <si>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</si>
  <si>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</si>
  <si>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</si>
  <si>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</si>
  <si>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</si>
  <si>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</si>
  <si>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</si>
  <si>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</si>
  <si>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</si>
  <si>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</si>
  <si>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</si>
  <si>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</si>
  <si>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</si>
  <si>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</si>
  <si>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</si>
  <si>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</si>
  <si>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</si>
  <si>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</si>
  <si>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</si>
  <si>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</si>
  <si>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</si>
  <si>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</si>
  <si>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</si>
  <si>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</si>
  <si>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</si>
  <si>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</si>
  <si>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</si>
  <si>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</si>
  <si>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</si>
  <si>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</si>
  <si>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</si>
  <si>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</si>
  <si>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</si>
  <si>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</si>
  <si>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</si>
  <si>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</si>
  <si>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</si>
  <si>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</si>
  <si>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</si>
  <si>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</si>
  <si>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</si>
  <si>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</si>
  <si>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</si>
  <si>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</si>
  <si>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</si>
  <si>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</si>
  <si>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</si>
  <si>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</si>
  <si>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</si>
  <si>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</si>
  <si>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</si>
  <si>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</si>
  <si>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</si>
  <si>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</si>
  <si>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</si>
  <si>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</si>
  <si>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</si>
  <si>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</si>
  <si>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</si>
  <si>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</si>
  <si>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</si>
  <si>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</si>
  <si>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</si>
  <si>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</si>
  <si>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</si>
  <si>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</si>
  <si>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</si>
  <si>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</si>
  <si>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</si>
  <si>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</si>
  <si>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</si>
  <si>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</si>
  <si>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</si>
  <si>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</si>
  <si>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</si>
  <si>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</si>
  <si>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</si>
  <si>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</si>
  <si>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</si>
  <si>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</si>
  <si>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</si>
  <si>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</si>
  <si>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</si>
  <si>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</si>
  <si>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</si>
  <si>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</si>
  <si>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</si>
  <si>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</si>
  <si>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</si>
  <si>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</si>
  <si>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</si>
  <si>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</si>
  <si>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</si>
  <si>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</si>
  <si>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</si>
  <si>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</si>
  <si>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</si>
  <si>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</si>
  <si>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</si>
  <si>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</si>
  <si>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</si>
  <si>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</si>
  <si>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</si>
  <si>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</si>
  <si>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</si>
  <si>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</si>
  <si>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</si>
  <si>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</si>
  <si>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</si>
  <si>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</si>
  <si>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</si>
  <si>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</si>
  <si>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</si>
  <si>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</si>
  <si>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</si>
  <si>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</si>
  <si>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</si>
  <si>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</si>
  <si>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</si>
  <si>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</si>
  <si>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</si>
  <si>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</si>
  <si>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</si>
  <si>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</si>
  <si>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</si>
  <si>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</si>
  <si>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</si>
  <si>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</si>
  <si>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</si>
  <si>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</si>
  <si>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</si>
  <si>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</si>
  <si>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</si>
  <si>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</si>
  <si>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</si>
  <si>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</si>
  <si>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</si>
  <si>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</si>
  <si>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</si>
  <si>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</si>
  <si>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</si>
  <si>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</si>
  <si>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</si>
  <si>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</si>
  <si>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</si>
  <si>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</si>
  <si>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</si>
  <si>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</si>
  <si>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</si>
  <si>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</si>
  <si>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</si>
  <si>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</si>
  <si>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</si>
  <si>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</si>
  <si>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</si>
  <si>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</si>
  <si>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</si>
  <si>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</si>
  <si>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</si>
  <si>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</si>
  <si>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</si>
  <si>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</si>
  <si>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</si>
  <si>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</si>
  <si>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</si>
  <si>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</si>
  <si>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</si>
  <si>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</si>
  <si>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</si>
  <si>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</si>
  <si>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</si>
  <si>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</si>
  <si>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</si>
  <si>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</si>
  <si>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</si>
  <si>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</si>
  <si>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</si>
  <si>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</si>
  <si>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</si>
  <si>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</si>
  <si>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</si>
  <si>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</si>
  <si>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</si>
  <si>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</si>
  <si>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</si>
  <si>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</si>
  <si>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</si>
  <si>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</si>
  <si>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</si>
  <si>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</si>
  <si>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</si>
  <si>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</si>
  <si>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</si>
  <si>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</si>
  <si>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</si>
  <si>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</si>
  <si>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</si>
  <si>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</si>
  <si>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</si>
  <si>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</si>
  <si>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</si>
  <si>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</si>
  <si>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</si>
  <si>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</si>
  <si>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</si>
  <si>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</si>
  <si>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</si>
  <si>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</si>
  <si>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</si>
  <si>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</si>
  <si>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</si>
  <si>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</si>
  <si>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</si>
  <si>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</si>
  <si>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</si>
  <si>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</si>
  <si>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</si>
  <si>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</si>
  <si>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</si>
  <si>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</si>
  <si>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</si>
  <si>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</si>
  <si>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</si>
  <si>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</si>
  <si>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</si>
  <si>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</si>
  <si>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</si>
  <si>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</si>
  <si>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</si>
  <si>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</si>
  <si>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</si>
  <si>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</si>
  <si>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</si>
  <si>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</si>
  <si>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</si>
  <si>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</si>
  <si>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</si>
  <si>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</si>
  <si>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</si>
  <si>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</si>
  <si>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</si>
  <si>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</si>
  <si>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</si>
  <si>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</si>
  <si>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</si>
  <si>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</si>
  <si>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</si>
  <si>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</si>
  <si>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</si>
  <si>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</si>
  <si>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</si>
  <si>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</si>
  <si>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</si>
  <si>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</si>
  <si>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</si>
  <si>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</si>
  <si>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</si>
  <si>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</si>
  <si>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</si>
  <si>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</si>
  <si>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</si>
  <si>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</si>
  <si>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</si>
  <si>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</si>
  <si>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</si>
  <si>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</si>
  <si>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</si>
  <si>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</si>
  <si>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</si>
  <si>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</si>
  <si>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</si>
  <si>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</si>
  <si>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</si>
  <si>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</si>
  <si>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</si>
  <si>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</si>
  <si>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</si>
  <si>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</si>
  <si>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</si>
  <si>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</si>
  <si>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</si>
  <si>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</si>
  <si>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</si>
  <si>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</si>
  <si>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</si>
  <si>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</si>
  <si>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</si>
  <si>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</si>
  <si>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</si>
  <si>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</si>
  <si>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</si>
  <si>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</si>
  <si>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</si>
  <si>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</si>
  <si>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</si>
  <si>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</si>
  <si>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</si>
  <si>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</si>
  <si>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</si>
  <si>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</si>
  <si>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</si>
  <si>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</si>
  <si>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</si>
  <si>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</si>
  <si>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</si>
  <si>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</si>
  <si>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</si>
  <si>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</si>
  <si>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</si>
  <si>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</si>
  <si>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</si>
  <si>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</si>
  <si>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</si>
  <si>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</si>
  <si>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</si>
  <si>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</si>
  <si>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Assignable (non-instructional)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</si>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</sst>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7">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cellStyleXfs>
  <cellXfs count="168">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19" fillId="0" borderId="0" xfId="0" applyFont="1" applyAlignment="1">
      <alignment horizontal="left" wrapText="1"/>
    </xf>
    <xf numFmtId="0" fontId="33" fillId="0" borderId="0" xfId="0" applyFont="1" applyAlignment="1">
      <alignment wrapText="1"/>
    </xf>
    <xf numFmtId="0" fontId="26" fillId="11" borderId="64" xfId="2" applyFont="1" applyFill="1" applyBorder="1" applyAlignment="1">
      <alignment horizontal="left"/>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18" fillId="0" borderId="0" xfId="7" applyNumberFormat="1" applyFont="1" applyProtection="1">
      <alignment horizontal="left" vertical="top" wrapText="1" indent="1"/>
      <protection locked="0"/>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36" fillId="0" borderId="0" xfId="0" applyFont="1" applyProtection="1"/>
  </cellXfs>
  <cellStyles count="17">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20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4341495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16</xdr:row>
      <xdr:rowOff>209550</xdr:rowOff>
    </xdr:from>
    <xdr:to>
      <xdr:col>14</xdr:col>
      <xdr:colOff>7621</xdr:colOff>
      <xdr:row>23</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30</xdr:row>
      <xdr:rowOff>0</xdr:rowOff>
    </xdr:from>
    <xdr:to>
      <xdr:col>3</xdr:col>
      <xdr:colOff>228600</xdr:colOff>
      <xdr:row>48</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30</xdr:row>
      <xdr:rowOff>0</xdr:rowOff>
    </xdr:from>
    <xdr:to>
      <xdr:col>7</xdr:col>
      <xdr:colOff>247650</xdr:colOff>
      <xdr:row>48</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18</xdr:row>
      <xdr:rowOff>152400</xdr:rowOff>
    </xdr:from>
    <xdr:to>
      <xdr:col>11</xdr:col>
      <xdr:colOff>152400</xdr:colOff>
      <xdr:row>21</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30</xdr:row>
      <xdr:rowOff>0</xdr:rowOff>
    </xdr:from>
    <xdr:to>
      <xdr:col>10</xdr:col>
      <xdr:colOff>542925</xdr:colOff>
      <xdr:row>48</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173355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0</xdr:col>
      <xdr:colOff>333375</xdr:colOff>
      <xdr:row>33</xdr:row>
      <xdr:rowOff>180976</xdr:rowOff>
    </xdr:from>
    <xdr:to>
      <xdr:col>9</xdr:col>
      <xdr:colOff>1152525</xdr:colOff>
      <xdr:row>36</xdr:row>
      <xdr:rowOff>47626</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333375" y="7648576"/>
          <a:ext cx="11039475" cy="495300"/>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20</xdr:row>
      <xdr:rowOff>171450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701039" y="624840"/>
          <a:ext cx="10800000" cy="3918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23</xdr:row>
      <xdr:rowOff>15241</xdr:rowOff>
    </xdr:from>
    <xdr:to>
      <xdr:col>16</xdr:col>
      <xdr:colOff>532049</xdr:colOff>
      <xdr:row>53</xdr:row>
      <xdr:rowOff>171451</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704849" y="5196841"/>
          <a:ext cx="10800000" cy="644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55</xdr:row>
      <xdr:rowOff>188595</xdr:rowOff>
    </xdr:from>
    <xdr:to>
      <xdr:col>16</xdr:col>
      <xdr:colOff>547290</xdr:colOff>
      <xdr:row>77</xdr:row>
      <xdr:rowOff>57150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720090" y="12075795"/>
          <a:ext cx="10800000" cy="4478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53340</xdr:colOff>
      <xdr:row>79</xdr:row>
      <xdr:rowOff>28576</xdr:rowOff>
    </xdr:from>
    <xdr:to>
      <xdr:col>16</xdr:col>
      <xdr:colOff>566340</xdr:colOff>
      <xdr:row>101</xdr:row>
      <xdr:rowOff>190500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739140" y="16944976"/>
          <a:ext cx="10800000" cy="477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1</xdr:row>
      <xdr:rowOff>0</xdr:rowOff>
    </xdr:from>
    <xdr:to>
      <xdr:col>9</xdr:col>
      <xdr:colOff>9524</xdr:colOff>
      <xdr:row>6</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15240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8</xdr:row>
      <xdr:rowOff>152400</xdr:rowOff>
    </xdr:to>
    <xdr:sp macro="" textlink="">
      <xdr:nvSpPr>
        <xdr:cNvPr id="3" name="TextBox 2">
          <a:extLst>
            <a:ext uri="{FF2B5EF4-FFF2-40B4-BE49-F238E27FC236}">
              <a16:creationId xmlns:a16="http://schemas.microsoft.com/office/drawing/2014/main" id="{7177FB6F-7A6E-4890-9C75-18FDCC31D80D}"/>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8</xdr:row>
      <xdr:rowOff>152401</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twoCellAnchor editAs="oneCell">
    <xdr:from>
      <xdr:col>0</xdr:col>
      <xdr:colOff>0</xdr:colOff>
      <xdr:row>0</xdr:row>
      <xdr:rowOff>28575</xdr:rowOff>
    </xdr:from>
    <xdr:to>
      <xdr:col>5</xdr:col>
      <xdr:colOff>76200</xdr:colOff>
      <xdr:row>5</xdr:row>
      <xdr:rowOff>15240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19050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6" name="TextBox 5">
          <a:extLst>
            <a:ext uri="{FF2B5EF4-FFF2-40B4-BE49-F238E27FC236}">
              <a16:creationId xmlns:a16="http://schemas.microsoft.com/office/drawing/2014/main" id="{22F7F2D6-6DF6-446C-895B-A3B3EC1A2ECA}"/>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19050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5" name="TextBox 4">
          <a:extLst>
            <a:ext uri="{FF2B5EF4-FFF2-40B4-BE49-F238E27FC236}">
              <a16:creationId xmlns:a16="http://schemas.microsoft.com/office/drawing/2014/main" id="{082E47CB-B85A-4701-A1F1-112AF6FD89CE}"/>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1207" dataDxfId="120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1205">
      <calculatedColumnFormula>+'Detailed Summary'!C8</calculatedColumnFormula>
    </tableColumn>
    <tableColumn id="8" xr3:uid="{EF7F7687-030E-43C5-9E99-3837C77300BF}" name="Employer" dataDxfId="1204">
      <calculatedColumnFormula>'START HERE'!C8</calculatedColumnFormula>
    </tableColumn>
    <tableColumn id="7" xr3:uid="{3C2E05CF-BB11-4D1A-A0CD-16F4F552A6A1}" name="School" dataDxfId="1203">
      <calculatedColumnFormula>School</calculatedColumnFormula>
    </tableColumn>
    <tableColumn id="2" xr3:uid="{D61BB2BD-4ACC-4146-9446-0934C3C851AF}" name="FTE" dataDxfId="1202">
      <calculatedColumnFormula>FTE</calculatedColumnFormula>
    </tableColumn>
    <tableColumn id="11" xr3:uid="{4DDB0316-ED9D-400B-8C5F-A49777A85444}" name="NumTeachers" dataDxfId="1201">
      <calculatedColumnFormula>NumTeachers</calculatedColumnFormula>
    </tableColumn>
    <tableColumn id="3" xr3:uid="{FC22A129-B137-4C8B-8E7E-B03D21249640}" name="Instructional" dataDxfId="1200">
      <calculatedColumnFormula>C24+E24</calculatedColumnFormula>
    </tableColumn>
    <tableColumn id="4" xr3:uid="{A748DC2F-9433-4107-801D-4806F3466903}" name="NonInstructional" dataDxfId="1199">
      <calculatedColumnFormula>+D24+G24</calculatedColumnFormula>
    </tableColumn>
    <tableColumn id="5" xr3:uid="{DA12D688-8E4D-4154-A29A-2408F75EE264}" name="Total" dataDxfId="1198">
      <calculatedColumnFormula>+G29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3:G86" totalsRowShown="0" headerRowDxfId="1133" dataDxfId="1132">
  <autoFilter ref="B53:G86"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131"/>
    <tableColumn id="2" xr3:uid="{CCE0BF4D-E8E9-40CB-839C-D639D1BBB55B}" name="End" dataDxfId="1130"/>
    <tableColumn id="4" xr3:uid="{7F2E8536-6737-4F24-A04F-AE6306CB15BB}" name="Activity" dataDxfId="1129"/>
    <tableColumn id="3" xr3:uid="{07E7C29D-FC77-4137-96C7-4F8D2B2E3C2F}" name="Elapsed" dataDxfId="1128">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127">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126">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3:N86" totalsRowShown="0" headerRowDxfId="1125" dataDxfId="1124">
  <autoFilter ref="I53:N86"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123"/>
    <tableColumn id="2" xr3:uid="{2CFF3DD0-76BE-4335-8E4E-EC4573E34710}" name="End" dataDxfId="1122"/>
    <tableColumn id="4" xr3:uid="{4B836017-7878-4B49-BF96-7B84DA0CD36A}" name="Activity" dataDxfId="1121"/>
    <tableColumn id="3" xr3:uid="{A2628393-79C9-4F9F-A0C6-42D221DB1B0F}" name="Elapsed" dataDxfId="1120">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119">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118">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5:G128" totalsRowShown="0" headerRowDxfId="1117" dataDxfId="1116">
  <autoFilter ref="B95:G128"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115"/>
    <tableColumn id="2" xr3:uid="{898F2146-F9A4-4E83-8362-8F7618169159}" name="End" dataDxfId="1114"/>
    <tableColumn id="4" xr3:uid="{34E7F611-4B90-4DA5-AB50-3BBD9D4C2469}" name="Activity" dataDxfId="1113"/>
    <tableColumn id="3" xr3:uid="{E177654B-ABAD-4259-B544-10AB6F6A2B3F}" name="Elapsed" dataDxfId="1112">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111">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110">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5:N128" totalsRowShown="0" headerRowDxfId="1109" dataDxfId="1108">
  <autoFilter ref="I95:N128"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107"/>
    <tableColumn id="2" xr3:uid="{F02993D3-3755-433D-B126-C47BBC7AEE64}" name="End" dataDxfId="1106"/>
    <tableColumn id="4" xr3:uid="{BD84EC3E-18D6-4B07-9840-CA7E62CA26DF}" name="Activity" dataDxfId="1105"/>
    <tableColumn id="3" xr3:uid="{5CC6FAE3-F26C-461B-996C-080DB593B26B}" name="Elapsed" dataDxfId="1104">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103">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102">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5:U128" totalsRowShown="0" headerRowDxfId="1101" dataDxfId="1100">
  <autoFilter ref="P95:U128"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099"/>
    <tableColumn id="2" xr3:uid="{2D6D2404-EDC3-4823-B85C-3F65EC91BE1B}" name="End" dataDxfId="1098"/>
    <tableColumn id="4" xr3:uid="{D0E50C73-358A-4FE8-9918-825D9A17D60B}" name="Activity" dataDxfId="1097"/>
    <tableColumn id="3" xr3:uid="{001148A1-AB1B-4F00-A3A8-D0CAC67AF360}" name="Elapsed" dataDxfId="1096">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1095">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1094">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3:U86" totalsRowShown="0" headerRowDxfId="1093" dataDxfId="1092">
  <autoFilter ref="P53:U86"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1091"/>
    <tableColumn id="2" xr3:uid="{61817419-CD12-476B-A5AC-464F23DBBD8F}" name="End" dataDxfId="1090"/>
    <tableColumn id="4" xr3:uid="{FE1AA51F-20A8-4B30-8DFA-6FAD984D78DC}" name="Activity" dataDxfId="1089"/>
    <tableColumn id="3" xr3:uid="{12698A16-1546-4BB1-AA8E-F41C87B7DAC5}" name="Elapsed" dataDxfId="1088">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1087">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1086">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4:AW47" totalsRowShown="0" headerRowDxfId="1085" dataDxfId="1084">
  <autoFilter ref="AR14:AW47"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1083"/>
    <tableColumn id="2" xr3:uid="{754715CA-9A28-4C1C-B7F3-F57D6DEEED85}" name="End" dataDxfId="1082"/>
    <tableColumn id="4" xr3:uid="{7DD755D9-CF46-4023-97AC-BF00E09A1868}" name="Activity" dataDxfId="1081"/>
    <tableColumn id="3" xr3:uid="{03BBF83C-5DE9-42AA-A52A-471839244AF3}" name="Elapsed" dataDxfId="1080">
      <calculatedColumnFormula>IF(OR(ISBLANK(Term1_Day_7[[#This Row],[Start]]),ISBLANK(Term1_Day_7[[#This Row],[End]])),"",(Term1_Day_7[[#This Row],[End]]-Term1_Day_7[[#This Row],[Start]])*1440)</calculatedColumnFormula>
    </tableColumn>
    <tableColumn id="5" xr3:uid="{52D742BD-BC8A-453E-B5E8-D953CBC73DB2}" name="Instructional Time" dataDxfId="1079">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1078">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4:BD47" totalsRowShown="0" headerRowDxfId="1077" dataDxfId="1076">
  <autoFilter ref="AY14:BD47"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1075"/>
    <tableColumn id="2" xr3:uid="{921E01C2-1B0B-4981-A3C2-22CE3F0E32CA}" name="End" dataDxfId="1074"/>
    <tableColumn id="4" xr3:uid="{21439341-913C-47C0-A73D-39DAD30AE4C3}" name="Activity" dataDxfId="1073"/>
    <tableColumn id="3" xr3:uid="{543603C1-FEED-47AA-A60A-625A9576B288}" name="Elapsed" dataDxfId="1072">
      <calculatedColumnFormula>IF(OR(ISBLANK(Term1_Day_8[[#This Row],[Start]]),ISBLANK(Term1_Day_8[[#This Row],[End]])),"",(Term1_Day_8[[#This Row],[End]]-Term1_Day_8[[#This Row],[Start]])*1440)</calculatedColumnFormula>
    </tableColumn>
    <tableColumn id="5" xr3:uid="{60094F37-58BD-405D-8C58-E0C3C150AFBA}" name="Instructional Time" dataDxfId="1071">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1070">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4:BK47" totalsRowShown="0" headerRowDxfId="1069" dataDxfId="1068">
  <autoFilter ref="BF14:BK47"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1067"/>
    <tableColumn id="2" xr3:uid="{A26E5406-516E-4292-9644-B2FFF606600A}" name="End" dataDxfId="1066"/>
    <tableColumn id="4" xr3:uid="{0D67FE57-95A3-4C40-9A18-E0A2229AADFF}" name="Activity" dataDxfId="1065"/>
    <tableColumn id="3" xr3:uid="{72713849-52FF-40A3-A894-AF338A1D1481}" name="Elapsed" dataDxfId="1064">
      <calculatedColumnFormula>IF(OR(ISBLANK(Term1_Day_9[[#This Row],[Start]]),ISBLANK(Term1_Day_9[[#This Row],[End]])),"",(Term1_Day_9[[#This Row],[End]]-Term1_Day_9[[#This Row],[Start]])*1440)</calculatedColumnFormula>
    </tableColumn>
    <tableColumn id="5" xr3:uid="{A49A65C4-1C63-40DD-8090-02508A4E336D}" name="Instructional Time" dataDxfId="1063">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1062">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4:G47" totalsRowShown="0" headerRowDxfId="1061" dataDxfId="1060">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1059"/>
    <tableColumn id="2" xr3:uid="{96F4A156-FBB5-40A2-BEC7-1D1B7E7958B4}" name="End" dataDxfId="1058"/>
    <tableColumn id="4" xr3:uid="{1BE4D87F-0262-4ACB-8286-77A11EB11DBF}" name="Activity" dataDxfId="1057"/>
    <tableColumn id="3" xr3:uid="{22CD194F-FAF6-4506-AF70-8BF9E7E56216}" name="Elapsed" dataDxfId="1056">
      <calculatedColumnFormula>IF(OR(ISBLANK(Term2_Day_1[[#This Row],[Start]]),ISBLANK(Term2_Day_1[[#This Row],[End]])),"",(Term2_Day_1[[#This Row],[End]]-Term2_Day_1[[#This Row],[Start]])*1440)</calculatedColumnFormula>
    </tableColumn>
    <tableColumn id="5" xr3:uid="{68D2F9D3-3089-4475-B202-BCCC1446BD19}" name="Instructional Time" dataDxfId="1055">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1054">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8:I356" totalsRowShown="0">
  <autoFilter ref="B8:I356"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1197">
      <calculatedColumnFormula>TEXT(Exceptions[[#This Row],[Date]],"MMMM")</calculatedColumnFormula>
    </tableColumn>
    <tableColumn id="1" xr3:uid="{40033CC8-386A-4ECA-8B7B-84F278F6A2E0}" name="Date" dataDxfId="1196">
      <calculatedColumnFormula>+C8+1</calculatedColumnFormula>
    </tableColumn>
    <tableColumn id="2" xr3:uid="{6B3CF310-714F-4FA0-9622-69C9BE78851B}" name="Start" dataDxfId="1195"/>
    <tableColumn id="3" xr3:uid="{DB463AB6-F199-4F39-8430-8516D9C60989}" name="End" dataDxfId="1194"/>
    <tableColumn id="5" xr3:uid="{265B1029-A91B-485B-82BD-BC8FE45B812A}" name="Activity" dataDxfId="1193"/>
    <tableColumn id="4" xr3:uid="{F350D6F8-5C13-4379-A091-4404DC9F303D}" name="Elapsed" dataDxfId="1192">
      <calculatedColumnFormula>IF(OR(ISBLANK(Exceptions[[#This Row],[Start]]),ISBLANK(Exceptions[[#This Row],[End]])),"",(Exceptions[[#This Row],[End]]-Exceptions[[#This Row],[Start]])*1440)</calculatedColumnFormula>
    </tableColumn>
    <tableColumn id="6" xr3:uid="{BE920E3A-37C9-4896-A951-C8C647BDF0C6}" name="Instructional" dataDxfId="1191">
      <calculatedColumnFormula>IF(Exceptions[[#This Row],[Activity]]="Instruction",Exceptions[[#This Row],[Elapsed]],0)</calculatedColumnFormula>
    </tableColumn>
    <tableColumn id="7" xr3:uid="{25F91BDA-F18E-4126-991A-A06CB9EA7537}" name="Assigned Time (Non-Instructional)" dataDxfId="1190">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4:N47" totalsRowShown="0" headerRowDxfId="1053" dataDxfId="1052">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1051"/>
    <tableColumn id="2" xr3:uid="{4F5E4B18-EEA4-4D09-8FB0-4960D85BC944}" name="End" dataDxfId="1050"/>
    <tableColumn id="4" xr3:uid="{A1353C23-47C2-4770-8795-9960A53CD006}" name="Activity" dataDxfId="1049"/>
    <tableColumn id="3" xr3:uid="{87B428F1-CD0D-407D-B611-A840AED20092}" name="Elapsed" dataDxfId="1048">
      <calculatedColumnFormula>IF(OR(ISBLANK(Term2_Day_2[[#This Row],[Start]]),ISBLANK(Term2_Day_2[[#This Row],[End]])),"",(Term2_Day_2[[#This Row],[End]]-Term2_Day_2[[#This Row],[Start]])*1440)</calculatedColumnFormula>
    </tableColumn>
    <tableColumn id="5" xr3:uid="{4FF30FC6-1AA6-49A4-A51C-FE0073E7D070}" name="Instructional Time" dataDxfId="1047">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1046">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4:U47" totalsRowShown="0" headerRowDxfId="1045" dataDxfId="1044">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1043"/>
    <tableColumn id="2" xr3:uid="{7F47BEF3-11DB-40D8-B7A6-2F888FEF9C1E}" name="End" dataDxfId="1042"/>
    <tableColumn id="4" xr3:uid="{8C0B899D-F1E3-4E43-9B4B-BC35095595FF}" name="Activity" dataDxfId="1041"/>
    <tableColumn id="3" xr3:uid="{64CEB236-84C6-44A4-BE23-A30E1783B72E}" name="Elapsed" dataDxfId="1040">
      <calculatedColumnFormula>IF(OR(ISBLANK(Term2_Day_3[[#This Row],[Start]]),ISBLANK(Term2_Day_3[[#This Row],[End]])),"",(Term2_Day_3[[#This Row],[End]]-Term2_Day_3[[#This Row],[Start]])*1440)</calculatedColumnFormula>
    </tableColumn>
    <tableColumn id="5" xr3:uid="{2C5171AB-C266-483A-9B8F-576250BE6776}" name="Instructional Time" dataDxfId="1039">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1038">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4:AB47" totalsRowShown="0" headerRowDxfId="1037" dataDxfId="1036">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1035"/>
    <tableColumn id="2" xr3:uid="{64F11DE3-B0F9-4A6C-8F47-13EB9697797B}" name="End" dataDxfId="1034"/>
    <tableColumn id="4" xr3:uid="{EED05A1F-FEBD-443D-ADCF-D1BCE80DD4FA}" name="Activity" dataDxfId="1033"/>
    <tableColumn id="3" xr3:uid="{38AEB462-3AF1-475D-B03A-40A1ED7D3ACB}" name="Elapsed" dataDxfId="1032">
      <calculatedColumnFormula>IF(OR(ISBLANK(Term2_Day_4[[#This Row],[Start]]),ISBLANK(Term2_Day_4[[#This Row],[End]])),"",(Term2_Day_4[[#This Row],[End]]-Term2_Day_4[[#This Row],[Start]])*1440)</calculatedColumnFormula>
    </tableColumn>
    <tableColumn id="5" xr3:uid="{C201974D-2D3D-4A75-AF53-FCA1353E8D5B}" name="Instructional Time" dataDxfId="1031">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1030">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4:AI47" totalsRowShown="0" headerRowDxfId="1029" dataDxfId="1028">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1027"/>
    <tableColumn id="2" xr3:uid="{662764B1-596C-42D8-A8A3-D29E1B44C413}" name="End" dataDxfId="1026"/>
    <tableColumn id="4" xr3:uid="{F9646F66-AB1D-42B3-99EA-148EE97E77CC}" name="Activity" dataDxfId="1025"/>
    <tableColumn id="3" xr3:uid="{67EEBE3C-72E7-4CA6-B359-08B91BA91474}" name="Elapsed" dataDxfId="1024">
      <calculatedColumnFormula>IF(OR(ISBLANK(Term2_Day_5[[#This Row],[Start]]),ISBLANK(Term2_Day_5[[#This Row],[End]])),"",(Term2_Day_5[[#This Row],[End]]-Term2_Day_5[[#This Row],[Start]])*1440)</calculatedColumnFormula>
    </tableColumn>
    <tableColumn id="5" xr3:uid="{703FFDAB-E548-4A62-BE1E-72B7499A608D}" name="Instructional Time" dataDxfId="1023">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1022">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4:AP47" totalsRowShown="0" headerRowDxfId="1021" dataDxfId="1020">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1019"/>
    <tableColumn id="2" xr3:uid="{9E6B4E1D-20F9-479F-851A-93F2A3869187}" name="End" dataDxfId="1018"/>
    <tableColumn id="4" xr3:uid="{41AE59D1-781F-47DD-8978-8998B32A49B9}" name="Activity" dataDxfId="1017"/>
    <tableColumn id="3" xr3:uid="{E4C9D57A-900B-4CB2-BCE9-D4693FDA4A58}" name="Elapsed" dataDxfId="1016">
      <calculatedColumnFormula>IF(OR(ISBLANK(Term2_Day_6[[#This Row],[Start]]),ISBLANK(Term2_Day_6[[#This Row],[End]])),"",(Term2_Day_6[[#This Row],[End]]-Term2_Day_6[[#This Row],[Start]])*1440)</calculatedColumnFormula>
    </tableColumn>
    <tableColumn id="5" xr3:uid="{7FCEC744-0538-4140-B113-C2B442DCBC58}" name="Instructional Time" dataDxfId="1015">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1014">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4:BR47" totalsRowShown="0" headerRowDxfId="1013" dataDxfId="1012">
  <autoFilter ref="BM14:BR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1011"/>
    <tableColumn id="2" xr3:uid="{0B2C740E-5F19-4E0E-B843-787BB329D860}" name="End" dataDxfId="1010"/>
    <tableColumn id="4" xr3:uid="{DE35AE6B-ED0B-44B5-8DF2-94E250A46CB8}" name="Activity" dataDxfId="1009"/>
    <tableColumn id="3" xr3:uid="{DDDF7361-A060-48CA-8D5A-FAF5A94E36F8}" name="Elapsed" dataDxfId="1008">
      <calculatedColumnFormula>IF(OR(ISBLANK(Term2_Day_10[[#This Row],[Start]]),ISBLANK(Term2_Day_10[[#This Row],[End]])),"",(Term2_Day_10[[#This Row],[End]]-Term2_Day_10[[#This Row],[Start]])*1440)</calculatedColumnFormula>
    </tableColumn>
    <tableColumn id="5" xr3:uid="{007A885A-EFED-4214-BAAE-A31503621E8C}" name="Instructional Time" dataDxfId="1007">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1006">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3:G86" totalsRowShown="0" headerRowDxfId="1005" dataDxfId="1004">
  <autoFilter ref="B53:G86"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1003"/>
    <tableColumn id="2" xr3:uid="{DEE48A16-808D-4738-8E8F-46C4B8789DEA}" name="End" dataDxfId="1002"/>
    <tableColumn id="4" xr3:uid="{43348BD4-E532-4061-9901-010D08D845E6}" name="Activity" dataDxfId="1001"/>
    <tableColumn id="3" xr3:uid="{2F0C4CCA-1A28-4CB6-9439-0A8CB17B042A}" name="Elapsed" dataDxfId="1000">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999">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998">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3:N86" totalsRowShown="0" headerRowDxfId="997" dataDxfId="996">
  <autoFilter ref="I53:N86"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995"/>
    <tableColumn id="2" xr3:uid="{C9469850-3678-4453-ABC8-D769B4E421F0}" name="End" dataDxfId="994"/>
    <tableColumn id="4" xr3:uid="{5BDA274A-CC2B-448D-AA04-294091342042}" name="Activity" dataDxfId="993"/>
    <tableColumn id="3" xr3:uid="{6121D988-6435-46DF-B924-8B591C827B5D}" name="Elapsed" dataDxfId="992">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991">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990">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5:G128" totalsRowShown="0" headerRowDxfId="989" dataDxfId="988">
  <autoFilter ref="B95:G128"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987"/>
    <tableColumn id="2" xr3:uid="{FA7F8132-CAD1-465C-AD96-8253749EEA81}" name="End" dataDxfId="986"/>
    <tableColumn id="4" xr3:uid="{F8A2C888-8303-497C-A534-EEB911086D82}" name="Activity" dataDxfId="985"/>
    <tableColumn id="3" xr3:uid="{CB188E08-F841-4E2E-A5ED-855065C3E784}" name="Elapsed" dataDxfId="984">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983">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982">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5:N128" totalsRowShown="0" headerRowDxfId="981" dataDxfId="980">
  <autoFilter ref="I95:N128"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979"/>
    <tableColumn id="2" xr3:uid="{A68CA384-8D1E-4474-B136-F99F41ED14BD}" name="End" dataDxfId="978"/>
    <tableColumn id="4" xr3:uid="{7F19E971-AF99-45DA-B5EF-BA373D79CBCD}" name="Activity" dataDxfId="977"/>
    <tableColumn id="3" xr3:uid="{DF3F312C-B682-404F-B08D-DF6837E41778}" name="Elapsed" dataDxfId="976">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975">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974">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4:G47" totalsRowShown="0" headerRowDxfId="1189" dataDxfId="1188">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187"/>
    <tableColumn id="2" xr3:uid="{FFA1A771-129B-40FC-8EB7-E19856928E4E}" name="End" dataDxfId="1186"/>
    <tableColumn id="4" xr3:uid="{D85FD6BB-7DC3-4D4D-8220-B0A6A71C8312}" name="Activity" dataDxfId="1185"/>
    <tableColumn id="3" xr3:uid="{B34E2BAA-3324-43DF-8CF0-861D0FA107DD}" name="Elapsed" dataDxfId="1184">
      <calculatedColumnFormula>IF(OR(ISBLANK(Term1_Day_1[[#This Row],[Start]]),ISBLANK(Term1_Day_1[[#This Row],[End]])),"",(Term1_Day_1[[#This Row],[End]]-Term1_Day_1[[#This Row],[Start]])*1440)</calculatedColumnFormula>
    </tableColumn>
    <tableColumn id="5" xr3:uid="{5B2B25B3-79A1-45FB-A082-8F0EDBEAA967}" name="Instructional Time" dataDxfId="1183">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182">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5:U128" totalsRowShown="0" headerRowDxfId="973" dataDxfId="972">
  <autoFilter ref="P95:U128"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971"/>
    <tableColumn id="2" xr3:uid="{7118DEA7-19D2-4E2B-B9E1-E63AE9D1DCAE}" name="End" dataDxfId="970"/>
    <tableColumn id="4" xr3:uid="{79026B32-FBE3-4163-86E4-1C4ACAC0D203}" name="Activity" dataDxfId="969"/>
    <tableColumn id="3" xr3:uid="{30F7F8B3-EF40-4C1D-AE16-96861200AC4F}" name="Elapsed" dataDxfId="968">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967">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966">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3:U86" totalsRowShown="0" headerRowDxfId="965" dataDxfId="964">
  <autoFilter ref="P53:U86"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963"/>
    <tableColumn id="2" xr3:uid="{8C11B563-9050-486F-B0E6-14DD23241574}" name="End" dataDxfId="962"/>
    <tableColumn id="4" xr3:uid="{809DA328-4B56-4B2E-B57D-5EC308007701}" name="Activity" dataDxfId="961"/>
    <tableColumn id="3" xr3:uid="{95E9AE4D-CD6C-4818-A349-8B4AC05A97DE}" name="Elapsed" dataDxfId="960">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959">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958">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4:AW47" totalsRowShown="0" headerRowDxfId="957" dataDxfId="956">
  <autoFilter ref="AR14:AW47"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955"/>
    <tableColumn id="2" xr3:uid="{B8E43CBD-1D97-44D3-9FA4-A6324540EF5B}" name="End" dataDxfId="954"/>
    <tableColumn id="4" xr3:uid="{81C7CEF1-B664-47C1-9F1F-D79623F6610C}" name="Activity" dataDxfId="953"/>
    <tableColumn id="3" xr3:uid="{7E5EDF5D-5179-421C-AAB1-EC6AD48DABF3}" name="Elapsed" dataDxfId="952">
      <calculatedColumnFormula>IF(OR(ISBLANK(Term2_Day_7[[#This Row],[Start]]),ISBLANK(Term2_Day_7[[#This Row],[End]])),"",(Term2_Day_7[[#This Row],[End]]-Term2_Day_7[[#This Row],[Start]])*1440)</calculatedColumnFormula>
    </tableColumn>
    <tableColumn id="5" xr3:uid="{1A42EE9F-46DF-4D1B-8986-3370E81D3AB3}" name="Instructional Time" dataDxfId="951">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950">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4:BD47" totalsRowShown="0" headerRowDxfId="949" dataDxfId="948">
  <autoFilter ref="AY14:BD47"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947"/>
    <tableColumn id="2" xr3:uid="{73207271-C93B-47D7-9C26-7FDABD52D423}" name="End" dataDxfId="946"/>
    <tableColumn id="4" xr3:uid="{CB872A83-5F9B-4EC9-ADCF-55E61200D479}" name="Activity" dataDxfId="945"/>
    <tableColumn id="3" xr3:uid="{E0C9B3C8-23ED-4A2C-AABE-B21BBF9213A7}" name="Elapsed" dataDxfId="944">
      <calculatedColumnFormula>IF(OR(ISBLANK(Term2_Day_8[[#This Row],[Start]]),ISBLANK(Term2_Day_8[[#This Row],[End]])),"",(Term2_Day_8[[#This Row],[End]]-Term2_Day_8[[#This Row],[Start]])*1440)</calculatedColumnFormula>
    </tableColumn>
    <tableColumn id="5" xr3:uid="{25585D8B-B760-4281-B610-AD79D801DAC0}" name="Instructional Time" dataDxfId="943">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942">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4:BK47" totalsRowShown="0" headerRowDxfId="941" dataDxfId="940">
  <autoFilter ref="BF14:BK47"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939"/>
    <tableColumn id="2" xr3:uid="{C3746E37-854F-461B-9253-08F58072DAE2}" name="End" dataDxfId="938"/>
    <tableColumn id="4" xr3:uid="{4FEA3510-BF33-43CB-8B4C-14A200BFD7EF}" name="Activity" dataDxfId="937"/>
    <tableColumn id="3" xr3:uid="{E5EC16A6-CE34-43CD-BBED-314F5F6A0204}" name="Elapsed" dataDxfId="936">
      <calculatedColumnFormula>IF(OR(ISBLANK(Term2_Day_9[[#This Row],[Start]]),ISBLANK(Term2_Day_9[[#This Row],[End]])),"",(Term2_Day_9[[#This Row],[End]]-Term2_Day_9[[#This Row],[Start]])*1440)</calculatedColumnFormula>
    </tableColumn>
    <tableColumn id="5" xr3:uid="{494C6B67-67E6-454F-B446-6B0959B7CD2C}" name="Instructional Time" dataDxfId="935">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934">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4:G47" totalsRowShown="0" headerRowDxfId="933" dataDxfId="932">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931"/>
    <tableColumn id="2" xr3:uid="{B9B89137-8CFC-4F53-91B1-5348F3E5AD5F}" name="End" dataDxfId="930"/>
    <tableColumn id="4" xr3:uid="{79E28F67-ABC2-4701-A46C-BDC25E7CDC8D}" name="Activity" dataDxfId="929"/>
    <tableColumn id="3" xr3:uid="{1027FC55-0218-4FB1-BD3C-49B9DEEABF78}" name="Elapsed" dataDxfId="928">
      <calculatedColumnFormula>IF(OR(ISBLANK(Term3_Day_1[[#This Row],[Start]]),ISBLANK(Term3_Day_1[[#This Row],[End]])),"",(Term3_Day_1[[#This Row],[End]]-Term3_Day_1[[#This Row],[Start]])*1440)</calculatedColumnFormula>
    </tableColumn>
    <tableColumn id="5" xr3:uid="{F55E5205-5688-467E-838D-E1163ADD402B}" name="Instructional Time" dataDxfId="9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9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4:N47" totalsRowShown="0" headerRowDxfId="925" dataDxfId="924">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923"/>
    <tableColumn id="2" xr3:uid="{027481C6-808B-477D-95E4-EEE7507A417C}" name="End" dataDxfId="922"/>
    <tableColumn id="4" xr3:uid="{5F611680-5D59-46AD-8687-782F388970F0}" name="Activity" dataDxfId="921"/>
    <tableColumn id="3" xr3:uid="{B8EACC22-7745-4372-AB73-39BC2AD477CD}" name="Elapsed" dataDxfId="920">
      <calculatedColumnFormula>IF(OR(ISBLANK(Term3_Day_2[[#This Row],[Start]]),ISBLANK(Term3_Day_2[[#This Row],[End]])),"",(Term3_Day_2[[#This Row],[End]]-Term3_Day_2[[#This Row],[Start]])*1440)</calculatedColumnFormula>
    </tableColumn>
    <tableColumn id="5" xr3:uid="{AFD464FB-3F6A-4792-9146-E6A6E84C0514}" name="Instructional Time" dataDxfId="9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9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4:U47" totalsRowShown="0" headerRowDxfId="917" dataDxfId="916">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915"/>
    <tableColumn id="2" xr3:uid="{1428D8DA-7017-4B0B-A18F-19C07E68F9DB}" name="End" dataDxfId="914"/>
    <tableColumn id="4" xr3:uid="{ED4CB978-5072-4214-ACF2-6EC8BA67D8BB}" name="Activity" dataDxfId="913"/>
    <tableColumn id="3" xr3:uid="{3B8A87A5-69FE-4252-8819-07D0B9DFF4A9}" name="Elapsed" dataDxfId="912">
      <calculatedColumnFormula>IF(OR(ISBLANK(Term3_Day_3[[#This Row],[Start]]),ISBLANK(Term3_Day_3[[#This Row],[End]])),"",(Term3_Day_3[[#This Row],[End]]-Term3_Day_3[[#This Row],[Start]])*1440)</calculatedColumnFormula>
    </tableColumn>
    <tableColumn id="5" xr3:uid="{145BB7DD-0792-446A-B05C-83965D49B65F}" name="Instructional Time" dataDxfId="9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9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4:AB47" totalsRowShown="0" headerRowDxfId="909" dataDxfId="908">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907"/>
    <tableColumn id="2" xr3:uid="{B5BC0360-3195-4B12-9DCE-6C719121B7BA}" name="End" dataDxfId="906"/>
    <tableColumn id="4" xr3:uid="{45F2E754-DA11-4992-BE42-3D3C31C9BF84}" name="Activity" dataDxfId="905"/>
    <tableColumn id="3" xr3:uid="{F7AD8F1D-194D-4661-AEF4-01E004DE98FB}" name="Elapsed" dataDxfId="904">
      <calculatedColumnFormula>IF(OR(ISBLANK(Term3_Day_4[[#This Row],[Start]]),ISBLANK(Term3_Day_4[[#This Row],[End]])),"",(Term3_Day_4[[#This Row],[End]]-Term3_Day_4[[#This Row],[Start]])*1440)</calculatedColumnFormula>
    </tableColumn>
    <tableColumn id="5" xr3:uid="{335C54A6-1DAA-4412-8777-4DE8D610F0F6}" name="Instructional Time" dataDxfId="9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9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4:AI47" totalsRowShown="0" headerRowDxfId="901" dataDxfId="900">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899"/>
    <tableColumn id="2" xr3:uid="{848EC7A1-A382-4DFE-AAF6-B067F6FD4713}" name="End" dataDxfId="898"/>
    <tableColumn id="4" xr3:uid="{3E604C95-312E-49FD-9D40-3E00339CE66F}" name="Activity" dataDxfId="897"/>
    <tableColumn id="3" xr3:uid="{0DA93A49-F6C5-4A69-8CEB-CD67D8B60A00}" name="Elapsed" dataDxfId="896">
      <calculatedColumnFormula>IF(OR(ISBLANK(Term3_Day_5[[#This Row],[Start]]),ISBLANK(Term3_Day_5[[#This Row],[End]])),"",(Term3_Day_5[[#This Row],[End]]-Term3_Day_5[[#This Row],[Start]])*1440)</calculatedColumnFormula>
    </tableColumn>
    <tableColumn id="5" xr3:uid="{912E8747-7A31-4C2B-865F-2B9294B4C21A}" name="Instructional Time" dataDxfId="8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8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4:N47" totalsRowShown="0" headerRowDxfId="1181" dataDxfId="1180">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179"/>
    <tableColumn id="2" xr3:uid="{1B31E791-1DED-4550-B5AC-8F2A66129043}" name="End" dataDxfId="1178"/>
    <tableColumn id="4" xr3:uid="{DEF54CAB-F509-41B5-AEA9-E188267622D7}" name="Activity" dataDxfId="1177"/>
    <tableColumn id="3" xr3:uid="{392AF11F-2E2A-4BCC-A22E-E8016620E4B9}" name="Elapsed" dataDxfId="1176">
      <calculatedColumnFormula>IF(OR(ISBLANK(Term1_Day_2[[#This Row],[Start]]),ISBLANK(Term1_Day_2[[#This Row],[End]])),"",(Term1_Day_2[[#This Row],[End]]-Term1_Day_2[[#This Row],[Start]])*1440)</calculatedColumnFormula>
    </tableColumn>
    <tableColumn id="5" xr3:uid="{8F3F72F2-843F-4D88-B2E6-3DCFB7C4FEFC}" name="Instructional Time" dataDxfId="1175">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174">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4:AP47" totalsRowShown="0" headerRowDxfId="893" dataDxfId="892">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891"/>
    <tableColumn id="2" xr3:uid="{B40AD160-8C5E-4F48-9340-6B9E5EE75157}" name="End" dataDxfId="890"/>
    <tableColumn id="4" xr3:uid="{80EE5928-7DDF-41FE-ADE0-337192002DB7}" name="Activity" dataDxfId="889"/>
    <tableColumn id="3" xr3:uid="{5D6382E2-B9BA-4D1D-8271-AEF12BF36428}" name="Elapsed" dataDxfId="888">
      <calculatedColumnFormula>IF(OR(ISBLANK(Term3_Day_6[[#This Row],[Start]]),ISBLANK(Term3_Day_6[[#This Row],[End]])),"",(Term3_Day_6[[#This Row],[End]]-Term3_Day_6[[#This Row],[Start]])*1440)</calculatedColumnFormula>
    </tableColumn>
    <tableColumn id="5" xr3:uid="{A209726D-F294-4CA2-BA11-D7A7F73F469D}" name="Instructional Time" dataDxfId="8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8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4:BR47" totalsRowShown="0" headerRowDxfId="885" dataDxfId="884">
  <autoFilter ref="BM14:BR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883"/>
    <tableColumn id="2" xr3:uid="{2E8843B6-06AE-4DFE-81AC-1F0DD0A076A7}" name="End" dataDxfId="882"/>
    <tableColumn id="4" xr3:uid="{61C259DE-16A8-4BC8-B9FD-7C3A0FBBC5A0}" name="Activity" dataDxfId="881"/>
    <tableColumn id="3" xr3:uid="{B872D6D4-E4A5-49A0-8776-6A158739E3BE}" name="Elapsed" dataDxfId="880">
      <calculatedColumnFormula>IF(OR(ISBLANK(Term3_Day_10[[#This Row],[Start]]),ISBLANK(Term3_Day_10[[#This Row],[End]])),"",(Term3_Day_10[[#This Row],[End]]-Term3_Day_10[[#This Row],[Start]])*1440)</calculatedColumnFormula>
    </tableColumn>
    <tableColumn id="5" xr3:uid="{83FDCCFC-6107-4346-BF9B-232A068AB7A7}" name="Instructional Time" dataDxfId="8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8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3:G86" totalsRowShown="0" headerRowDxfId="877" dataDxfId="876">
  <autoFilter ref="B53:G86"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875"/>
    <tableColumn id="2" xr3:uid="{EA65AD24-5B14-4357-AD81-C74033693134}" name="End" dataDxfId="874"/>
    <tableColumn id="4" xr3:uid="{F3FF3153-A2CE-44C1-A073-77080B862CB4}" name="Activity" dataDxfId="873"/>
    <tableColumn id="3" xr3:uid="{3847BA0A-6F11-4F43-8057-4BDDB3B368B8}" name="Elapsed" dataDxfId="8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8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8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3:N86" totalsRowShown="0" headerRowDxfId="869" dataDxfId="868">
  <autoFilter ref="I53:N86"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867"/>
    <tableColumn id="2" xr3:uid="{2F1BB871-20C0-493E-A9CF-78EB9AA472BE}" name="End" dataDxfId="866"/>
    <tableColumn id="4" xr3:uid="{BB58115C-BF90-4EA5-B8C7-853449C04E69}" name="Activity" dataDxfId="865"/>
    <tableColumn id="3" xr3:uid="{25EBCA3B-0BC6-4645-BB96-BBD89C3C5619}" name="Elapsed" dataDxfId="8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8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8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5:G128" totalsRowShown="0" headerRowDxfId="861" dataDxfId="860">
  <autoFilter ref="B95:G128"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859"/>
    <tableColumn id="2" xr3:uid="{7A0FB7E7-5292-42BE-AF21-8A4EAE012973}" name="End" dataDxfId="858"/>
    <tableColumn id="4" xr3:uid="{EE820A31-6585-4337-8247-3C8533E990B3}" name="Activity" dataDxfId="857"/>
    <tableColumn id="3" xr3:uid="{D05FC5E8-A578-4496-BB37-A2663836DD20}" name="Elapsed" dataDxfId="8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8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8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5:N128" totalsRowShown="0" headerRowDxfId="853" dataDxfId="852">
  <autoFilter ref="I95:N128"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51"/>
    <tableColumn id="2" xr3:uid="{63F3D8D5-7A65-4B30-9CD9-4CDFC936E91D}" name="End" dataDxfId="850"/>
    <tableColumn id="4" xr3:uid="{FF033A7F-D68D-4125-AE98-22FA384869AC}" name="Activity" dataDxfId="849"/>
    <tableColumn id="3" xr3:uid="{0481A9CE-3F26-48C6-99DF-2AEB20F83829}" name="Elapsed" dataDxfId="8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8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8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5:U128" totalsRowShown="0" headerRowDxfId="845" dataDxfId="844">
  <autoFilter ref="P95:U128"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843"/>
    <tableColumn id="2" xr3:uid="{03F896A0-1788-4B21-B42E-390D374083B8}" name="End" dataDxfId="842"/>
    <tableColumn id="4" xr3:uid="{7BD936E8-06E1-4C4D-8119-F94BDBAF97EF}" name="Activity" dataDxfId="841"/>
    <tableColumn id="3" xr3:uid="{74AE980B-971E-440E-9DC8-0A3D1051885A}" name="Elapsed" dataDxfId="8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8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8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3:U86" totalsRowShown="0" headerRowDxfId="837" dataDxfId="836">
  <autoFilter ref="P53:U86"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835"/>
    <tableColumn id="2" xr3:uid="{59DD13D2-AF93-42BF-8ED0-9B7992866406}" name="End" dataDxfId="834"/>
    <tableColumn id="4" xr3:uid="{863C3555-EB11-4D65-8F8F-4879E3190537}" name="Activity" dataDxfId="833"/>
    <tableColumn id="3" xr3:uid="{490F0A2B-9BB8-4157-882A-C03D20590EFF}" name="Elapsed" dataDxfId="8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8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8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4:AW47" totalsRowShown="0" headerRowDxfId="829" dataDxfId="828">
  <autoFilter ref="AR14:AW47"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827"/>
    <tableColumn id="2" xr3:uid="{8F1D7DC0-6B3F-468B-A00A-D9499E53D7F2}" name="End" dataDxfId="826"/>
    <tableColumn id="4" xr3:uid="{A830CDAC-2103-4252-AE99-BDCBBC83824E}" name="Activity" dataDxfId="825"/>
    <tableColumn id="3" xr3:uid="{B3F080A0-F664-453B-A6B7-3CE978B3ADCB}" name="Elapsed" dataDxfId="824">
      <calculatedColumnFormula>IF(OR(ISBLANK(Term3_Day_7[[#This Row],[Start]]),ISBLANK(Term3_Day_7[[#This Row],[End]])),"",(Term3_Day_7[[#This Row],[End]]-Term3_Day_7[[#This Row],[Start]])*1440)</calculatedColumnFormula>
    </tableColumn>
    <tableColumn id="5" xr3:uid="{59B52BC2-9A4E-4786-872F-464590C1BDA3}" name="Instructional Time" dataDxfId="8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8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4:BD47" totalsRowShown="0" headerRowDxfId="821" dataDxfId="820">
  <autoFilter ref="AY14:BD47"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819"/>
    <tableColumn id="2" xr3:uid="{50BD227A-3F67-4A25-97BC-CED2656AA4F7}" name="End" dataDxfId="818"/>
    <tableColumn id="4" xr3:uid="{19A86368-E224-4856-A1A1-3C2AAAA6C08E}" name="Activity" dataDxfId="817"/>
    <tableColumn id="3" xr3:uid="{1F277888-6AEB-4769-91C3-1AD5C5D3F596}" name="Elapsed" dataDxfId="816">
      <calculatedColumnFormula>IF(OR(ISBLANK(Term3_Day_8[[#This Row],[Start]]),ISBLANK(Term3_Day_8[[#This Row],[End]])),"",(Term3_Day_8[[#This Row],[End]]-Term3_Day_8[[#This Row],[Start]])*1440)</calculatedColumnFormula>
    </tableColumn>
    <tableColumn id="5" xr3:uid="{2112893D-9D1D-4528-9669-80C8B5CC38F6}" name="Instructional Time" dataDxfId="8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8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4:U47" totalsRowShown="0" headerRowDxfId="1173" dataDxfId="1172">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171"/>
    <tableColumn id="2" xr3:uid="{9219D9CE-63A5-4037-9038-9EA5A8569538}" name="End" dataDxfId="1170"/>
    <tableColumn id="4" xr3:uid="{1EA6C84A-AC00-4C2D-A4F3-C1EBC3055BA1}" name="Activity" dataDxfId="1169"/>
    <tableColumn id="3" xr3:uid="{BEFB152F-A5FC-404B-874B-5B865A6B0139}" name="Elapsed" dataDxfId="1168">
      <calculatedColumnFormula>IF(OR(ISBLANK(Term1_Day_3[[#This Row],[Start]]),ISBLANK(Term1_Day_3[[#This Row],[End]])),"",(Term1_Day_3[[#This Row],[End]]-Term1_Day_3[[#This Row],[Start]])*1440)</calculatedColumnFormula>
    </tableColumn>
    <tableColumn id="5" xr3:uid="{5278934E-8FAA-4908-9EDB-9EEC9978C2A3}" name="Instructional Time" dataDxfId="1167">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166">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4:BK47" totalsRowShown="0" headerRowDxfId="813" dataDxfId="812">
  <autoFilter ref="BF14:BK47"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811"/>
    <tableColumn id="2" xr3:uid="{0FE9D3C2-63EF-4854-96C1-469C65AC9636}" name="End" dataDxfId="810"/>
    <tableColumn id="4" xr3:uid="{023DDACB-2E26-4063-801D-0A301958120B}" name="Activity" dataDxfId="809"/>
    <tableColumn id="3" xr3:uid="{2FA8CF55-BD2C-4E73-AFF2-728F311CDEC7}" name="Elapsed" dataDxfId="808">
      <calculatedColumnFormula>IF(OR(ISBLANK(Term3_Day_9[[#This Row],[Start]]),ISBLANK(Term3_Day_9[[#This Row],[End]])),"",(Term3_Day_9[[#This Row],[End]]-Term3_Day_9[[#This Row],[Start]])*1440)</calculatedColumnFormula>
    </tableColumn>
    <tableColumn id="5" xr3:uid="{73D323B6-751F-4702-8F86-394BD370A812}" name="Instructional Time" dataDxfId="8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8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4:G47" totalsRowShown="0" headerRowDxfId="805" dataDxfId="804">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803"/>
    <tableColumn id="2" xr3:uid="{292B31D2-4234-4516-9DDD-4A8790489882}" name="End" dataDxfId="802"/>
    <tableColumn id="4" xr3:uid="{7EC009A9-3319-4C28-9771-D8AC69A14551}" name="Activity" dataDxfId="801"/>
    <tableColumn id="3" xr3:uid="{CFBDFD8D-399F-4453-9ED2-174A301EF7E1}" name="Elapsed" dataDxfId="800">
      <calculatedColumnFormula>IF(OR(ISBLANK(Term4_Day_1[[#This Row],[Start]]),ISBLANK(Term4_Day_1[[#This Row],[End]])),"",(Term4_Day_1[[#This Row],[End]]-Term4_Day_1[[#This Row],[Start]])*1440)</calculatedColumnFormula>
    </tableColumn>
    <tableColumn id="5" xr3:uid="{67877A2B-5DB8-4212-A9D0-65EC55961ED4}" name="Instructional Time" dataDxfId="799">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798">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4:N47" totalsRowShown="0" headerRowDxfId="797" dataDxfId="796">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795"/>
    <tableColumn id="2" xr3:uid="{D25FDDF6-1A62-4A21-9E04-0CA2B92DAD6C}" name="End" dataDxfId="794"/>
    <tableColumn id="4" xr3:uid="{EF09BA31-0E6F-48BC-91F6-02053CC9BC08}" name="Activity" dataDxfId="793"/>
    <tableColumn id="3" xr3:uid="{EBBFC59B-1F5F-43E8-A443-9491EC7F0896}" name="Elapsed" dataDxfId="792">
      <calculatedColumnFormula>IF(OR(ISBLANK(Term4_Day_2[[#This Row],[Start]]),ISBLANK(Term4_Day_2[[#This Row],[End]])),"",(Term4_Day_2[[#This Row],[End]]-Term4_Day_2[[#This Row],[Start]])*1440)</calculatedColumnFormula>
    </tableColumn>
    <tableColumn id="5" xr3:uid="{B2E64C3D-652B-4A37-B3B5-AAEB76C3E250}" name="Instructional Time" dataDxfId="791">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790">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4:U47" totalsRowShown="0" headerRowDxfId="789" dataDxfId="788">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787"/>
    <tableColumn id="2" xr3:uid="{98952826-50DE-4E76-B24F-91CF60C459D2}" name="End" dataDxfId="786"/>
    <tableColumn id="4" xr3:uid="{2DD84657-C2E9-4483-9758-30B3893441F6}" name="Activity" dataDxfId="785"/>
    <tableColumn id="3" xr3:uid="{77A33473-A8B2-46BB-BC3B-2B3224642A94}" name="Elapsed" dataDxfId="784">
      <calculatedColumnFormula>IF(OR(ISBLANK(Term4_Day_3[[#This Row],[Start]]),ISBLANK(Term4_Day_3[[#This Row],[End]])),"",(Term4_Day_3[[#This Row],[End]]-Term4_Day_3[[#This Row],[Start]])*1440)</calculatedColumnFormula>
    </tableColumn>
    <tableColumn id="5" xr3:uid="{EC92A205-6563-48B5-A65B-C856BFA69A02}" name="Instructional Time" dataDxfId="783">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782">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4:AB47" totalsRowShown="0" headerRowDxfId="781" dataDxfId="780">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779"/>
    <tableColumn id="2" xr3:uid="{40AE573C-1855-4B32-8B02-8FBFEB9223CC}" name="End" dataDxfId="778"/>
    <tableColumn id="4" xr3:uid="{6A1331AF-0D23-41C1-A8CB-46CE1737A3F7}" name="Activity" dataDxfId="777"/>
    <tableColumn id="3" xr3:uid="{18BB8417-78FA-407C-B743-9EEA93374B84}" name="Elapsed" dataDxfId="776">
      <calculatedColumnFormula>IF(OR(ISBLANK(Term4_Day_4[[#This Row],[Start]]),ISBLANK(Term4_Day_4[[#This Row],[End]])),"",(Term4_Day_4[[#This Row],[End]]-Term4_Day_4[[#This Row],[Start]])*1440)</calculatedColumnFormula>
    </tableColumn>
    <tableColumn id="5" xr3:uid="{FC2F9C05-443E-4E77-853D-4933C7BF337D}" name="Instructional Time" dataDxfId="775">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74">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4:AI47" totalsRowShown="0" headerRowDxfId="773" dataDxfId="772">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71"/>
    <tableColumn id="2" xr3:uid="{FEE8C15E-9940-4E5E-B570-9754752EC22F}" name="End" dataDxfId="770"/>
    <tableColumn id="4" xr3:uid="{02CEB08C-3D50-497E-A995-D4B86100B67C}" name="Activity" dataDxfId="769"/>
    <tableColumn id="3" xr3:uid="{9E793A67-E893-4BCB-BA42-0856963B37EB}" name="Elapsed" dataDxfId="768">
      <calculatedColumnFormula>IF(OR(ISBLANK(Term4_Day_5[[#This Row],[Start]]),ISBLANK(Term4_Day_5[[#This Row],[End]])),"",(Term4_Day_5[[#This Row],[End]]-Term4_Day_5[[#This Row],[Start]])*1440)</calculatedColumnFormula>
    </tableColumn>
    <tableColumn id="5" xr3:uid="{28DC365E-3425-48EA-AFEA-6FDB86405F65}" name="Instructional Time" dataDxfId="767">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66">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4:AP47" totalsRowShown="0" headerRowDxfId="765" dataDxfId="764">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63"/>
    <tableColumn id="2" xr3:uid="{BDC2B9A4-B3D8-4906-8DA2-749851B5B39B}" name="End" dataDxfId="762"/>
    <tableColumn id="4" xr3:uid="{C0CAB3EC-C23A-4838-927D-37D53A812998}" name="Activity" dataDxfId="761"/>
    <tableColumn id="3" xr3:uid="{7FF38EF9-3598-4B0A-9DF2-4CE832B9BB3B}" name="Elapsed" dataDxfId="760">
      <calculatedColumnFormula>IF(OR(ISBLANK(Term4_Day_6[[#This Row],[Start]]),ISBLANK(Term4_Day_6[[#This Row],[End]])),"",(Term4_Day_6[[#This Row],[End]]-Term4_Day_6[[#This Row],[Start]])*1440)</calculatedColumnFormula>
    </tableColumn>
    <tableColumn id="5" xr3:uid="{EACE5EA0-C7C7-4452-8D28-0B7CD999A757}" name="Instructional Time" dataDxfId="759">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58">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4:BR47" totalsRowShown="0" headerRowDxfId="757" dataDxfId="756">
  <autoFilter ref="BM14:BR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55"/>
    <tableColumn id="2" xr3:uid="{DEBCE743-1A0D-471F-9C7B-77314A5C08CD}" name="End" dataDxfId="754"/>
    <tableColumn id="4" xr3:uid="{93355F63-A5EC-4170-8BDF-CE19A4E6A3DB}" name="Activity" dataDxfId="753"/>
    <tableColumn id="3" xr3:uid="{D104ACF3-3539-449D-9012-AD12E6B5DDC4}" name="Elapsed" dataDxfId="752">
      <calculatedColumnFormula>IF(OR(ISBLANK(Term4_Day_10[[#This Row],[Start]]),ISBLANK(Term4_Day_10[[#This Row],[End]])),"",(Term4_Day_10[[#This Row],[End]]-Term4_Day_10[[#This Row],[Start]])*1440)</calculatedColumnFormula>
    </tableColumn>
    <tableColumn id="5" xr3:uid="{EB963D2C-AEF3-4854-97F1-3045A0240B52}" name="Instructional Time" dataDxfId="751">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50">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3:G86" totalsRowShown="0" headerRowDxfId="749" dataDxfId="748">
  <autoFilter ref="B53:G86"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47"/>
    <tableColumn id="2" xr3:uid="{20FE7D8B-355A-4BE1-992D-622A686969E6}" name="End" dataDxfId="746"/>
    <tableColumn id="4" xr3:uid="{85CA907B-6266-4A45-9F4F-C89E35239367}" name="Activity" dataDxfId="745"/>
    <tableColumn id="3" xr3:uid="{90A71C1E-7393-432F-A418-86A83417557A}" name="Elapsed" dataDxfId="744">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43">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42">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3:N86" totalsRowShown="0" headerRowDxfId="741" dataDxfId="740">
  <autoFilter ref="I53:N86"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39"/>
    <tableColumn id="2" xr3:uid="{09400ACC-531F-49CE-BAF2-A6B4A187C971}" name="End" dataDxfId="738"/>
    <tableColumn id="4" xr3:uid="{9838BA9B-62B7-42C3-BC73-61EE4182F3E6}" name="Activity" dataDxfId="737"/>
    <tableColumn id="3" xr3:uid="{58DDDC81-B4B2-4D53-A21D-88C1F42A7455}" name="Elapsed" dataDxfId="736">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35">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34">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4:AB47" totalsRowShown="0" headerRowDxfId="1165" dataDxfId="1164">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163"/>
    <tableColumn id="2" xr3:uid="{AB841691-2A45-4B98-B7A3-955F418D8A60}" name="End" dataDxfId="1162"/>
    <tableColumn id="4" xr3:uid="{A2E49AEA-1E96-45FB-B3E6-7D1BE1C00E88}" name="Activity" dataDxfId="1161"/>
    <tableColumn id="3" xr3:uid="{AE1362DE-36CB-4D85-82D3-9893624737EC}" name="Elapsed" dataDxfId="1160">
      <calculatedColumnFormula>IF(OR(ISBLANK(Term1_Day_4[[#This Row],[Start]]),ISBLANK(Term1_Day_4[[#This Row],[End]])),"",(Term1_Day_4[[#This Row],[End]]-Term1_Day_4[[#This Row],[Start]])*1440)</calculatedColumnFormula>
    </tableColumn>
    <tableColumn id="5" xr3:uid="{306591DF-A25F-4CAB-92CE-A53C0A206200}" name="Instructional Time" dataDxfId="1159">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158">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5:G128" totalsRowShown="0" headerRowDxfId="733" dataDxfId="732">
  <autoFilter ref="B95:G128"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31"/>
    <tableColumn id="2" xr3:uid="{91567121-6736-4FBE-AD21-B480C0E8DAC3}" name="End" dataDxfId="730"/>
    <tableColumn id="4" xr3:uid="{3F45F77B-8F22-458A-9F28-56D028877CE2}" name="Activity" dataDxfId="729"/>
    <tableColumn id="3" xr3:uid="{1C50C5F0-BE18-498E-9D22-7BDFDA4C3A08}" name="Elapsed" dataDxfId="728">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27">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26">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5:N128" totalsRowShown="0" headerRowDxfId="725" dataDxfId="724">
  <autoFilter ref="I95:N128"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723"/>
    <tableColumn id="2" xr3:uid="{8778567B-ABE7-4DBF-90BF-96129BC47660}" name="End" dataDxfId="722"/>
    <tableColumn id="4" xr3:uid="{249B7200-0E90-4FF4-8D1D-D8584E36DEA6}" name="Activity" dataDxfId="721"/>
    <tableColumn id="3" xr3:uid="{E725446B-CC1F-4C80-A9FF-1E05615ABC17}" name="Elapsed" dataDxfId="720">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719">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718">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3:U86" totalsRowShown="0" headerRowDxfId="717" dataDxfId="716">
  <autoFilter ref="P53:U86"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715"/>
    <tableColumn id="2" xr3:uid="{83837AE2-D42B-4811-B469-CE489B4C5E8F}" name="End" dataDxfId="714"/>
    <tableColumn id="4" xr3:uid="{A7D9AABD-4E20-4367-AC83-F138648C352D}" name="Activity" dataDxfId="713"/>
    <tableColumn id="3" xr3:uid="{62E8FEA5-74D7-478F-B875-A9D79C28F2A3}" name="Elapsed" dataDxfId="712">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711">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710">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5:U128" totalsRowShown="0" headerRowDxfId="709" dataDxfId="708">
  <autoFilter ref="P95:U128"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707"/>
    <tableColumn id="2" xr3:uid="{A4347588-A2ED-4B1C-B0B2-6DE0E54CF85A}" name="End" dataDxfId="706"/>
    <tableColumn id="4" xr3:uid="{862ED852-220E-456D-8DA5-3198A1F58BD6}" name="Activity" dataDxfId="705"/>
    <tableColumn id="3" xr3:uid="{FC10F368-C1C7-4BE5-B96B-2F374F5B470E}" name="Elapsed" dataDxfId="704">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703">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702">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4:AW47" totalsRowShown="0" headerRowDxfId="701" dataDxfId="700">
  <autoFilter ref="AR14:AW47"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699"/>
    <tableColumn id="2" xr3:uid="{806134C9-6C5C-4286-BB80-3EEFA71F10A4}" name="End" dataDxfId="698"/>
    <tableColumn id="4" xr3:uid="{136D6671-1DE6-47A6-8AE7-87FF0824DCF2}" name="Activity" dataDxfId="697"/>
    <tableColumn id="3" xr3:uid="{1AF1C586-8C94-4077-BD41-2680B98D6600}" name="Elapsed" dataDxfId="696">
      <calculatedColumnFormula>IF(OR(ISBLANK(Term4_Day_7[[#This Row],[Start]]),ISBLANK(Term4_Day_7[[#This Row],[End]])),"",(Term4_Day_7[[#This Row],[End]]-Term4_Day_7[[#This Row],[Start]])*1440)</calculatedColumnFormula>
    </tableColumn>
    <tableColumn id="5" xr3:uid="{F457EBE5-1E82-467B-908C-6AFF95348A88}" name="Instructional Time" dataDxfId="695">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694">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4:BD47" totalsRowShown="0" headerRowDxfId="693" dataDxfId="692">
  <autoFilter ref="AY14:BD47"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691"/>
    <tableColumn id="2" xr3:uid="{B6FF3AEB-658C-44A4-9379-F19D52C5F248}" name="End" dataDxfId="690"/>
    <tableColumn id="4" xr3:uid="{1D392B8D-12C4-40C2-AE4C-8AAD70BDA1E1}" name="Activity" dataDxfId="689"/>
    <tableColumn id="3" xr3:uid="{36D25592-E820-4E9B-A53B-C08A358D9E98}" name="Elapsed" dataDxfId="688">
      <calculatedColumnFormula>IF(OR(ISBLANK(Term4_Day_8[[#This Row],[Start]]),ISBLANK(Term4_Day_8[[#This Row],[End]])),"",(Term4_Day_8[[#This Row],[End]]-Term4_Day_8[[#This Row],[Start]])*1440)</calculatedColumnFormula>
    </tableColumn>
    <tableColumn id="5" xr3:uid="{083B479E-4741-488E-B773-C5FA31A0F34D}" name="Instructional Time" dataDxfId="687">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686">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4:BK47" totalsRowShown="0" headerRowDxfId="685" dataDxfId="684">
  <autoFilter ref="BF14:BK47"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683"/>
    <tableColumn id="2" xr3:uid="{65FDA9AB-B8E8-495A-95C7-F4FFFC5B2F0B}" name="End" dataDxfId="682"/>
    <tableColumn id="4" xr3:uid="{91417F09-279A-4095-982F-5B240806C616}" name="Activity" dataDxfId="681"/>
    <tableColumn id="3" xr3:uid="{33A07C4B-2E7A-423A-A54C-11FFFE72DD0B}" name="Elapsed" dataDxfId="680">
      <calculatedColumnFormula>IF(OR(ISBLANK(Term4_Day_9[[#This Row],[Start]]),ISBLANK(Term4_Day_9[[#This Row],[End]])),"",(Term4_Day_9[[#This Row],[End]]-Term4_Day_9[[#This Row],[Start]])*1440)</calculatedColumnFormula>
    </tableColumn>
    <tableColumn id="5" xr3:uid="{E70A7C1E-DB68-439D-A52B-A1D0CFD96D9B}" name="Instructional Time" dataDxfId="679">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678">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75" totalsRowShown="0">
  <autoFilter ref="AB3:AF75" xr:uid="{484869DC-DCA8-420F-A271-7A1037E0ADE1}"/>
  <tableColumns count="5">
    <tableColumn id="1" xr3:uid="{54F7C4A3-C047-4014-84CB-B1D927733D11}" name="Day"/>
    <tableColumn id="5" xr3:uid="{6717E8FE-8861-43FF-A4B0-14889EF84CA0}" name="Term"/>
    <tableColumn id="2" xr3:uid="{0DA5584F-9AFE-4D2C-A501-AA01E40D988B}" name="Instruction" dataDxfId="677"/>
    <tableColumn id="3" xr3:uid="{83E88585-1250-437D-9A28-FBB2B1C52E93}" name="Non-Instruction" dataDxfId="676"/>
    <tableColumn id="4" xr3:uid="{663B6C49-D6B9-426E-9D5F-4BA0E2C642B1}" name="Total" dataDxfId="675">
      <calculatedColumnFormula>+AD4+AE4</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93:AC101" totalsRowShown="0">
  <autoFilter ref="AB93:AC101"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4:AI47" totalsRowShown="0" headerRowDxfId="1157" dataDxfId="1156">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155"/>
    <tableColumn id="2" xr3:uid="{C7A61140-E82A-4090-ABC7-C6CCE64FF6B0}" name="End" dataDxfId="1154"/>
    <tableColumn id="4" xr3:uid="{FBB2AAF9-87A6-44CD-93D4-DFEB53761469}" name="Activity" dataDxfId="1153"/>
    <tableColumn id="3" xr3:uid="{B03D3F9A-112C-4401-B13E-A156A5ADF569}" name="Elapsed" dataDxfId="1152">
      <calculatedColumnFormula>IF(OR(ISBLANK(Term1_Day_5[[#This Row],[Start]]),ISBLANK(Term1_Day_5[[#This Row],[End]])),"",(Term1_Day_5[[#This Row],[End]]-Term1_Day_5[[#This Row],[Start]])*1440)</calculatedColumnFormula>
    </tableColumn>
    <tableColumn id="5" xr3:uid="{63748BDD-42F2-44F2-A5A5-ABF42D3CFD03}" name="Instructional Time" dataDxfId="1151">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150">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106:AE118" totalsRowShown="0">
  <autoFilter ref="AB106:AE118"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SUMIFS($S$21:$S$226,$J$21:$J$226,"="&amp;AC107)</calculatedColumnFormula>
    </tableColumn>
    <tableColumn id="3" xr3:uid="{8BAE851E-D01D-4D19-9BBE-EC3334FFC0DF}" name="NonInstruction">
      <calculatedColumnFormula>SUMIFS($T$21:$T$226,$J$21:$J$226,"="&amp;AC107)</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22:AE134" totalsRowShown="0">
  <autoFilter ref="AB122:AE134" xr:uid="{333434F5-5104-49FB-A4FC-7403577A8D13}"/>
  <tableColumns count="4">
    <tableColumn id="1" xr3:uid="{B228B35E-27FC-4F6A-8912-6EC9A90D8BC0}" name="Month"/>
    <tableColumn id="2" xr3:uid="{59E351F9-EB6D-4340-844A-704A4BA6A45B}" name="Instructional"/>
    <tableColumn id="3" xr3:uid="{C18833BE-B06C-4A91-AE05-82737AEF9934}" name="Non-Instructional" dataDxfId="674">
      <calculatedColumnFormula>(SUMIFS(Exceptions[Assigned Time (Non-Instructional)],Exceptions[Month],"="&amp;AB123))</calculatedColumnFormula>
    </tableColumn>
    <tableColumn id="4" xr3:uid="{7F2901F3-DDA7-45A0-92B9-F6D8E79ED0B7}" name="Total" dataDxfId="673">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2"/>
    <tableColumn id="2" xr3:uid="{FCDEB380-0938-45D4-8FEE-86C50C047966}" name="Term"/>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1"/>
    <tableColumn id="2" xr3:uid="{3665144F-DA92-4F60-A338-45E309A1669A}" name="Term"/>
    <tableColumn id="3" xr3:uid="{84C494E1-8056-4D62-A986-F17413635631}" name="Day"/>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2" totalsRowShown="0" headerRowDxfId="670">
  <autoFilter ref="B3:D12"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9">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4:AP47" totalsRowShown="0" headerRowDxfId="1149" dataDxfId="1148">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147"/>
    <tableColumn id="2" xr3:uid="{FC51B0D0-A954-4B8F-A36B-117D44644F3F}" name="End" dataDxfId="1146"/>
    <tableColumn id="4" xr3:uid="{055F9335-8133-4056-A115-EFAD8D76D4DD}" name="Activity" dataDxfId="1145"/>
    <tableColumn id="3" xr3:uid="{3E40FFD6-77CB-4F49-97BB-42A3CE2759F8}" name="Elapsed" dataDxfId="1144">
      <calculatedColumnFormula>IF(OR(ISBLANK(Term1_Day_6[[#This Row],[Start]]),ISBLANK(Term1_Day_6[[#This Row],[End]])),"",(Term1_Day_6[[#This Row],[End]]-Term1_Day_6[[#This Row],[Start]])*1440)</calculatedColumnFormula>
    </tableColumn>
    <tableColumn id="5" xr3:uid="{4F6C7EA6-5F45-4B24-BA9E-D2BA9593E73B}" name="Instructional Time" dataDxfId="1143">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142">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4:BR47" totalsRowShown="0" headerRowDxfId="1141" dataDxfId="1140">
  <autoFilter ref="BM14:BR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139"/>
    <tableColumn id="2" xr3:uid="{B6385FB0-2A54-455B-8EC0-A9A001907A9A}" name="End" dataDxfId="1138"/>
    <tableColumn id="4" xr3:uid="{2C01E5C5-CE9D-4853-B433-63281CECA051}" name="Activity" dataDxfId="1137"/>
    <tableColumn id="3" xr3:uid="{958E0BFE-9ECD-4454-8546-860EAEFD567F}" name="Elapsed" dataDxfId="1136">
      <calculatedColumnFormula>IF(OR(ISBLANK(Term1_Day_10[[#This Row],[Start]]),ISBLANK(Term1_Day_10[[#This Row],[End]])),"",(Term1_Day_10[[#This Row],[End]]-Term1_Day_10[[#This Row],[Start]])*1440)</calculatedColumnFormula>
    </tableColumn>
    <tableColumn id="5" xr3:uid="{806A8C8F-71E8-40BF-8E6F-D5DF302F8C77}" name="Instructional Time" dataDxfId="1135">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134">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73.xml"/><Relationship Id="rId3" Type="http://schemas.openxmlformats.org/officeDocument/2006/relationships/table" Target="../tables/table68.xml"/><Relationship Id="rId7" Type="http://schemas.openxmlformats.org/officeDocument/2006/relationships/table" Target="../tables/table72.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71.xml"/><Relationship Id="rId11" Type="http://schemas.microsoft.com/office/2017/10/relationships/threadedComment" Target="../threadedComments/threadedComment1.xml"/><Relationship Id="rId5" Type="http://schemas.openxmlformats.org/officeDocument/2006/relationships/table" Target="../tables/table70.xml"/><Relationship Id="rId10" Type="http://schemas.openxmlformats.org/officeDocument/2006/relationships/comments" Target="../comments1.xml"/><Relationship Id="rId4" Type="http://schemas.openxmlformats.org/officeDocument/2006/relationships/table" Target="../tables/table69.xml"/><Relationship Id="rId9" Type="http://schemas.openxmlformats.org/officeDocument/2006/relationships/table" Target="../tables/table74.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77.xml"/><Relationship Id="rId5" Type="http://schemas.openxmlformats.org/officeDocument/2006/relationships/table" Target="../tables/table76.xml"/><Relationship Id="rId4" Type="http://schemas.openxmlformats.org/officeDocument/2006/relationships/table" Target="../tables/table7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18" Type="http://schemas.openxmlformats.org/officeDocument/2006/relationships/table" Target="../tables/table34.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17" Type="http://schemas.openxmlformats.org/officeDocument/2006/relationships/table" Target="../tables/table33.xml"/><Relationship Id="rId2" Type="http://schemas.openxmlformats.org/officeDocument/2006/relationships/drawing" Target="../drawings/drawing7.xml"/><Relationship Id="rId16" Type="http://schemas.openxmlformats.org/officeDocument/2006/relationships/table" Target="../tables/table32.xml"/><Relationship Id="rId1" Type="http://schemas.openxmlformats.org/officeDocument/2006/relationships/printerSettings" Target="../printerSettings/printerSettings6.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5" Type="http://schemas.openxmlformats.org/officeDocument/2006/relationships/table" Target="../tables/table3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 Id="rId14" Type="http://schemas.openxmlformats.org/officeDocument/2006/relationships/table" Target="../tables/table30.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18" Type="http://schemas.openxmlformats.org/officeDocument/2006/relationships/table" Target="../tables/table50.xml"/><Relationship Id="rId3" Type="http://schemas.openxmlformats.org/officeDocument/2006/relationships/table" Target="../tables/table35.xml"/><Relationship Id="rId7" Type="http://schemas.openxmlformats.org/officeDocument/2006/relationships/table" Target="../tables/table39.xml"/><Relationship Id="rId12" Type="http://schemas.openxmlformats.org/officeDocument/2006/relationships/table" Target="../tables/table44.xml"/><Relationship Id="rId17" Type="http://schemas.openxmlformats.org/officeDocument/2006/relationships/table" Target="../tables/table49.xml"/><Relationship Id="rId2" Type="http://schemas.openxmlformats.org/officeDocument/2006/relationships/drawing" Target="../drawings/drawing8.xml"/><Relationship Id="rId16" Type="http://schemas.openxmlformats.org/officeDocument/2006/relationships/table" Target="../tables/table48.xml"/><Relationship Id="rId1" Type="http://schemas.openxmlformats.org/officeDocument/2006/relationships/printerSettings" Target="../printerSettings/printerSettings7.bin"/><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5" Type="http://schemas.openxmlformats.org/officeDocument/2006/relationships/table" Target="../tables/table47.xml"/><Relationship Id="rId10" Type="http://schemas.openxmlformats.org/officeDocument/2006/relationships/table" Target="../tables/table42.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9.xml"/><Relationship Id="rId16" Type="http://schemas.openxmlformats.org/officeDocument/2006/relationships/table" Target="../tables/table64.xml"/><Relationship Id="rId1" Type="http://schemas.openxmlformats.org/officeDocument/2006/relationships/printerSettings" Target="../printerSettings/printerSettings8.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9"/>
  <sheetViews>
    <sheetView showGridLines="0" showRowColHeaders="0" tabSelected="1" workbookViewId="0">
      <selection activeCell="C7" sqref="C7"/>
    </sheetView>
  </sheetViews>
  <sheetFormatPr defaultRowHeight="16.5" x14ac:dyDescent="0.3"/>
  <cols>
    <col min="2" max="2" width="58.75" customWidth="1"/>
    <col min="3" max="3" width="23.5" customWidth="1"/>
    <col min="5" max="5" width="9" hidden="1" customWidth="1"/>
    <col min="6" max="6" width="17.125" hidden="1" customWidth="1"/>
    <col min="7" max="7" width="15.75" customWidth="1"/>
    <col min="8" max="8" width="15.375" customWidth="1"/>
  </cols>
  <sheetData>
    <row r="2" spans="2:11" ht="23.25" x14ac:dyDescent="0.3">
      <c r="G2" s="153" t="str">
        <f>IF(SUM(E10:E26)=16,"Ready, proceed to calendar set-up", "Missing Information")</f>
        <v>Missing Information</v>
      </c>
      <c r="H2" s="153"/>
      <c r="I2" s="153"/>
      <c r="J2" s="153"/>
      <c r="K2" s="153"/>
    </row>
    <row r="3" spans="2:11" ht="18.75" x14ac:dyDescent="0.3">
      <c r="G3" s="154" t="str">
        <f>IF(SUM(F16:F20)&gt;0,"There is something wrong with the dates provided.","")</f>
        <v/>
      </c>
      <c r="H3" s="154"/>
      <c r="I3" s="154"/>
      <c r="J3" s="154"/>
      <c r="K3" s="154"/>
    </row>
    <row r="4" spans="2:11" x14ac:dyDescent="0.3">
      <c r="G4" s="147"/>
      <c r="H4" s="147"/>
      <c r="I4" s="147"/>
      <c r="J4" s="147"/>
      <c r="K4" s="147"/>
    </row>
    <row r="6" spans="2:11" ht="17.25" thickBot="1" x14ac:dyDescent="0.35">
      <c r="B6" s="121" t="s">
        <v>4229</v>
      </c>
    </row>
    <row r="7" spans="2:11" x14ac:dyDescent="0.3">
      <c r="B7" s="89" t="s">
        <v>0</v>
      </c>
      <c r="C7" s="97"/>
    </row>
    <row r="8" spans="2:11" x14ac:dyDescent="0.3">
      <c r="B8" s="131" t="s">
        <v>4212</v>
      </c>
      <c r="C8" s="130"/>
    </row>
    <row r="9" spans="2:11" x14ac:dyDescent="0.3">
      <c r="B9" s="131" t="s">
        <v>4213</v>
      </c>
      <c r="C9" s="130"/>
      <c r="E9" t="s">
        <v>4242</v>
      </c>
    </row>
    <row r="10" spans="2:11" x14ac:dyDescent="0.3">
      <c r="B10" s="90" t="s">
        <v>2</v>
      </c>
      <c r="C10" s="98"/>
      <c r="E10">
        <f>IF(ISBLANK(FTE),0,1)</f>
        <v>0</v>
      </c>
    </row>
    <row r="11" spans="2:11" x14ac:dyDescent="0.3">
      <c r="B11" s="90" t="s">
        <v>4231</v>
      </c>
      <c r="C11" s="142"/>
      <c r="E11">
        <f>IF(ISBLANK(C11),0,1)</f>
        <v>0</v>
      </c>
    </row>
    <row r="12" spans="2:11" ht="17.25" thickBot="1" x14ac:dyDescent="0.35">
      <c r="B12" s="122" t="s">
        <v>3</v>
      </c>
      <c r="C12" s="98"/>
    </row>
    <row r="13" spans="2:11" x14ac:dyDescent="0.3">
      <c r="B13" s="132" t="s">
        <v>4214</v>
      </c>
      <c r="C13" s="133"/>
      <c r="E13">
        <f>IF(ISBLANK(C13),0,1)</f>
        <v>0</v>
      </c>
    </row>
    <row r="14" spans="2:11" x14ac:dyDescent="0.3">
      <c r="B14" s="132" t="s">
        <v>4224</v>
      </c>
      <c r="C14" s="134"/>
      <c r="E14">
        <f>IF(ISBLANK(part_time_days),0,1)</f>
        <v>0</v>
      </c>
    </row>
    <row r="15" spans="2:11" x14ac:dyDescent="0.3">
      <c r="B15" s="132" t="s">
        <v>4233</v>
      </c>
      <c r="C15" s="144"/>
      <c r="E15">
        <f>IF(ISBLANK(First_Operational_Day),0,1)</f>
        <v>0</v>
      </c>
      <c r="F15" s="150" t="s">
        <v>4241</v>
      </c>
    </row>
    <row r="16" spans="2:11" x14ac:dyDescent="0.3">
      <c r="B16" s="132" t="s">
        <v>4234</v>
      </c>
      <c r="C16" s="144"/>
      <c r="E16">
        <f>IF(ISBLANK(First_Instructional_Day1),0,1)</f>
        <v>0</v>
      </c>
      <c r="F16">
        <f>IF(ISBLANK(First_Instructional_Day1),0,IF(First_Instructional_Day1&gt;=First_Operational_Day,0,1))</f>
        <v>0</v>
      </c>
    </row>
    <row r="17" spans="2:6" x14ac:dyDescent="0.3">
      <c r="B17" s="138" t="s">
        <v>4235</v>
      </c>
      <c r="C17" s="144"/>
      <c r="E17">
        <f>IF(C13=1,1,IF(AND(C13&gt;=2,ISBLANK(First_Instructional_Day2)),0,1))</f>
        <v>1</v>
      </c>
      <c r="F17">
        <f>IF(ISBLANK(First_Instructional_Day2),0,IF(First_Instructional_Day2&gt;First_Instructional_Day1,0,1))</f>
        <v>0</v>
      </c>
    </row>
    <row r="18" spans="2:6" x14ac:dyDescent="0.3">
      <c r="B18" s="138" t="s">
        <v>4236</v>
      </c>
      <c r="C18" s="144"/>
      <c r="E18">
        <f>IF(C13=1,1,IF(AND(C13&gt;=3,ISBLANK(First_Instructional_Day3)),0,1))</f>
        <v>1</v>
      </c>
      <c r="F18">
        <f>IF(ISBLANK(First_Instructional_Day3),0,IF(First_Instructional_Day3&gt;First_Instructional_Day2,0,1))</f>
        <v>0</v>
      </c>
    </row>
    <row r="19" spans="2:6" x14ac:dyDescent="0.3">
      <c r="B19" s="138" t="s">
        <v>4237</v>
      </c>
      <c r="C19" s="145"/>
      <c r="E19">
        <f>IF(C13=1,1,IF(AND(C13=4,ISBLANK(First_Instructional_Day4)),0,1))</f>
        <v>1</v>
      </c>
      <c r="F19">
        <f>IF(ISBLANK(First_Instructional_Day4),0,IF(First_Instructional_Day4&gt;First_Instructional_Day3,0,1))</f>
        <v>0</v>
      </c>
    </row>
    <row r="20" spans="2:6" x14ac:dyDescent="0.3">
      <c r="B20" s="132" t="s">
        <v>4238</v>
      </c>
      <c r="C20" s="144"/>
      <c r="E20">
        <f>IF(ISBLANK(Last_Operational_Day),0,1)</f>
        <v>0</v>
      </c>
      <c r="F20">
        <f>IF(ISBLANK(Last_Operational_Day),0,IF(Last_Operational_Day&gt;First_Operational_Day,0,1))</f>
        <v>0</v>
      </c>
    </row>
    <row r="21" spans="2:6" x14ac:dyDescent="0.3">
      <c r="B21" s="132" t="s">
        <v>4239</v>
      </c>
      <c r="C21" s="135"/>
      <c r="E21">
        <f>IF(ISBLANK(Rotation),0,1)</f>
        <v>0</v>
      </c>
    </row>
    <row r="22" spans="2:6" x14ac:dyDescent="0.3">
      <c r="B22" s="132" t="s">
        <v>4215</v>
      </c>
      <c r="C22" s="134"/>
      <c r="E22">
        <f>IF(ISBLANK(C22),0,1)</f>
        <v>0</v>
      </c>
    </row>
    <row r="23" spans="2:6" x14ac:dyDescent="0.3">
      <c r="B23" s="132" t="s">
        <v>4216</v>
      </c>
      <c r="C23" s="134"/>
      <c r="E23">
        <f>IF(ISBLANK(C22),0,1)</f>
        <v>0</v>
      </c>
    </row>
    <row r="24" spans="2:6" x14ac:dyDescent="0.3">
      <c r="B24" s="132" t="s">
        <v>4240</v>
      </c>
      <c r="C24" s="134"/>
      <c r="E24">
        <f>IF(AND(C22="Yes",ISBLANK(C23)),0,1)</f>
        <v>1</v>
      </c>
    </row>
    <row r="25" spans="2:6" ht="17.25" thickBot="1" x14ac:dyDescent="0.35">
      <c r="B25" s="136" t="s">
        <v>4217</v>
      </c>
      <c r="C25" s="137"/>
      <c r="E25">
        <f>IF(ISBLANK(C24),0,1)</f>
        <v>0</v>
      </c>
    </row>
    <row r="26" spans="2:6" x14ac:dyDescent="0.3">
      <c r="E26">
        <f>IF(AND(C24="Yes",ISBLANK(C25)),0,1)</f>
        <v>1</v>
      </c>
    </row>
    <row r="29" spans="2:6" x14ac:dyDescent="0.3">
      <c r="B29" s="152" t="s">
        <v>4247</v>
      </c>
    </row>
  </sheetData>
  <sheetProtection algorithmName="SHA-512" hashValue="7ldOKa4UDRYsDnwm6w1gEgEPGfMIHZIjfcbwgYYGk4o/v52i2094/8en/0taee85qf2P5qmg6w0GpSWmFbeB6Q==" saltValue="70OPYAap9vfUpE8mBCXMzQ==" spinCount="100000" sheet="1" selectLockedCells="1"/>
  <mergeCells count="2">
    <mergeCell ref="G2:K2"/>
    <mergeCell ref="G3:K3"/>
  </mergeCells>
  <conditionalFormatting sqref="B17">
    <cfRule type="expression" dxfId="668" priority="31">
      <formula>$C$13&gt;=2</formula>
    </cfRule>
  </conditionalFormatting>
  <conditionalFormatting sqref="B19">
    <cfRule type="expression" dxfId="667" priority="32">
      <formula>$C$13=4</formula>
    </cfRule>
  </conditionalFormatting>
  <conditionalFormatting sqref="B23">
    <cfRule type="expression" dxfId="666" priority="38">
      <formula>($C$22&lt;&gt;"Yes")</formula>
    </cfRule>
  </conditionalFormatting>
  <conditionalFormatting sqref="B25">
    <cfRule type="expression" dxfId="665" priority="34">
      <formula>($C$24&lt;&gt;"Yes")</formula>
    </cfRule>
  </conditionalFormatting>
  <conditionalFormatting sqref="B29">
    <cfRule type="expression" dxfId="664" priority="1">
      <formula>$G$2="Ready, proceed to calendar set-up"</formula>
    </cfRule>
  </conditionalFormatting>
  <conditionalFormatting sqref="B18:C18">
    <cfRule type="expression" dxfId="663" priority="33">
      <formula>$C$13&gt;=3</formula>
    </cfRule>
  </conditionalFormatting>
  <conditionalFormatting sqref="C10">
    <cfRule type="expression" dxfId="662" priority="11">
      <formula>$E$10=0</formula>
    </cfRule>
  </conditionalFormatting>
  <conditionalFormatting sqref="C11">
    <cfRule type="expression" dxfId="661" priority="12">
      <formula>$E$11=0</formula>
    </cfRule>
  </conditionalFormatting>
  <conditionalFormatting sqref="C13">
    <cfRule type="expression" dxfId="660" priority="27">
      <formula>$E$13=0</formula>
    </cfRule>
  </conditionalFormatting>
  <conditionalFormatting sqref="C14">
    <cfRule type="expression" dxfId="659" priority="26">
      <formula>$E$14=0</formula>
    </cfRule>
  </conditionalFormatting>
  <conditionalFormatting sqref="C15:C16">
    <cfRule type="expression" dxfId="658" priority="904">
      <formula>#REF!=1</formula>
    </cfRule>
    <cfRule type="expression" dxfId="657" priority="905">
      <formula>$E$15=0</formula>
    </cfRule>
  </conditionalFormatting>
  <conditionalFormatting sqref="C17">
    <cfRule type="expression" dxfId="656" priority="906">
      <formula>#REF!=1</formula>
    </cfRule>
    <cfRule type="expression" dxfId="655" priority="907">
      <formula>$E$17=0</formula>
    </cfRule>
  </conditionalFormatting>
  <conditionalFormatting sqref="C18">
    <cfRule type="expression" dxfId="654" priority="908">
      <formula>#REF!=1</formula>
    </cfRule>
    <cfRule type="expression" dxfId="653" priority="909">
      <formula>$E$18=0</formula>
    </cfRule>
  </conditionalFormatting>
  <conditionalFormatting sqref="C19">
    <cfRule type="expression" dxfId="652" priority="910">
      <formula>#REF!=1</formula>
    </cfRule>
    <cfRule type="expression" dxfId="651" priority="911">
      <formula>$E$19=0</formula>
    </cfRule>
  </conditionalFormatting>
  <conditionalFormatting sqref="C20">
    <cfRule type="expression" dxfId="650" priority="912">
      <formula>#REF!=1</formula>
    </cfRule>
    <cfRule type="expression" dxfId="649" priority="913">
      <formula>$E$20=0</formula>
    </cfRule>
  </conditionalFormatting>
  <conditionalFormatting sqref="C21">
    <cfRule type="expression" dxfId="648" priority="19">
      <formula>$E$21=0</formula>
    </cfRule>
  </conditionalFormatting>
  <conditionalFormatting sqref="C22">
    <cfRule type="expression" dxfId="647" priority="898">
      <formula>$E$22=0</formula>
    </cfRule>
  </conditionalFormatting>
  <conditionalFormatting sqref="C23">
    <cfRule type="expression" dxfId="646" priority="899">
      <formula>$E$24=0</formula>
    </cfRule>
    <cfRule type="expression" dxfId="645" priority="900">
      <formula>($C$22="No")</formula>
    </cfRule>
  </conditionalFormatting>
  <conditionalFormatting sqref="C24">
    <cfRule type="expression" dxfId="644" priority="901">
      <formula>$E$25=0</formula>
    </cfRule>
  </conditionalFormatting>
  <conditionalFormatting sqref="C25">
    <cfRule type="expression" dxfId="643" priority="902">
      <formula>$E$26=0</formula>
    </cfRule>
    <cfRule type="expression" dxfId="642" priority="903">
      <formula>($C$24="No")</formula>
    </cfRule>
  </conditionalFormatting>
  <conditionalFormatting sqref="G2">
    <cfRule type="expression" dxfId="641" priority="29">
      <formula>$G$2&lt;&gt;"Ready, proceed to calendar set-up"</formula>
    </cfRule>
    <cfRule type="expression" dxfId="640" priority="30">
      <formula>$G$2="Ready, proceed to calendar set-up"</formula>
    </cfRule>
  </conditionalFormatting>
  <conditionalFormatting sqref="G3">
    <cfRule type="expression" dxfId="639" priority="2">
      <formula>IF(SUM($F$16:$F$20)&gt;0,TRUE,FALSE)</formula>
    </cfRule>
  </conditionalFormatting>
  <dataValidations count="5">
    <dataValidation type="list" allowBlank="1" showInputMessage="1" showErrorMessage="1" sqref="C22 C24 C14" xr:uid="{8EA494B3-0BF0-4CCB-AE54-E810E8711C76}">
      <formula1>"Yes, No"</formula1>
    </dataValidation>
    <dataValidation type="list" allowBlank="1" showInputMessage="1" showErrorMessage="1" sqref="C23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s>
  <hyperlinks>
    <hyperlink ref="B29"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_xlfn.ANCHORARRAY(Parameters!$I$19)</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G13" sqref="G13"/>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55</v>
      </c>
      <c r="B1" t="s">
        <v>56</v>
      </c>
      <c r="C1" t="s">
        <v>57</v>
      </c>
      <c r="D1" t="s">
        <v>58</v>
      </c>
    </row>
    <row r="2" spans="1:10" x14ac:dyDescent="0.3">
      <c r="A2" t="s">
        <v>59</v>
      </c>
      <c r="B2" t="s">
        <v>60</v>
      </c>
      <c r="C2" t="s">
        <v>61</v>
      </c>
      <c r="D2" t="s">
        <v>62</v>
      </c>
      <c r="F2" t="s">
        <v>63</v>
      </c>
      <c r="H2" t="str" cm="1">
        <f t="array" ref="H2:H67">_xlfn.UNIQUE(Schools[AuthName])</f>
        <v>Almadina School Society</v>
      </c>
      <c r="J2" t="e" cm="1" vm="1">
        <f t="array" ref="J2">_xlfn._xlws.FILTER(Schools[SchName],Schools[AuthName]='START HERE'!C8)</f>
        <v>#VALUE!</v>
      </c>
    </row>
    <row r="3" spans="1:10" x14ac:dyDescent="0.3">
      <c r="A3" t="s">
        <v>59</v>
      </c>
      <c r="B3" t="s">
        <v>60</v>
      </c>
      <c r="C3" t="s">
        <v>64</v>
      </c>
      <c r="D3" t="s">
        <v>65</v>
      </c>
      <c r="H3" t="str">
        <v>Aurora School Ltd.</v>
      </c>
    </row>
    <row r="4" spans="1:10" x14ac:dyDescent="0.3">
      <c r="A4" t="s">
        <v>66</v>
      </c>
      <c r="B4" t="s">
        <v>63</v>
      </c>
      <c r="C4" t="s">
        <v>67</v>
      </c>
      <c r="D4" t="s">
        <v>68</v>
      </c>
      <c r="H4" t="str">
        <v>Boyle Street Education Centre</v>
      </c>
    </row>
    <row r="5" spans="1:10" x14ac:dyDescent="0.3">
      <c r="A5" t="s">
        <v>66</v>
      </c>
      <c r="B5" t="s">
        <v>63</v>
      </c>
      <c r="C5" t="s">
        <v>69</v>
      </c>
      <c r="D5" t="s">
        <v>70</v>
      </c>
      <c r="H5" t="str">
        <v>New Horizons Charter School Society</v>
      </c>
    </row>
    <row r="6" spans="1:10" x14ac:dyDescent="0.3">
      <c r="A6" t="s">
        <v>66</v>
      </c>
      <c r="B6" t="s">
        <v>63</v>
      </c>
      <c r="C6" t="s">
        <v>71</v>
      </c>
      <c r="D6" t="s">
        <v>72</v>
      </c>
      <c r="H6" t="str">
        <v>The Aspen View School Division</v>
      </c>
    </row>
    <row r="7" spans="1:10" x14ac:dyDescent="0.3">
      <c r="A7" t="s">
        <v>73</v>
      </c>
      <c r="B7" t="s">
        <v>74</v>
      </c>
      <c r="C7" t="s">
        <v>75</v>
      </c>
      <c r="D7" t="s">
        <v>74</v>
      </c>
      <c r="H7" t="str">
        <v xml:space="preserve">The Battle River School Division </v>
      </c>
    </row>
    <row r="8" spans="1:10" x14ac:dyDescent="0.3">
      <c r="A8" t="s">
        <v>76</v>
      </c>
      <c r="B8" t="s">
        <v>77</v>
      </c>
      <c r="C8" t="s">
        <v>78</v>
      </c>
      <c r="D8" t="s">
        <v>79</v>
      </c>
      <c r="H8" t="str">
        <v xml:space="preserve">The Black Gold School Division </v>
      </c>
    </row>
    <row r="9" spans="1:10" x14ac:dyDescent="0.3">
      <c r="A9" t="s">
        <v>80</v>
      </c>
      <c r="B9" t="s">
        <v>81</v>
      </c>
      <c r="C9" t="s">
        <v>82</v>
      </c>
      <c r="D9" t="s">
        <v>83</v>
      </c>
      <c r="H9" t="str">
        <v>The Buffalo Trail School Division</v>
      </c>
    </row>
    <row r="10" spans="1:10" x14ac:dyDescent="0.3">
      <c r="A10" t="s">
        <v>80</v>
      </c>
      <c r="B10" t="s">
        <v>81</v>
      </c>
      <c r="C10" t="s">
        <v>84</v>
      </c>
      <c r="D10" t="s">
        <v>85</v>
      </c>
      <c r="H10" t="str">
        <v>The Calgary Roman Catholic Separate School Division</v>
      </c>
    </row>
    <row r="11" spans="1:10" x14ac:dyDescent="0.3">
      <c r="A11" t="s">
        <v>80</v>
      </c>
      <c r="B11" t="s">
        <v>81</v>
      </c>
      <c r="C11" t="s">
        <v>86</v>
      </c>
      <c r="D11" t="s">
        <v>87</v>
      </c>
      <c r="H11" t="str">
        <v>The Calgary School Division</v>
      </c>
    </row>
    <row r="12" spans="1:10" x14ac:dyDescent="0.3">
      <c r="A12" t="s">
        <v>80</v>
      </c>
      <c r="B12" t="s">
        <v>81</v>
      </c>
      <c r="C12" t="s">
        <v>88</v>
      </c>
      <c r="D12" t="s">
        <v>89</v>
      </c>
      <c r="H12" t="str">
        <v>The Canadian Rockies School Division</v>
      </c>
    </row>
    <row r="13" spans="1:10" x14ac:dyDescent="0.3">
      <c r="A13" t="s">
        <v>80</v>
      </c>
      <c r="B13" t="s">
        <v>81</v>
      </c>
      <c r="C13" t="s">
        <v>90</v>
      </c>
      <c r="D13" t="s">
        <v>91</v>
      </c>
      <c r="H13" t="str">
        <v>The Chinook's Edge School Division</v>
      </c>
    </row>
    <row r="14" spans="1:10" x14ac:dyDescent="0.3">
      <c r="A14" t="s">
        <v>80</v>
      </c>
      <c r="B14" t="s">
        <v>81</v>
      </c>
      <c r="C14" t="s">
        <v>92</v>
      </c>
      <c r="D14" t="s">
        <v>93</v>
      </c>
      <c r="H14" t="str">
        <v>The Christ the Redeemer Catholic Separate School Division</v>
      </c>
    </row>
    <row r="15" spans="1:10" x14ac:dyDescent="0.3">
      <c r="A15" t="s">
        <v>80</v>
      </c>
      <c r="B15" t="s">
        <v>81</v>
      </c>
      <c r="C15" t="s">
        <v>94</v>
      </c>
      <c r="D15" t="s">
        <v>95</v>
      </c>
      <c r="H15" t="str">
        <v>The Clearview School Division</v>
      </c>
    </row>
    <row r="16" spans="1:10" x14ac:dyDescent="0.3">
      <c r="A16" t="s">
        <v>80</v>
      </c>
      <c r="B16" t="s">
        <v>81</v>
      </c>
      <c r="C16" t="s">
        <v>96</v>
      </c>
      <c r="D16" t="s">
        <v>97</v>
      </c>
      <c r="H16" t="str">
        <v>The East Central Alberta Catholic Separate School Division</v>
      </c>
    </row>
    <row r="17" spans="1:8" x14ac:dyDescent="0.3">
      <c r="A17" t="s">
        <v>80</v>
      </c>
      <c r="B17" t="s">
        <v>81</v>
      </c>
      <c r="C17" t="s">
        <v>98</v>
      </c>
      <c r="D17" t="s">
        <v>99</v>
      </c>
      <c r="H17" t="str">
        <v>The East Central Francophone Education Region</v>
      </c>
    </row>
    <row r="18" spans="1:8" x14ac:dyDescent="0.3">
      <c r="A18" t="s">
        <v>80</v>
      </c>
      <c r="B18" t="s">
        <v>81</v>
      </c>
      <c r="C18" t="s">
        <v>100</v>
      </c>
      <c r="D18" t="s">
        <v>101</v>
      </c>
      <c r="H18" t="str">
        <v>The Edmonton Catholic Separate School Division</v>
      </c>
    </row>
    <row r="19" spans="1:8" x14ac:dyDescent="0.3">
      <c r="A19" t="s">
        <v>80</v>
      </c>
      <c r="B19" t="s">
        <v>81</v>
      </c>
      <c r="C19" t="s">
        <v>102</v>
      </c>
      <c r="D19" t="s">
        <v>103</v>
      </c>
      <c r="H19" t="str">
        <v>The Edmonton School Division</v>
      </c>
    </row>
    <row r="20" spans="1:8" x14ac:dyDescent="0.3">
      <c r="A20" t="s">
        <v>80</v>
      </c>
      <c r="B20" t="s">
        <v>81</v>
      </c>
      <c r="C20" t="s">
        <v>104</v>
      </c>
      <c r="D20" t="s">
        <v>105</v>
      </c>
      <c r="H20" t="str">
        <v>The Elk Island Catholic Separate School Division</v>
      </c>
    </row>
    <row r="21" spans="1:8" x14ac:dyDescent="0.3">
      <c r="A21" t="s">
        <v>80</v>
      </c>
      <c r="B21" t="s">
        <v>81</v>
      </c>
      <c r="C21" t="s">
        <v>106</v>
      </c>
      <c r="D21" t="s">
        <v>107</v>
      </c>
      <c r="H21" t="str">
        <v>The Elk Island School Division</v>
      </c>
    </row>
    <row r="22" spans="1:8" x14ac:dyDescent="0.3">
      <c r="A22" t="s">
        <v>80</v>
      </c>
      <c r="B22" t="s">
        <v>81</v>
      </c>
      <c r="C22" t="s">
        <v>108</v>
      </c>
      <c r="D22" t="s">
        <v>109</v>
      </c>
      <c r="H22" t="str">
        <v>The Evergreen Catholic Separate School Division</v>
      </c>
    </row>
    <row r="23" spans="1:8" x14ac:dyDescent="0.3">
      <c r="A23" t="s">
        <v>80</v>
      </c>
      <c r="B23" t="s">
        <v>81</v>
      </c>
      <c r="C23" t="s">
        <v>110</v>
      </c>
      <c r="D23" t="s">
        <v>111</v>
      </c>
      <c r="H23" t="str">
        <v>The Foothills School Division</v>
      </c>
    </row>
    <row r="24" spans="1:8" x14ac:dyDescent="0.3">
      <c r="A24" t="s">
        <v>80</v>
      </c>
      <c r="B24" t="s">
        <v>81</v>
      </c>
      <c r="C24" t="s">
        <v>112</v>
      </c>
      <c r="D24" t="s">
        <v>113</v>
      </c>
      <c r="H24" t="str">
        <v>The Fort McMurray Roman Catholic Separate School Division</v>
      </c>
    </row>
    <row r="25" spans="1:8" x14ac:dyDescent="0.3">
      <c r="A25" t="s">
        <v>80</v>
      </c>
      <c r="B25" t="s">
        <v>81</v>
      </c>
      <c r="C25" t="s">
        <v>114</v>
      </c>
      <c r="D25" t="s">
        <v>115</v>
      </c>
      <c r="H25" t="str">
        <v>The Fort McMurray School Division</v>
      </c>
    </row>
    <row r="26" spans="1:8" x14ac:dyDescent="0.3">
      <c r="A26" t="s">
        <v>80</v>
      </c>
      <c r="B26" t="s">
        <v>81</v>
      </c>
      <c r="C26" t="s">
        <v>116</v>
      </c>
      <c r="D26" t="s">
        <v>117</v>
      </c>
      <c r="H26" t="str">
        <v>The Fort Vermilion School Division</v>
      </c>
    </row>
    <row r="27" spans="1:8" x14ac:dyDescent="0.3">
      <c r="A27" t="s">
        <v>80</v>
      </c>
      <c r="B27" t="s">
        <v>81</v>
      </c>
      <c r="C27" t="s">
        <v>118</v>
      </c>
      <c r="D27" t="s">
        <v>119</v>
      </c>
      <c r="H27" t="str">
        <v>The Golden Hills School Division</v>
      </c>
    </row>
    <row r="28" spans="1:8" x14ac:dyDescent="0.3">
      <c r="A28" t="s">
        <v>120</v>
      </c>
      <c r="B28" t="s">
        <v>121</v>
      </c>
      <c r="C28" t="s">
        <v>122</v>
      </c>
      <c r="D28" t="s">
        <v>123</v>
      </c>
      <c r="H28" t="str">
        <v>The Grande Prairie Roman Catholic Separate School Division</v>
      </c>
    </row>
    <row r="29" spans="1:8" x14ac:dyDescent="0.3">
      <c r="A29" t="s">
        <v>120</v>
      </c>
      <c r="B29" t="s">
        <v>121</v>
      </c>
      <c r="C29" t="s">
        <v>124</v>
      </c>
      <c r="D29" t="s">
        <v>125</v>
      </c>
      <c r="H29" t="str">
        <v>The Grande Prairie School Division</v>
      </c>
    </row>
    <row r="30" spans="1:8" x14ac:dyDescent="0.3">
      <c r="A30" t="s">
        <v>120</v>
      </c>
      <c r="B30" t="s">
        <v>121</v>
      </c>
      <c r="C30" t="s">
        <v>126</v>
      </c>
      <c r="D30" t="s">
        <v>127</v>
      </c>
      <c r="H30" t="str">
        <v>The Grande Yellowhead School Division</v>
      </c>
    </row>
    <row r="31" spans="1:8" x14ac:dyDescent="0.3">
      <c r="A31" t="s">
        <v>120</v>
      </c>
      <c r="B31" t="s">
        <v>121</v>
      </c>
      <c r="C31" t="s">
        <v>128</v>
      </c>
      <c r="D31" t="s">
        <v>129</v>
      </c>
      <c r="H31" t="str">
        <v>The Grasslands School Division</v>
      </c>
    </row>
    <row r="32" spans="1:8" x14ac:dyDescent="0.3">
      <c r="A32" t="s">
        <v>120</v>
      </c>
      <c r="B32" t="s">
        <v>121</v>
      </c>
      <c r="C32" t="s">
        <v>130</v>
      </c>
      <c r="D32" t="s">
        <v>131</v>
      </c>
      <c r="H32" t="str">
        <v>The Greater North Central Francophone Education Region</v>
      </c>
    </row>
    <row r="33" spans="1:8" x14ac:dyDescent="0.3">
      <c r="A33" t="s">
        <v>120</v>
      </c>
      <c r="B33" t="s">
        <v>121</v>
      </c>
      <c r="C33" t="s">
        <v>132</v>
      </c>
      <c r="D33" t="s">
        <v>133</v>
      </c>
      <c r="H33" t="str">
        <v>The Greater St. Albert Roman Catholic Separate School Division</v>
      </c>
    </row>
    <row r="34" spans="1:8" x14ac:dyDescent="0.3">
      <c r="A34" t="s">
        <v>120</v>
      </c>
      <c r="B34" t="s">
        <v>121</v>
      </c>
      <c r="C34" t="s">
        <v>134</v>
      </c>
      <c r="D34" t="s">
        <v>135</v>
      </c>
      <c r="H34" t="str">
        <v>The High Prairie School Division</v>
      </c>
    </row>
    <row r="35" spans="1:8" x14ac:dyDescent="0.3">
      <c r="A35" t="s">
        <v>120</v>
      </c>
      <c r="B35" t="s">
        <v>121</v>
      </c>
      <c r="C35" t="s">
        <v>136</v>
      </c>
      <c r="D35" t="s">
        <v>137</v>
      </c>
      <c r="H35" t="str">
        <v>The Holy Family Catholic Separate School Division</v>
      </c>
    </row>
    <row r="36" spans="1:8" x14ac:dyDescent="0.3">
      <c r="A36" t="s">
        <v>120</v>
      </c>
      <c r="B36" t="s">
        <v>121</v>
      </c>
      <c r="C36" t="s">
        <v>138</v>
      </c>
      <c r="D36" t="s">
        <v>139</v>
      </c>
      <c r="H36" t="str">
        <v>The Holy Spirit Roman Catholic Separate School Division</v>
      </c>
    </row>
    <row r="37" spans="1:8" x14ac:dyDescent="0.3">
      <c r="A37" t="s">
        <v>120</v>
      </c>
      <c r="B37" t="s">
        <v>121</v>
      </c>
      <c r="C37" t="s">
        <v>140</v>
      </c>
      <c r="D37" t="s">
        <v>141</v>
      </c>
      <c r="H37" t="str">
        <v>The Horizon School Division</v>
      </c>
    </row>
    <row r="38" spans="1:8" x14ac:dyDescent="0.3">
      <c r="A38" t="s">
        <v>120</v>
      </c>
      <c r="B38" t="s">
        <v>121</v>
      </c>
      <c r="C38" t="s">
        <v>142</v>
      </c>
      <c r="D38" t="s">
        <v>143</v>
      </c>
      <c r="H38" t="str">
        <v>The Lakeland Roman Catholic Separate School Division</v>
      </c>
    </row>
    <row r="39" spans="1:8" x14ac:dyDescent="0.3">
      <c r="A39" t="s">
        <v>120</v>
      </c>
      <c r="B39" t="s">
        <v>121</v>
      </c>
      <c r="C39" t="s">
        <v>144</v>
      </c>
      <c r="D39" t="s">
        <v>145</v>
      </c>
      <c r="H39" t="str">
        <v>The Lethbridge School Division</v>
      </c>
    </row>
    <row r="40" spans="1:8" x14ac:dyDescent="0.3">
      <c r="A40" t="s">
        <v>120</v>
      </c>
      <c r="B40" t="s">
        <v>121</v>
      </c>
      <c r="C40" t="s">
        <v>146</v>
      </c>
      <c r="D40" t="s">
        <v>147</v>
      </c>
      <c r="H40" t="str">
        <v>The Living Waters Catholic Separate School Division</v>
      </c>
    </row>
    <row r="41" spans="1:8" x14ac:dyDescent="0.3">
      <c r="A41" t="s">
        <v>120</v>
      </c>
      <c r="B41" t="s">
        <v>121</v>
      </c>
      <c r="C41" t="s">
        <v>148</v>
      </c>
      <c r="D41" t="s">
        <v>149</v>
      </c>
      <c r="H41" t="str">
        <v>The Livingstone Range School Division</v>
      </c>
    </row>
    <row r="42" spans="1:8" x14ac:dyDescent="0.3">
      <c r="A42" t="s">
        <v>120</v>
      </c>
      <c r="B42" t="s">
        <v>121</v>
      </c>
      <c r="C42" t="s">
        <v>150</v>
      </c>
      <c r="D42" t="s">
        <v>151</v>
      </c>
      <c r="H42" t="str">
        <v>The Medicine Hat Roman Catholic Separate School Division</v>
      </c>
    </row>
    <row r="43" spans="1:8" x14ac:dyDescent="0.3">
      <c r="A43" t="s">
        <v>120</v>
      </c>
      <c r="B43" t="s">
        <v>121</v>
      </c>
      <c r="C43" t="s">
        <v>152</v>
      </c>
      <c r="D43" t="s">
        <v>153</v>
      </c>
      <c r="H43" t="str">
        <v>The Medicine Hat School Division</v>
      </c>
    </row>
    <row r="44" spans="1:8" x14ac:dyDescent="0.3">
      <c r="A44" t="s">
        <v>120</v>
      </c>
      <c r="B44" t="s">
        <v>121</v>
      </c>
      <c r="C44" t="s">
        <v>154</v>
      </c>
      <c r="D44" t="s">
        <v>155</v>
      </c>
      <c r="H44" t="str">
        <v>The Northern Gateway School Division</v>
      </c>
    </row>
    <row r="45" spans="1:8" x14ac:dyDescent="0.3">
      <c r="A45" t="s">
        <v>120</v>
      </c>
      <c r="B45" t="s">
        <v>121</v>
      </c>
      <c r="C45" t="s">
        <v>156</v>
      </c>
      <c r="D45" t="s">
        <v>157</v>
      </c>
      <c r="H45" t="str">
        <v>The Northern Lights School Division</v>
      </c>
    </row>
    <row r="46" spans="1:8" x14ac:dyDescent="0.3">
      <c r="A46" t="s">
        <v>120</v>
      </c>
      <c r="B46" t="s">
        <v>121</v>
      </c>
      <c r="C46" t="s">
        <v>158</v>
      </c>
      <c r="D46" t="s">
        <v>159</v>
      </c>
      <c r="H46" t="str">
        <v>The Northland School Division</v>
      </c>
    </row>
    <row r="47" spans="1:8" x14ac:dyDescent="0.3">
      <c r="A47" t="s">
        <v>120</v>
      </c>
      <c r="B47" t="s">
        <v>121</v>
      </c>
      <c r="C47" t="s">
        <v>160</v>
      </c>
      <c r="D47" t="s">
        <v>161</v>
      </c>
      <c r="H47" t="str">
        <v>The Northwest Francophone Education Region</v>
      </c>
    </row>
    <row r="48" spans="1:8" x14ac:dyDescent="0.3">
      <c r="A48" t="s">
        <v>120</v>
      </c>
      <c r="B48" t="s">
        <v>121</v>
      </c>
      <c r="C48" t="s">
        <v>162</v>
      </c>
      <c r="D48" t="s">
        <v>163</v>
      </c>
      <c r="H48" t="str">
        <v>The Palliser School Division</v>
      </c>
    </row>
    <row r="49" spans="1:8" x14ac:dyDescent="0.3">
      <c r="A49" t="s">
        <v>120</v>
      </c>
      <c r="B49" t="s">
        <v>121</v>
      </c>
      <c r="C49" t="s">
        <v>164</v>
      </c>
      <c r="D49" t="s">
        <v>165</v>
      </c>
      <c r="H49" t="str">
        <v>The Parkland School Division</v>
      </c>
    </row>
    <row r="50" spans="1:8" x14ac:dyDescent="0.3">
      <c r="A50" t="s">
        <v>120</v>
      </c>
      <c r="B50" t="s">
        <v>121</v>
      </c>
      <c r="C50" t="s">
        <v>166</v>
      </c>
      <c r="D50" t="s">
        <v>167</v>
      </c>
      <c r="H50" t="str">
        <v>The Peace River School Division</v>
      </c>
    </row>
    <row r="51" spans="1:8" x14ac:dyDescent="0.3">
      <c r="A51" t="s">
        <v>120</v>
      </c>
      <c r="B51" t="s">
        <v>121</v>
      </c>
      <c r="C51" t="s">
        <v>168</v>
      </c>
      <c r="D51" t="s">
        <v>169</v>
      </c>
      <c r="H51" t="str">
        <v>The Peace Wapiti School Division</v>
      </c>
    </row>
    <row r="52" spans="1:8" x14ac:dyDescent="0.3">
      <c r="A52" t="s">
        <v>120</v>
      </c>
      <c r="B52" t="s">
        <v>121</v>
      </c>
      <c r="C52" t="s">
        <v>170</v>
      </c>
      <c r="D52" t="s">
        <v>171</v>
      </c>
      <c r="H52" t="str">
        <v>The Pembina Hills School Division</v>
      </c>
    </row>
    <row r="53" spans="1:8" x14ac:dyDescent="0.3">
      <c r="A53" t="s">
        <v>120</v>
      </c>
      <c r="B53" t="s">
        <v>121</v>
      </c>
      <c r="C53" t="s">
        <v>172</v>
      </c>
      <c r="D53" t="s">
        <v>173</v>
      </c>
      <c r="H53" t="str">
        <v>The Prairie Land School Division</v>
      </c>
    </row>
    <row r="54" spans="1:8" x14ac:dyDescent="0.3">
      <c r="A54" t="s">
        <v>120</v>
      </c>
      <c r="B54" t="s">
        <v>121</v>
      </c>
      <c r="C54" t="s">
        <v>174</v>
      </c>
      <c r="D54" t="s">
        <v>175</v>
      </c>
      <c r="H54" t="str">
        <v>The Prairie Rose School Division</v>
      </c>
    </row>
    <row r="55" spans="1:8" x14ac:dyDescent="0.3">
      <c r="A55" t="s">
        <v>120</v>
      </c>
      <c r="B55" t="s">
        <v>121</v>
      </c>
      <c r="C55" t="s">
        <v>176</v>
      </c>
      <c r="D55" t="s">
        <v>177</v>
      </c>
      <c r="H55" t="str">
        <v>The Red Deer Catholic Separate School Division</v>
      </c>
    </row>
    <row r="56" spans="1:8" x14ac:dyDescent="0.3">
      <c r="A56" t="s">
        <v>120</v>
      </c>
      <c r="B56" t="s">
        <v>121</v>
      </c>
      <c r="C56" t="s">
        <v>178</v>
      </c>
      <c r="D56" t="s">
        <v>179</v>
      </c>
      <c r="H56" t="str">
        <v xml:space="preserve">The Red Deer School Division </v>
      </c>
    </row>
    <row r="57" spans="1:8" x14ac:dyDescent="0.3">
      <c r="A57" t="s">
        <v>120</v>
      </c>
      <c r="B57" t="s">
        <v>121</v>
      </c>
      <c r="C57" t="s">
        <v>180</v>
      </c>
      <c r="D57" t="s">
        <v>181</v>
      </c>
      <c r="H57" t="str">
        <v>The Rocky View School Division</v>
      </c>
    </row>
    <row r="58" spans="1:8" x14ac:dyDescent="0.3">
      <c r="A58" t="s">
        <v>120</v>
      </c>
      <c r="B58" t="s">
        <v>121</v>
      </c>
      <c r="C58" t="s">
        <v>182</v>
      </c>
      <c r="D58" t="s">
        <v>183</v>
      </c>
      <c r="H58" t="str">
        <v>The Southern Francophone Education Region</v>
      </c>
    </row>
    <row r="59" spans="1:8" x14ac:dyDescent="0.3">
      <c r="A59" t="s">
        <v>120</v>
      </c>
      <c r="B59" t="s">
        <v>121</v>
      </c>
      <c r="C59" t="s">
        <v>184</v>
      </c>
      <c r="D59" t="s">
        <v>185</v>
      </c>
      <c r="H59" t="str">
        <v>The St. Albert School Division</v>
      </c>
    </row>
    <row r="60" spans="1:8" x14ac:dyDescent="0.3">
      <c r="A60" t="s">
        <v>120</v>
      </c>
      <c r="B60" t="s">
        <v>121</v>
      </c>
      <c r="C60" t="s">
        <v>186</v>
      </c>
      <c r="D60" t="s">
        <v>187</v>
      </c>
      <c r="H60" t="str">
        <v>The St. Paul School Division</v>
      </c>
    </row>
    <row r="61" spans="1:8" x14ac:dyDescent="0.3">
      <c r="A61" t="s">
        <v>120</v>
      </c>
      <c r="B61" t="s">
        <v>121</v>
      </c>
      <c r="C61" t="s">
        <v>188</v>
      </c>
      <c r="D61" t="s">
        <v>189</v>
      </c>
      <c r="H61" t="str">
        <v xml:space="preserve">The St. Thomas Aquinas Roman Catholic Separate School Division </v>
      </c>
    </row>
    <row r="62" spans="1:8" x14ac:dyDescent="0.3">
      <c r="A62" t="s">
        <v>190</v>
      </c>
      <c r="B62" t="s">
        <v>191</v>
      </c>
      <c r="C62" t="s">
        <v>192</v>
      </c>
      <c r="D62" t="s">
        <v>193</v>
      </c>
      <c r="H62" t="str">
        <v xml:space="preserve">The Sturgeon School Division </v>
      </c>
    </row>
    <row r="63" spans="1:8" x14ac:dyDescent="0.3">
      <c r="A63" t="s">
        <v>190</v>
      </c>
      <c r="B63" t="s">
        <v>191</v>
      </c>
      <c r="C63" t="s">
        <v>194</v>
      </c>
      <c r="D63" t="s">
        <v>195</v>
      </c>
      <c r="H63" t="str">
        <v>The Westwind School Division</v>
      </c>
    </row>
    <row r="64" spans="1:8" x14ac:dyDescent="0.3">
      <c r="A64" t="s">
        <v>190</v>
      </c>
      <c r="B64" t="s">
        <v>191</v>
      </c>
      <c r="C64" t="s">
        <v>196</v>
      </c>
      <c r="D64" t="s">
        <v>197</v>
      </c>
      <c r="H64" t="str">
        <v>The Wetaskiwin School Division</v>
      </c>
    </row>
    <row r="65" spans="1:8" x14ac:dyDescent="0.3">
      <c r="A65" t="s">
        <v>190</v>
      </c>
      <c r="B65" t="s">
        <v>191</v>
      </c>
      <c r="C65" t="s">
        <v>198</v>
      </c>
      <c r="D65" t="s">
        <v>199</v>
      </c>
      <c r="H65" t="str">
        <v xml:space="preserve">The Wild Rose School Division </v>
      </c>
    </row>
    <row r="66" spans="1:8" x14ac:dyDescent="0.3">
      <c r="A66" t="s">
        <v>190</v>
      </c>
      <c r="B66" t="s">
        <v>191</v>
      </c>
      <c r="C66" t="s">
        <v>200</v>
      </c>
      <c r="D66" t="s">
        <v>201</v>
      </c>
      <c r="H66" t="str">
        <v>The Wolf Creek School Division</v>
      </c>
    </row>
    <row r="67" spans="1:8" x14ac:dyDescent="0.3">
      <c r="A67" t="s">
        <v>190</v>
      </c>
      <c r="B67" t="s">
        <v>191</v>
      </c>
      <c r="C67" t="s">
        <v>202</v>
      </c>
      <c r="D67" t="s">
        <v>203</v>
      </c>
      <c r="H67" t="str">
        <v>Valhalla School Foundation</v>
      </c>
    </row>
    <row r="68" spans="1:8" x14ac:dyDescent="0.3">
      <c r="A68" t="s">
        <v>190</v>
      </c>
      <c r="B68" t="s">
        <v>191</v>
      </c>
      <c r="C68" t="s">
        <v>204</v>
      </c>
      <c r="D68" t="s">
        <v>205</v>
      </c>
    </row>
    <row r="69" spans="1:8" x14ac:dyDescent="0.3">
      <c r="A69" t="s">
        <v>190</v>
      </c>
      <c r="B69" t="s">
        <v>191</v>
      </c>
      <c r="C69" t="s">
        <v>206</v>
      </c>
      <c r="D69" t="s">
        <v>207</v>
      </c>
    </row>
    <row r="70" spans="1:8" x14ac:dyDescent="0.3">
      <c r="A70" t="s">
        <v>190</v>
      </c>
      <c r="B70" t="s">
        <v>191</v>
      </c>
      <c r="C70" t="s">
        <v>208</v>
      </c>
      <c r="D70" t="s">
        <v>209</v>
      </c>
    </row>
    <row r="71" spans="1:8" x14ac:dyDescent="0.3">
      <c r="A71" t="s">
        <v>190</v>
      </c>
      <c r="B71" t="s">
        <v>191</v>
      </c>
      <c r="C71" t="s">
        <v>210</v>
      </c>
      <c r="D71" t="s">
        <v>211</v>
      </c>
    </row>
    <row r="72" spans="1:8" x14ac:dyDescent="0.3">
      <c r="A72" t="s">
        <v>190</v>
      </c>
      <c r="B72" t="s">
        <v>191</v>
      </c>
      <c r="C72" t="s">
        <v>212</v>
      </c>
      <c r="D72" t="s">
        <v>213</v>
      </c>
    </row>
    <row r="73" spans="1:8" x14ac:dyDescent="0.3">
      <c r="A73" t="s">
        <v>190</v>
      </c>
      <c r="B73" t="s">
        <v>191</v>
      </c>
      <c r="C73" t="s">
        <v>214</v>
      </c>
      <c r="D73" t="s">
        <v>215</v>
      </c>
    </row>
    <row r="74" spans="1:8" x14ac:dyDescent="0.3">
      <c r="A74" t="s">
        <v>190</v>
      </c>
      <c r="B74" t="s">
        <v>191</v>
      </c>
      <c r="C74" t="s">
        <v>216</v>
      </c>
      <c r="D74" t="s">
        <v>217</v>
      </c>
    </row>
    <row r="75" spans="1:8" x14ac:dyDescent="0.3">
      <c r="A75" t="s">
        <v>190</v>
      </c>
      <c r="B75" t="s">
        <v>191</v>
      </c>
      <c r="C75" t="s">
        <v>218</v>
      </c>
      <c r="D75" t="s">
        <v>219</v>
      </c>
    </row>
    <row r="76" spans="1:8" x14ac:dyDescent="0.3">
      <c r="A76" t="s">
        <v>190</v>
      </c>
      <c r="B76" t="s">
        <v>191</v>
      </c>
      <c r="C76" t="s">
        <v>220</v>
      </c>
      <c r="D76" t="s">
        <v>221</v>
      </c>
    </row>
    <row r="77" spans="1:8" x14ac:dyDescent="0.3">
      <c r="A77" t="s">
        <v>190</v>
      </c>
      <c r="B77" t="s">
        <v>191</v>
      </c>
      <c r="C77" t="s">
        <v>222</v>
      </c>
      <c r="D77" t="s">
        <v>223</v>
      </c>
    </row>
    <row r="78" spans="1:8" x14ac:dyDescent="0.3">
      <c r="A78" t="s">
        <v>190</v>
      </c>
      <c r="B78" t="s">
        <v>191</v>
      </c>
      <c r="C78" t="s">
        <v>224</v>
      </c>
      <c r="D78" t="s">
        <v>225</v>
      </c>
    </row>
    <row r="79" spans="1:8" x14ac:dyDescent="0.3">
      <c r="A79" t="s">
        <v>190</v>
      </c>
      <c r="B79" t="s">
        <v>191</v>
      </c>
      <c r="C79" t="s">
        <v>226</v>
      </c>
      <c r="D79" t="s">
        <v>227</v>
      </c>
    </row>
    <row r="80" spans="1:8" x14ac:dyDescent="0.3">
      <c r="A80" t="s">
        <v>190</v>
      </c>
      <c r="B80" t="s">
        <v>191</v>
      </c>
      <c r="C80" t="s">
        <v>228</v>
      </c>
      <c r="D80" t="s">
        <v>229</v>
      </c>
    </row>
    <row r="81" spans="1:4" x14ac:dyDescent="0.3">
      <c r="A81" t="s">
        <v>190</v>
      </c>
      <c r="B81" t="s">
        <v>191</v>
      </c>
      <c r="C81" t="s">
        <v>230</v>
      </c>
      <c r="D81" t="s">
        <v>231</v>
      </c>
    </row>
    <row r="82" spans="1:4" x14ac:dyDescent="0.3">
      <c r="A82" t="s">
        <v>190</v>
      </c>
      <c r="B82" t="s">
        <v>191</v>
      </c>
      <c r="C82" t="s">
        <v>232</v>
      </c>
      <c r="D82" t="s">
        <v>233</v>
      </c>
    </row>
    <row r="83" spans="1:4" x14ac:dyDescent="0.3">
      <c r="A83" t="s">
        <v>190</v>
      </c>
      <c r="B83" t="s">
        <v>191</v>
      </c>
      <c r="C83" t="s">
        <v>234</v>
      </c>
      <c r="D83" t="s">
        <v>235</v>
      </c>
    </row>
    <row r="84" spans="1:4" x14ac:dyDescent="0.3">
      <c r="A84" t="s">
        <v>190</v>
      </c>
      <c r="B84" t="s">
        <v>191</v>
      </c>
      <c r="C84" t="s">
        <v>236</v>
      </c>
      <c r="D84" t="s">
        <v>237</v>
      </c>
    </row>
    <row r="85" spans="1:4" x14ac:dyDescent="0.3">
      <c r="A85" t="s">
        <v>190</v>
      </c>
      <c r="B85" t="s">
        <v>191</v>
      </c>
      <c r="C85" t="s">
        <v>238</v>
      </c>
      <c r="D85" t="s">
        <v>239</v>
      </c>
    </row>
    <row r="86" spans="1:4" x14ac:dyDescent="0.3">
      <c r="A86" t="s">
        <v>190</v>
      </c>
      <c r="B86" t="s">
        <v>191</v>
      </c>
      <c r="C86" t="s">
        <v>240</v>
      </c>
      <c r="D86" t="s">
        <v>241</v>
      </c>
    </row>
    <row r="87" spans="1:4" x14ac:dyDescent="0.3">
      <c r="A87" t="s">
        <v>190</v>
      </c>
      <c r="B87" t="s">
        <v>191</v>
      </c>
      <c r="C87" t="s">
        <v>242</v>
      </c>
      <c r="D87" t="s">
        <v>243</v>
      </c>
    </row>
    <row r="88" spans="1:4" x14ac:dyDescent="0.3">
      <c r="A88" t="s">
        <v>190</v>
      </c>
      <c r="B88" t="s">
        <v>191</v>
      </c>
      <c r="C88" t="s">
        <v>244</v>
      </c>
      <c r="D88" t="s">
        <v>245</v>
      </c>
    </row>
    <row r="89" spans="1:4" x14ac:dyDescent="0.3">
      <c r="A89" t="s">
        <v>190</v>
      </c>
      <c r="B89" t="s">
        <v>191</v>
      </c>
      <c r="C89" t="s">
        <v>246</v>
      </c>
      <c r="D89" t="s">
        <v>247</v>
      </c>
    </row>
    <row r="90" spans="1:4" x14ac:dyDescent="0.3">
      <c r="A90" t="s">
        <v>190</v>
      </c>
      <c r="B90" t="s">
        <v>191</v>
      </c>
      <c r="C90" t="s">
        <v>248</v>
      </c>
      <c r="D90" t="s">
        <v>249</v>
      </c>
    </row>
    <row r="91" spans="1:4" x14ac:dyDescent="0.3">
      <c r="A91" t="s">
        <v>190</v>
      </c>
      <c r="B91" t="s">
        <v>191</v>
      </c>
      <c r="C91" t="s">
        <v>250</v>
      </c>
      <c r="D91" t="s">
        <v>251</v>
      </c>
    </row>
    <row r="92" spans="1:4" x14ac:dyDescent="0.3">
      <c r="A92" t="s">
        <v>190</v>
      </c>
      <c r="B92" t="s">
        <v>191</v>
      </c>
      <c r="C92" t="s">
        <v>252</v>
      </c>
      <c r="D92" t="s">
        <v>253</v>
      </c>
    </row>
    <row r="93" spans="1:4" x14ac:dyDescent="0.3">
      <c r="A93" t="s">
        <v>254</v>
      </c>
      <c r="B93" t="s">
        <v>255</v>
      </c>
      <c r="C93" t="s">
        <v>256</v>
      </c>
      <c r="D93" t="s">
        <v>257</v>
      </c>
    </row>
    <row r="94" spans="1:4" x14ac:dyDescent="0.3">
      <c r="A94" t="s">
        <v>254</v>
      </c>
      <c r="B94" t="s">
        <v>255</v>
      </c>
      <c r="C94" t="s">
        <v>258</v>
      </c>
      <c r="D94" t="s">
        <v>259</v>
      </c>
    </row>
    <row r="95" spans="1:4" x14ac:dyDescent="0.3">
      <c r="A95" t="s">
        <v>254</v>
      </c>
      <c r="B95" t="s">
        <v>255</v>
      </c>
      <c r="C95" t="s">
        <v>260</v>
      </c>
      <c r="D95" t="s">
        <v>261</v>
      </c>
    </row>
    <row r="96" spans="1:4" x14ac:dyDescent="0.3">
      <c r="A96" t="s">
        <v>254</v>
      </c>
      <c r="B96" t="s">
        <v>255</v>
      </c>
      <c r="C96" t="s">
        <v>262</v>
      </c>
      <c r="D96" t="s">
        <v>263</v>
      </c>
    </row>
    <row r="97" spans="1:4" x14ac:dyDescent="0.3">
      <c r="A97" t="s">
        <v>254</v>
      </c>
      <c r="B97" t="s">
        <v>255</v>
      </c>
      <c r="C97" t="s">
        <v>264</v>
      </c>
      <c r="D97" t="s">
        <v>265</v>
      </c>
    </row>
    <row r="98" spans="1:4" x14ac:dyDescent="0.3">
      <c r="A98" t="s">
        <v>254</v>
      </c>
      <c r="B98" t="s">
        <v>255</v>
      </c>
      <c r="C98" t="s">
        <v>266</v>
      </c>
      <c r="D98" t="s">
        <v>267</v>
      </c>
    </row>
    <row r="99" spans="1:4" x14ac:dyDescent="0.3">
      <c r="A99" t="s">
        <v>254</v>
      </c>
      <c r="B99" t="s">
        <v>255</v>
      </c>
      <c r="C99" t="s">
        <v>268</v>
      </c>
      <c r="D99" t="s">
        <v>269</v>
      </c>
    </row>
    <row r="100" spans="1:4" x14ac:dyDescent="0.3">
      <c r="A100" t="s">
        <v>254</v>
      </c>
      <c r="B100" t="s">
        <v>255</v>
      </c>
      <c r="C100" t="s">
        <v>270</v>
      </c>
      <c r="D100" t="s">
        <v>271</v>
      </c>
    </row>
    <row r="101" spans="1:4" x14ac:dyDescent="0.3">
      <c r="A101" t="s">
        <v>254</v>
      </c>
      <c r="B101" t="s">
        <v>255</v>
      </c>
      <c r="C101" t="s">
        <v>272</v>
      </c>
      <c r="D101" t="s">
        <v>273</v>
      </c>
    </row>
    <row r="102" spans="1:4" x14ac:dyDescent="0.3">
      <c r="A102" t="s">
        <v>254</v>
      </c>
      <c r="B102" t="s">
        <v>255</v>
      </c>
      <c r="C102" t="s">
        <v>274</v>
      </c>
      <c r="D102" t="s">
        <v>275</v>
      </c>
    </row>
    <row r="103" spans="1:4" x14ac:dyDescent="0.3">
      <c r="A103" t="s">
        <v>254</v>
      </c>
      <c r="B103" t="s">
        <v>255</v>
      </c>
      <c r="C103" t="s">
        <v>276</v>
      </c>
      <c r="D103" t="s">
        <v>277</v>
      </c>
    </row>
    <row r="104" spans="1:4" x14ac:dyDescent="0.3">
      <c r="A104" t="s">
        <v>254</v>
      </c>
      <c r="B104" t="s">
        <v>255</v>
      </c>
      <c r="C104" t="s">
        <v>278</v>
      </c>
      <c r="D104" t="s">
        <v>279</v>
      </c>
    </row>
    <row r="105" spans="1:4" x14ac:dyDescent="0.3">
      <c r="A105" t="s">
        <v>254</v>
      </c>
      <c r="B105" t="s">
        <v>255</v>
      </c>
      <c r="C105" t="s">
        <v>280</v>
      </c>
      <c r="D105" t="s">
        <v>281</v>
      </c>
    </row>
    <row r="106" spans="1:4" x14ac:dyDescent="0.3">
      <c r="A106" t="s">
        <v>254</v>
      </c>
      <c r="B106" t="s">
        <v>255</v>
      </c>
      <c r="C106" t="s">
        <v>282</v>
      </c>
      <c r="D106" t="s">
        <v>283</v>
      </c>
    </row>
    <row r="107" spans="1:4" x14ac:dyDescent="0.3">
      <c r="A107" t="s">
        <v>254</v>
      </c>
      <c r="B107" t="s">
        <v>255</v>
      </c>
      <c r="C107" t="s">
        <v>284</v>
      </c>
      <c r="D107" t="s">
        <v>285</v>
      </c>
    </row>
    <row r="108" spans="1:4" x14ac:dyDescent="0.3">
      <c r="A108" t="s">
        <v>254</v>
      </c>
      <c r="B108" t="s">
        <v>255</v>
      </c>
      <c r="C108" t="s">
        <v>286</v>
      </c>
      <c r="D108" t="s">
        <v>287</v>
      </c>
    </row>
    <row r="109" spans="1:4" x14ac:dyDescent="0.3">
      <c r="A109" t="s">
        <v>254</v>
      </c>
      <c r="B109" t="s">
        <v>255</v>
      </c>
      <c r="C109" t="s">
        <v>288</v>
      </c>
      <c r="D109" t="s">
        <v>289</v>
      </c>
    </row>
    <row r="110" spans="1:4" x14ac:dyDescent="0.3">
      <c r="A110" t="s">
        <v>254</v>
      </c>
      <c r="B110" t="s">
        <v>255</v>
      </c>
      <c r="C110" t="s">
        <v>290</v>
      </c>
      <c r="D110" t="s">
        <v>291</v>
      </c>
    </row>
    <row r="111" spans="1:4" x14ac:dyDescent="0.3">
      <c r="A111" t="s">
        <v>254</v>
      </c>
      <c r="B111" t="s">
        <v>255</v>
      </c>
      <c r="C111" t="s">
        <v>292</v>
      </c>
      <c r="D111" t="s">
        <v>293</v>
      </c>
    </row>
    <row r="112" spans="1:4" x14ac:dyDescent="0.3">
      <c r="A112" t="s">
        <v>254</v>
      </c>
      <c r="B112" t="s">
        <v>255</v>
      </c>
      <c r="C112" t="s">
        <v>294</v>
      </c>
      <c r="D112" t="s">
        <v>295</v>
      </c>
    </row>
    <row r="113" spans="1:4" x14ac:dyDescent="0.3">
      <c r="A113" t="s">
        <v>254</v>
      </c>
      <c r="B113" t="s">
        <v>255</v>
      </c>
      <c r="C113" t="s">
        <v>296</v>
      </c>
      <c r="D113" t="s">
        <v>297</v>
      </c>
    </row>
    <row r="114" spans="1:4" x14ac:dyDescent="0.3">
      <c r="A114" t="s">
        <v>254</v>
      </c>
      <c r="B114" t="s">
        <v>255</v>
      </c>
      <c r="C114" t="s">
        <v>298</v>
      </c>
      <c r="D114" t="s">
        <v>299</v>
      </c>
    </row>
    <row r="115" spans="1:4" x14ac:dyDescent="0.3">
      <c r="A115" t="s">
        <v>254</v>
      </c>
      <c r="B115" t="s">
        <v>255</v>
      </c>
      <c r="C115" t="s">
        <v>300</v>
      </c>
      <c r="D115" t="s">
        <v>301</v>
      </c>
    </row>
    <row r="116" spans="1:4" x14ac:dyDescent="0.3">
      <c r="A116" t="s">
        <v>254</v>
      </c>
      <c r="B116" t="s">
        <v>255</v>
      </c>
      <c r="C116" t="s">
        <v>302</v>
      </c>
      <c r="D116" t="s">
        <v>303</v>
      </c>
    </row>
    <row r="117" spans="1:4" x14ac:dyDescent="0.3">
      <c r="A117" t="s">
        <v>254</v>
      </c>
      <c r="B117" t="s">
        <v>255</v>
      </c>
      <c r="C117" t="s">
        <v>304</v>
      </c>
      <c r="D117" t="s">
        <v>305</v>
      </c>
    </row>
    <row r="118" spans="1:4" x14ac:dyDescent="0.3">
      <c r="A118" t="s">
        <v>254</v>
      </c>
      <c r="B118" t="s">
        <v>255</v>
      </c>
      <c r="C118" t="s">
        <v>306</v>
      </c>
      <c r="D118" t="s">
        <v>307</v>
      </c>
    </row>
    <row r="119" spans="1:4" x14ac:dyDescent="0.3">
      <c r="A119" t="s">
        <v>254</v>
      </c>
      <c r="B119" t="s">
        <v>255</v>
      </c>
      <c r="C119" t="s">
        <v>308</v>
      </c>
      <c r="D119" t="s">
        <v>309</v>
      </c>
    </row>
    <row r="120" spans="1:4" x14ac:dyDescent="0.3">
      <c r="A120" t="s">
        <v>310</v>
      </c>
      <c r="B120" t="s">
        <v>311</v>
      </c>
      <c r="C120" t="s">
        <v>312</v>
      </c>
      <c r="D120" t="s">
        <v>313</v>
      </c>
    </row>
    <row r="121" spans="1:4" x14ac:dyDescent="0.3">
      <c r="A121" t="s">
        <v>310</v>
      </c>
      <c r="B121" t="s">
        <v>311</v>
      </c>
      <c r="C121" t="s">
        <v>314</v>
      </c>
      <c r="D121" t="s">
        <v>315</v>
      </c>
    </row>
    <row r="122" spans="1:4" x14ac:dyDescent="0.3">
      <c r="A122" t="s">
        <v>310</v>
      </c>
      <c r="B122" t="s">
        <v>311</v>
      </c>
      <c r="C122" t="s">
        <v>316</v>
      </c>
      <c r="D122" t="s">
        <v>317</v>
      </c>
    </row>
    <row r="123" spans="1:4" x14ac:dyDescent="0.3">
      <c r="A123" t="s">
        <v>310</v>
      </c>
      <c r="B123" t="s">
        <v>311</v>
      </c>
      <c r="C123" t="s">
        <v>318</v>
      </c>
      <c r="D123" t="s">
        <v>319</v>
      </c>
    </row>
    <row r="124" spans="1:4" x14ac:dyDescent="0.3">
      <c r="A124" t="s">
        <v>310</v>
      </c>
      <c r="B124" t="s">
        <v>311</v>
      </c>
      <c r="C124" t="s">
        <v>320</v>
      </c>
      <c r="D124" t="s">
        <v>321</v>
      </c>
    </row>
    <row r="125" spans="1:4" x14ac:dyDescent="0.3">
      <c r="A125" t="s">
        <v>310</v>
      </c>
      <c r="B125" t="s">
        <v>311</v>
      </c>
      <c r="C125" t="s">
        <v>322</v>
      </c>
      <c r="D125" t="s">
        <v>323</v>
      </c>
    </row>
    <row r="126" spans="1:4" x14ac:dyDescent="0.3">
      <c r="A126" t="s">
        <v>310</v>
      </c>
      <c r="B126" t="s">
        <v>311</v>
      </c>
      <c r="C126" t="s">
        <v>324</v>
      </c>
      <c r="D126" t="s">
        <v>325</v>
      </c>
    </row>
    <row r="127" spans="1:4" x14ac:dyDescent="0.3">
      <c r="A127" t="s">
        <v>310</v>
      </c>
      <c r="B127" t="s">
        <v>311</v>
      </c>
      <c r="C127" t="s">
        <v>326</v>
      </c>
      <c r="D127" t="s">
        <v>327</v>
      </c>
    </row>
    <row r="128" spans="1:4" x14ac:dyDescent="0.3">
      <c r="A128" t="s">
        <v>310</v>
      </c>
      <c r="B128" t="s">
        <v>311</v>
      </c>
      <c r="C128" t="s">
        <v>328</v>
      </c>
      <c r="D128" t="s">
        <v>329</v>
      </c>
    </row>
    <row r="129" spans="1:4" x14ac:dyDescent="0.3">
      <c r="A129" t="s">
        <v>310</v>
      </c>
      <c r="B129" t="s">
        <v>311</v>
      </c>
      <c r="C129" t="s">
        <v>330</v>
      </c>
      <c r="D129" t="s">
        <v>331</v>
      </c>
    </row>
    <row r="130" spans="1:4" x14ac:dyDescent="0.3">
      <c r="A130" t="s">
        <v>310</v>
      </c>
      <c r="B130" t="s">
        <v>311</v>
      </c>
      <c r="C130" t="s">
        <v>332</v>
      </c>
      <c r="D130" t="s">
        <v>333</v>
      </c>
    </row>
    <row r="131" spans="1:4" x14ac:dyDescent="0.3">
      <c r="A131" t="s">
        <v>310</v>
      </c>
      <c r="B131" t="s">
        <v>311</v>
      </c>
      <c r="C131" t="s">
        <v>334</v>
      </c>
      <c r="D131" t="s">
        <v>335</v>
      </c>
    </row>
    <row r="132" spans="1:4" x14ac:dyDescent="0.3">
      <c r="A132" t="s">
        <v>310</v>
      </c>
      <c r="B132" t="s">
        <v>311</v>
      </c>
      <c r="C132" t="s">
        <v>336</v>
      </c>
      <c r="D132" t="s">
        <v>337</v>
      </c>
    </row>
    <row r="133" spans="1:4" x14ac:dyDescent="0.3">
      <c r="A133" t="s">
        <v>310</v>
      </c>
      <c r="B133" t="s">
        <v>311</v>
      </c>
      <c r="C133" t="s">
        <v>338</v>
      </c>
      <c r="D133" t="s">
        <v>339</v>
      </c>
    </row>
    <row r="134" spans="1:4" x14ac:dyDescent="0.3">
      <c r="A134" t="s">
        <v>310</v>
      </c>
      <c r="B134" t="s">
        <v>311</v>
      </c>
      <c r="C134" t="s">
        <v>340</v>
      </c>
      <c r="D134" t="s">
        <v>341</v>
      </c>
    </row>
    <row r="135" spans="1:4" x14ac:dyDescent="0.3">
      <c r="A135" t="s">
        <v>310</v>
      </c>
      <c r="B135" t="s">
        <v>311</v>
      </c>
      <c r="C135" t="s">
        <v>342</v>
      </c>
      <c r="D135" t="s">
        <v>343</v>
      </c>
    </row>
    <row r="136" spans="1:4" x14ac:dyDescent="0.3">
      <c r="A136" t="s">
        <v>310</v>
      </c>
      <c r="B136" t="s">
        <v>311</v>
      </c>
      <c r="C136" t="s">
        <v>344</v>
      </c>
      <c r="D136" t="s">
        <v>345</v>
      </c>
    </row>
    <row r="137" spans="1:4" x14ac:dyDescent="0.3">
      <c r="A137" t="s">
        <v>310</v>
      </c>
      <c r="B137" t="s">
        <v>311</v>
      </c>
      <c r="C137" t="s">
        <v>346</v>
      </c>
      <c r="D137" t="s">
        <v>347</v>
      </c>
    </row>
    <row r="138" spans="1:4" x14ac:dyDescent="0.3">
      <c r="A138" t="s">
        <v>310</v>
      </c>
      <c r="B138" t="s">
        <v>311</v>
      </c>
      <c r="C138" t="s">
        <v>348</v>
      </c>
      <c r="D138" t="s">
        <v>349</v>
      </c>
    </row>
    <row r="139" spans="1:4" x14ac:dyDescent="0.3">
      <c r="A139" t="s">
        <v>310</v>
      </c>
      <c r="B139" t="s">
        <v>311</v>
      </c>
      <c r="C139" t="s">
        <v>350</v>
      </c>
      <c r="D139" t="s">
        <v>351</v>
      </c>
    </row>
    <row r="140" spans="1:4" x14ac:dyDescent="0.3">
      <c r="A140" t="s">
        <v>310</v>
      </c>
      <c r="B140" t="s">
        <v>311</v>
      </c>
      <c r="C140" t="s">
        <v>352</v>
      </c>
      <c r="D140" t="s">
        <v>353</v>
      </c>
    </row>
    <row r="141" spans="1:4" x14ac:dyDescent="0.3">
      <c r="A141" t="s">
        <v>310</v>
      </c>
      <c r="B141" t="s">
        <v>311</v>
      </c>
      <c r="C141" t="s">
        <v>354</v>
      </c>
      <c r="D141" t="s">
        <v>355</v>
      </c>
    </row>
    <row r="142" spans="1:4" x14ac:dyDescent="0.3">
      <c r="A142" t="s">
        <v>310</v>
      </c>
      <c r="B142" t="s">
        <v>311</v>
      </c>
      <c r="C142" t="s">
        <v>356</v>
      </c>
      <c r="D142" t="s">
        <v>357</v>
      </c>
    </row>
    <row r="143" spans="1:4" x14ac:dyDescent="0.3">
      <c r="A143" t="s">
        <v>310</v>
      </c>
      <c r="B143" t="s">
        <v>311</v>
      </c>
      <c r="C143" t="s">
        <v>358</v>
      </c>
      <c r="D143" t="s">
        <v>359</v>
      </c>
    </row>
    <row r="144" spans="1:4" x14ac:dyDescent="0.3">
      <c r="A144" t="s">
        <v>310</v>
      </c>
      <c r="B144" t="s">
        <v>311</v>
      </c>
      <c r="C144" t="s">
        <v>360</v>
      </c>
      <c r="D144" t="s">
        <v>361</v>
      </c>
    </row>
    <row r="145" spans="1:4" x14ac:dyDescent="0.3">
      <c r="A145" t="s">
        <v>310</v>
      </c>
      <c r="B145" t="s">
        <v>311</v>
      </c>
      <c r="C145" t="s">
        <v>362</v>
      </c>
      <c r="D145" t="s">
        <v>363</v>
      </c>
    </row>
    <row r="146" spans="1:4" x14ac:dyDescent="0.3">
      <c r="A146" t="s">
        <v>310</v>
      </c>
      <c r="B146" t="s">
        <v>311</v>
      </c>
      <c r="C146" t="s">
        <v>364</v>
      </c>
      <c r="D146" t="s">
        <v>365</v>
      </c>
    </row>
    <row r="147" spans="1:4" x14ac:dyDescent="0.3">
      <c r="A147" t="s">
        <v>310</v>
      </c>
      <c r="B147" t="s">
        <v>311</v>
      </c>
      <c r="C147" t="s">
        <v>366</v>
      </c>
      <c r="D147" t="s">
        <v>367</v>
      </c>
    </row>
    <row r="148" spans="1:4" x14ac:dyDescent="0.3">
      <c r="A148" t="s">
        <v>310</v>
      </c>
      <c r="B148" t="s">
        <v>311</v>
      </c>
      <c r="C148" t="s">
        <v>368</v>
      </c>
      <c r="D148" t="s">
        <v>369</v>
      </c>
    </row>
    <row r="149" spans="1:4" x14ac:dyDescent="0.3">
      <c r="A149" t="s">
        <v>310</v>
      </c>
      <c r="B149" t="s">
        <v>311</v>
      </c>
      <c r="C149" t="s">
        <v>370</v>
      </c>
      <c r="D149" t="s">
        <v>371</v>
      </c>
    </row>
    <row r="150" spans="1:4" x14ac:dyDescent="0.3">
      <c r="A150" t="s">
        <v>310</v>
      </c>
      <c r="B150" t="s">
        <v>311</v>
      </c>
      <c r="C150" t="s">
        <v>372</v>
      </c>
      <c r="D150" t="s">
        <v>373</v>
      </c>
    </row>
    <row r="151" spans="1:4" x14ac:dyDescent="0.3">
      <c r="A151" t="s">
        <v>310</v>
      </c>
      <c r="B151" t="s">
        <v>311</v>
      </c>
      <c r="C151" t="s">
        <v>374</v>
      </c>
      <c r="D151" t="s">
        <v>375</v>
      </c>
    </row>
    <row r="152" spans="1:4" x14ac:dyDescent="0.3">
      <c r="A152" t="s">
        <v>310</v>
      </c>
      <c r="B152" t="s">
        <v>311</v>
      </c>
      <c r="C152" t="s">
        <v>376</v>
      </c>
      <c r="D152" t="s">
        <v>377</v>
      </c>
    </row>
    <row r="153" spans="1:4" x14ac:dyDescent="0.3">
      <c r="A153" t="s">
        <v>310</v>
      </c>
      <c r="B153" t="s">
        <v>311</v>
      </c>
      <c r="C153" t="s">
        <v>378</v>
      </c>
      <c r="D153" t="s">
        <v>379</v>
      </c>
    </row>
    <row r="154" spans="1:4" x14ac:dyDescent="0.3">
      <c r="A154" t="s">
        <v>310</v>
      </c>
      <c r="B154" t="s">
        <v>311</v>
      </c>
      <c r="C154" t="s">
        <v>380</v>
      </c>
      <c r="D154" t="s">
        <v>381</v>
      </c>
    </row>
    <row r="155" spans="1:4" x14ac:dyDescent="0.3">
      <c r="A155" t="s">
        <v>310</v>
      </c>
      <c r="B155" t="s">
        <v>311</v>
      </c>
      <c r="C155" t="s">
        <v>382</v>
      </c>
      <c r="D155" t="s">
        <v>383</v>
      </c>
    </row>
    <row r="156" spans="1:4" x14ac:dyDescent="0.3">
      <c r="A156" t="s">
        <v>310</v>
      </c>
      <c r="B156" t="s">
        <v>311</v>
      </c>
      <c r="C156" t="s">
        <v>384</v>
      </c>
      <c r="D156" t="s">
        <v>385</v>
      </c>
    </row>
    <row r="157" spans="1:4" x14ac:dyDescent="0.3">
      <c r="A157" t="s">
        <v>310</v>
      </c>
      <c r="B157" t="s">
        <v>311</v>
      </c>
      <c r="C157" t="s">
        <v>386</v>
      </c>
      <c r="D157" t="s">
        <v>387</v>
      </c>
    </row>
    <row r="158" spans="1:4" x14ac:dyDescent="0.3">
      <c r="A158" t="s">
        <v>310</v>
      </c>
      <c r="B158" t="s">
        <v>311</v>
      </c>
      <c r="C158" t="s">
        <v>388</v>
      </c>
      <c r="D158" t="s">
        <v>389</v>
      </c>
    </row>
    <row r="159" spans="1:4" x14ac:dyDescent="0.3">
      <c r="A159" t="s">
        <v>310</v>
      </c>
      <c r="B159" t="s">
        <v>311</v>
      </c>
      <c r="C159" t="s">
        <v>390</v>
      </c>
      <c r="D159" t="s">
        <v>391</v>
      </c>
    </row>
    <row r="160" spans="1:4" x14ac:dyDescent="0.3">
      <c r="A160" t="s">
        <v>310</v>
      </c>
      <c r="B160" t="s">
        <v>311</v>
      </c>
      <c r="C160" t="s">
        <v>392</v>
      </c>
      <c r="D160" t="s">
        <v>393</v>
      </c>
    </row>
    <row r="161" spans="1:4" x14ac:dyDescent="0.3">
      <c r="A161" t="s">
        <v>310</v>
      </c>
      <c r="B161" t="s">
        <v>311</v>
      </c>
      <c r="C161" t="s">
        <v>394</v>
      </c>
      <c r="D161" t="s">
        <v>395</v>
      </c>
    </row>
    <row r="162" spans="1:4" x14ac:dyDescent="0.3">
      <c r="A162" t="s">
        <v>310</v>
      </c>
      <c r="B162" t="s">
        <v>311</v>
      </c>
      <c r="C162" t="s">
        <v>396</v>
      </c>
      <c r="D162" t="s">
        <v>397</v>
      </c>
    </row>
    <row r="163" spans="1:4" x14ac:dyDescent="0.3">
      <c r="A163" t="s">
        <v>310</v>
      </c>
      <c r="B163" t="s">
        <v>311</v>
      </c>
      <c r="C163" t="s">
        <v>398</v>
      </c>
      <c r="D163" t="s">
        <v>399</v>
      </c>
    </row>
    <row r="164" spans="1:4" x14ac:dyDescent="0.3">
      <c r="A164" t="s">
        <v>310</v>
      </c>
      <c r="B164" t="s">
        <v>311</v>
      </c>
      <c r="C164" t="s">
        <v>400</v>
      </c>
      <c r="D164" t="s">
        <v>401</v>
      </c>
    </row>
    <row r="165" spans="1:4" x14ac:dyDescent="0.3">
      <c r="A165" t="s">
        <v>310</v>
      </c>
      <c r="B165" t="s">
        <v>311</v>
      </c>
      <c r="C165" t="s">
        <v>402</v>
      </c>
      <c r="D165" t="s">
        <v>403</v>
      </c>
    </row>
    <row r="166" spans="1:4" x14ac:dyDescent="0.3">
      <c r="A166" t="s">
        <v>310</v>
      </c>
      <c r="B166" t="s">
        <v>311</v>
      </c>
      <c r="C166" t="s">
        <v>404</v>
      </c>
      <c r="D166" t="s">
        <v>405</v>
      </c>
    </row>
    <row r="167" spans="1:4" x14ac:dyDescent="0.3">
      <c r="A167" t="s">
        <v>310</v>
      </c>
      <c r="B167" t="s">
        <v>311</v>
      </c>
      <c r="C167" t="s">
        <v>406</v>
      </c>
      <c r="D167" t="s">
        <v>407</v>
      </c>
    </row>
    <row r="168" spans="1:4" x14ac:dyDescent="0.3">
      <c r="A168" t="s">
        <v>310</v>
      </c>
      <c r="B168" t="s">
        <v>311</v>
      </c>
      <c r="C168" t="s">
        <v>408</v>
      </c>
      <c r="D168" t="s">
        <v>409</v>
      </c>
    </row>
    <row r="169" spans="1:4" x14ac:dyDescent="0.3">
      <c r="A169" t="s">
        <v>310</v>
      </c>
      <c r="B169" t="s">
        <v>311</v>
      </c>
      <c r="C169" t="s">
        <v>410</v>
      </c>
      <c r="D169" t="s">
        <v>411</v>
      </c>
    </row>
    <row r="170" spans="1:4" x14ac:dyDescent="0.3">
      <c r="A170" t="s">
        <v>310</v>
      </c>
      <c r="B170" t="s">
        <v>311</v>
      </c>
      <c r="C170" t="s">
        <v>412</v>
      </c>
      <c r="D170" t="s">
        <v>413</v>
      </c>
    </row>
    <row r="171" spans="1:4" x14ac:dyDescent="0.3">
      <c r="A171" t="s">
        <v>310</v>
      </c>
      <c r="B171" t="s">
        <v>311</v>
      </c>
      <c r="C171" t="s">
        <v>414</v>
      </c>
      <c r="D171" t="s">
        <v>415</v>
      </c>
    </row>
    <row r="172" spans="1:4" x14ac:dyDescent="0.3">
      <c r="A172" t="s">
        <v>310</v>
      </c>
      <c r="B172" t="s">
        <v>311</v>
      </c>
      <c r="C172" t="s">
        <v>416</v>
      </c>
      <c r="D172" t="s">
        <v>417</v>
      </c>
    </row>
    <row r="173" spans="1:4" x14ac:dyDescent="0.3">
      <c r="A173" t="s">
        <v>310</v>
      </c>
      <c r="B173" t="s">
        <v>311</v>
      </c>
      <c r="C173" t="s">
        <v>418</v>
      </c>
      <c r="D173" t="s">
        <v>419</v>
      </c>
    </row>
    <row r="174" spans="1:4" x14ac:dyDescent="0.3">
      <c r="A174" t="s">
        <v>310</v>
      </c>
      <c r="B174" t="s">
        <v>311</v>
      </c>
      <c r="C174" t="s">
        <v>420</v>
      </c>
      <c r="D174" t="s">
        <v>421</v>
      </c>
    </row>
    <row r="175" spans="1:4" x14ac:dyDescent="0.3">
      <c r="A175" t="s">
        <v>310</v>
      </c>
      <c r="B175" t="s">
        <v>311</v>
      </c>
      <c r="C175" t="s">
        <v>422</v>
      </c>
      <c r="D175" t="s">
        <v>423</v>
      </c>
    </row>
    <row r="176" spans="1:4" x14ac:dyDescent="0.3">
      <c r="A176" t="s">
        <v>310</v>
      </c>
      <c r="B176" t="s">
        <v>311</v>
      </c>
      <c r="C176" t="s">
        <v>424</v>
      </c>
      <c r="D176" t="s">
        <v>425</v>
      </c>
    </row>
    <row r="177" spans="1:4" x14ac:dyDescent="0.3">
      <c r="A177" t="s">
        <v>310</v>
      </c>
      <c r="B177" t="s">
        <v>311</v>
      </c>
      <c r="C177" t="s">
        <v>426</v>
      </c>
      <c r="D177" t="s">
        <v>427</v>
      </c>
    </row>
    <row r="178" spans="1:4" x14ac:dyDescent="0.3">
      <c r="A178" t="s">
        <v>310</v>
      </c>
      <c r="B178" t="s">
        <v>311</v>
      </c>
      <c r="C178" t="s">
        <v>428</v>
      </c>
      <c r="D178" t="s">
        <v>429</v>
      </c>
    </row>
    <row r="179" spans="1:4" x14ac:dyDescent="0.3">
      <c r="A179" t="s">
        <v>310</v>
      </c>
      <c r="B179" t="s">
        <v>311</v>
      </c>
      <c r="C179" t="s">
        <v>430</v>
      </c>
      <c r="D179" t="s">
        <v>431</v>
      </c>
    </row>
    <row r="180" spans="1:4" x14ac:dyDescent="0.3">
      <c r="A180" t="s">
        <v>310</v>
      </c>
      <c r="B180" t="s">
        <v>311</v>
      </c>
      <c r="C180" t="s">
        <v>432</v>
      </c>
      <c r="D180" t="s">
        <v>433</v>
      </c>
    </row>
    <row r="181" spans="1:4" x14ac:dyDescent="0.3">
      <c r="A181" t="s">
        <v>310</v>
      </c>
      <c r="B181" t="s">
        <v>311</v>
      </c>
      <c r="C181" t="s">
        <v>434</v>
      </c>
      <c r="D181" t="s">
        <v>435</v>
      </c>
    </row>
    <row r="182" spans="1:4" x14ac:dyDescent="0.3">
      <c r="A182" t="s">
        <v>310</v>
      </c>
      <c r="B182" t="s">
        <v>311</v>
      </c>
      <c r="C182" t="s">
        <v>436</v>
      </c>
      <c r="D182" t="s">
        <v>437</v>
      </c>
    </row>
    <row r="183" spans="1:4" x14ac:dyDescent="0.3">
      <c r="A183" t="s">
        <v>310</v>
      </c>
      <c r="B183" t="s">
        <v>311</v>
      </c>
      <c r="C183" t="s">
        <v>438</v>
      </c>
      <c r="D183" t="s">
        <v>439</v>
      </c>
    </row>
    <row r="184" spans="1:4" x14ac:dyDescent="0.3">
      <c r="A184" t="s">
        <v>310</v>
      </c>
      <c r="B184" t="s">
        <v>311</v>
      </c>
      <c r="C184" t="s">
        <v>440</v>
      </c>
      <c r="D184" t="s">
        <v>441</v>
      </c>
    </row>
    <row r="185" spans="1:4" x14ac:dyDescent="0.3">
      <c r="A185" t="s">
        <v>310</v>
      </c>
      <c r="B185" t="s">
        <v>311</v>
      </c>
      <c r="C185" t="s">
        <v>442</v>
      </c>
      <c r="D185" t="s">
        <v>443</v>
      </c>
    </row>
    <row r="186" spans="1:4" x14ac:dyDescent="0.3">
      <c r="A186" t="s">
        <v>310</v>
      </c>
      <c r="B186" t="s">
        <v>311</v>
      </c>
      <c r="C186" t="s">
        <v>444</v>
      </c>
      <c r="D186" t="s">
        <v>445</v>
      </c>
    </row>
    <row r="187" spans="1:4" x14ac:dyDescent="0.3">
      <c r="A187" t="s">
        <v>310</v>
      </c>
      <c r="B187" t="s">
        <v>311</v>
      </c>
      <c r="C187" t="s">
        <v>446</v>
      </c>
      <c r="D187" t="s">
        <v>447</v>
      </c>
    </row>
    <row r="188" spans="1:4" x14ac:dyDescent="0.3">
      <c r="A188" t="s">
        <v>310</v>
      </c>
      <c r="B188" t="s">
        <v>311</v>
      </c>
      <c r="C188" t="s">
        <v>448</v>
      </c>
      <c r="D188" t="s">
        <v>449</v>
      </c>
    </row>
    <row r="189" spans="1:4" x14ac:dyDescent="0.3">
      <c r="A189" t="s">
        <v>310</v>
      </c>
      <c r="B189" t="s">
        <v>311</v>
      </c>
      <c r="C189" t="s">
        <v>450</v>
      </c>
      <c r="D189" t="s">
        <v>451</v>
      </c>
    </row>
    <row r="190" spans="1:4" x14ac:dyDescent="0.3">
      <c r="A190" t="s">
        <v>310</v>
      </c>
      <c r="B190" t="s">
        <v>311</v>
      </c>
      <c r="C190" t="s">
        <v>452</v>
      </c>
      <c r="D190" t="s">
        <v>453</v>
      </c>
    </row>
    <row r="191" spans="1:4" x14ac:dyDescent="0.3">
      <c r="A191" t="s">
        <v>310</v>
      </c>
      <c r="B191" t="s">
        <v>311</v>
      </c>
      <c r="C191" t="s">
        <v>454</v>
      </c>
      <c r="D191" t="s">
        <v>455</v>
      </c>
    </row>
    <row r="192" spans="1:4" x14ac:dyDescent="0.3">
      <c r="A192" t="s">
        <v>310</v>
      </c>
      <c r="B192" t="s">
        <v>311</v>
      </c>
      <c r="C192" t="s">
        <v>456</v>
      </c>
      <c r="D192" t="s">
        <v>457</v>
      </c>
    </row>
    <row r="193" spans="1:4" x14ac:dyDescent="0.3">
      <c r="A193" t="s">
        <v>310</v>
      </c>
      <c r="B193" t="s">
        <v>311</v>
      </c>
      <c r="C193" t="s">
        <v>458</v>
      </c>
      <c r="D193" t="s">
        <v>459</v>
      </c>
    </row>
    <row r="194" spans="1:4" x14ac:dyDescent="0.3">
      <c r="A194" t="s">
        <v>310</v>
      </c>
      <c r="B194" t="s">
        <v>311</v>
      </c>
      <c r="C194" t="s">
        <v>460</v>
      </c>
      <c r="D194" t="s">
        <v>461</v>
      </c>
    </row>
    <row r="195" spans="1:4" x14ac:dyDescent="0.3">
      <c r="A195" t="s">
        <v>310</v>
      </c>
      <c r="B195" t="s">
        <v>311</v>
      </c>
      <c r="C195" t="s">
        <v>462</v>
      </c>
      <c r="D195" t="s">
        <v>463</v>
      </c>
    </row>
    <row r="196" spans="1:4" x14ac:dyDescent="0.3">
      <c r="A196" t="s">
        <v>310</v>
      </c>
      <c r="B196" t="s">
        <v>311</v>
      </c>
      <c r="C196" t="s">
        <v>464</v>
      </c>
      <c r="D196" t="s">
        <v>465</v>
      </c>
    </row>
    <row r="197" spans="1:4" x14ac:dyDescent="0.3">
      <c r="A197" t="s">
        <v>310</v>
      </c>
      <c r="B197" t="s">
        <v>311</v>
      </c>
      <c r="C197" t="s">
        <v>466</v>
      </c>
      <c r="D197" t="s">
        <v>467</v>
      </c>
    </row>
    <row r="198" spans="1:4" x14ac:dyDescent="0.3">
      <c r="A198" t="s">
        <v>310</v>
      </c>
      <c r="B198" t="s">
        <v>311</v>
      </c>
      <c r="C198" t="s">
        <v>468</v>
      </c>
      <c r="D198" t="s">
        <v>469</v>
      </c>
    </row>
    <row r="199" spans="1:4" x14ac:dyDescent="0.3">
      <c r="A199" t="s">
        <v>310</v>
      </c>
      <c r="B199" t="s">
        <v>311</v>
      </c>
      <c r="C199" t="s">
        <v>470</v>
      </c>
      <c r="D199" t="s">
        <v>471</v>
      </c>
    </row>
    <row r="200" spans="1:4" x14ac:dyDescent="0.3">
      <c r="A200" t="s">
        <v>310</v>
      </c>
      <c r="B200" t="s">
        <v>311</v>
      </c>
      <c r="C200" t="s">
        <v>472</v>
      </c>
      <c r="D200" t="s">
        <v>473</v>
      </c>
    </row>
    <row r="201" spans="1:4" x14ac:dyDescent="0.3">
      <c r="A201" t="s">
        <v>310</v>
      </c>
      <c r="B201" t="s">
        <v>311</v>
      </c>
      <c r="C201" t="s">
        <v>474</v>
      </c>
      <c r="D201" t="s">
        <v>475</v>
      </c>
    </row>
    <row r="202" spans="1:4" x14ac:dyDescent="0.3">
      <c r="A202" t="s">
        <v>310</v>
      </c>
      <c r="B202" t="s">
        <v>311</v>
      </c>
      <c r="C202" t="s">
        <v>476</v>
      </c>
      <c r="D202" t="s">
        <v>477</v>
      </c>
    </row>
    <row r="203" spans="1:4" x14ac:dyDescent="0.3">
      <c r="A203" t="s">
        <v>310</v>
      </c>
      <c r="B203" t="s">
        <v>311</v>
      </c>
      <c r="C203" t="s">
        <v>478</v>
      </c>
      <c r="D203" t="s">
        <v>479</v>
      </c>
    </row>
    <row r="204" spans="1:4" x14ac:dyDescent="0.3">
      <c r="A204" t="s">
        <v>310</v>
      </c>
      <c r="B204" t="s">
        <v>311</v>
      </c>
      <c r="C204" t="s">
        <v>480</v>
      </c>
      <c r="D204" t="s">
        <v>481</v>
      </c>
    </row>
    <row r="205" spans="1:4" x14ac:dyDescent="0.3">
      <c r="A205" t="s">
        <v>310</v>
      </c>
      <c r="B205" t="s">
        <v>311</v>
      </c>
      <c r="C205" t="s">
        <v>482</v>
      </c>
      <c r="D205" t="s">
        <v>483</v>
      </c>
    </row>
    <row r="206" spans="1:4" x14ac:dyDescent="0.3">
      <c r="A206" t="s">
        <v>310</v>
      </c>
      <c r="B206" t="s">
        <v>311</v>
      </c>
      <c r="C206" t="s">
        <v>484</v>
      </c>
      <c r="D206" t="s">
        <v>485</v>
      </c>
    </row>
    <row r="207" spans="1:4" x14ac:dyDescent="0.3">
      <c r="A207" t="s">
        <v>310</v>
      </c>
      <c r="B207" t="s">
        <v>311</v>
      </c>
      <c r="C207" t="s">
        <v>486</v>
      </c>
      <c r="D207" t="s">
        <v>487</v>
      </c>
    </row>
    <row r="208" spans="1:4" x14ac:dyDescent="0.3">
      <c r="A208" t="s">
        <v>310</v>
      </c>
      <c r="B208" t="s">
        <v>311</v>
      </c>
      <c r="C208" t="s">
        <v>488</v>
      </c>
      <c r="D208" t="s">
        <v>489</v>
      </c>
    </row>
    <row r="209" spans="1:4" x14ac:dyDescent="0.3">
      <c r="A209" t="s">
        <v>310</v>
      </c>
      <c r="B209" t="s">
        <v>311</v>
      </c>
      <c r="C209" t="s">
        <v>490</v>
      </c>
      <c r="D209" t="s">
        <v>491</v>
      </c>
    </row>
    <row r="210" spans="1:4" x14ac:dyDescent="0.3">
      <c r="A210" t="s">
        <v>310</v>
      </c>
      <c r="B210" t="s">
        <v>311</v>
      </c>
      <c r="C210" t="s">
        <v>492</v>
      </c>
      <c r="D210" t="s">
        <v>493</v>
      </c>
    </row>
    <row r="211" spans="1:4" x14ac:dyDescent="0.3">
      <c r="A211" t="s">
        <v>310</v>
      </c>
      <c r="B211" t="s">
        <v>311</v>
      </c>
      <c r="C211" t="s">
        <v>494</v>
      </c>
      <c r="D211" t="s">
        <v>495</v>
      </c>
    </row>
    <row r="212" spans="1:4" x14ac:dyDescent="0.3">
      <c r="A212" t="s">
        <v>310</v>
      </c>
      <c r="B212" t="s">
        <v>311</v>
      </c>
      <c r="C212" t="s">
        <v>496</v>
      </c>
      <c r="D212" t="s">
        <v>497</v>
      </c>
    </row>
    <row r="213" spans="1:4" x14ac:dyDescent="0.3">
      <c r="A213" t="s">
        <v>310</v>
      </c>
      <c r="B213" t="s">
        <v>311</v>
      </c>
      <c r="C213" t="s">
        <v>498</v>
      </c>
      <c r="D213" t="s">
        <v>499</v>
      </c>
    </row>
    <row r="214" spans="1:4" x14ac:dyDescent="0.3">
      <c r="A214" t="s">
        <v>310</v>
      </c>
      <c r="B214" t="s">
        <v>311</v>
      </c>
      <c r="C214" t="s">
        <v>500</v>
      </c>
      <c r="D214" t="s">
        <v>501</v>
      </c>
    </row>
    <row r="215" spans="1:4" x14ac:dyDescent="0.3">
      <c r="A215" t="s">
        <v>310</v>
      </c>
      <c r="B215" t="s">
        <v>311</v>
      </c>
      <c r="C215" t="s">
        <v>502</v>
      </c>
      <c r="D215" t="s">
        <v>503</v>
      </c>
    </row>
    <row r="216" spans="1:4" x14ac:dyDescent="0.3">
      <c r="A216" t="s">
        <v>310</v>
      </c>
      <c r="B216" t="s">
        <v>311</v>
      </c>
      <c r="C216" t="s">
        <v>504</v>
      </c>
      <c r="D216" t="s">
        <v>505</v>
      </c>
    </row>
    <row r="217" spans="1:4" x14ac:dyDescent="0.3">
      <c r="A217" t="s">
        <v>310</v>
      </c>
      <c r="B217" t="s">
        <v>311</v>
      </c>
      <c r="C217" t="s">
        <v>506</v>
      </c>
      <c r="D217" t="s">
        <v>507</v>
      </c>
    </row>
    <row r="218" spans="1:4" x14ac:dyDescent="0.3">
      <c r="A218" t="s">
        <v>310</v>
      </c>
      <c r="B218" t="s">
        <v>311</v>
      </c>
      <c r="C218" t="s">
        <v>508</v>
      </c>
      <c r="D218" t="s">
        <v>509</v>
      </c>
    </row>
    <row r="219" spans="1:4" x14ac:dyDescent="0.3">
      <c r="A219" t="s">
        <v>310</v>
      </c>
      <c r="B219" t="s">
        <v>311</v>
      </c>
      <c r="C219" t="s">
        <v>510</v>
      </c>
      <c r="D219" t="s">
        <v>511</v>
      </c>
    </row>
    <row r="220" spans="1:4" x14ac:dyDescent="0.3">
      <c r="A220" t="s">
        <v>310</v>
      </c>
      <c r="B220" t="s">
        <v>311</v>
      </c>
      <c r="C220" t="s">
        <v>512</v>
      </c>
      <c r="D220" t="s">
        <v>513</v>
      </c>
    </row>
    <row r="221" spans="1:4" x14ac:dyDescent="0.3">
      <c r="A221" t="s">
        <v>310</v>
      </c>
      <c r="B221" t="s">
        <v>311</v>
      </c>
      <c r="C221" t="s">
        <v>514</v>
      </c>
      <c r="D221" t="s">
        <v>515</v>
      </c>
    </row>
    <row r="222" spans="1:4" x14ac:dyDescent="0.3">
      <c r="A222" t="s">
        <v>310</v>
      </c>
      <c r="B222" t="s">
        <v>311</v>
      </c>
      <c r="C222" t="s">
        <v>516</v>
      </c>
      <c r="D222" t="s">
        <v>517</v>
      </c>
    </row>
    <row r="223" spans="1:4" x14ac:dyDescent="0.3">
      <c r="A223" t="s">
        <v>310</v>
      </c>
      <c r="B223" t="s">
        <v>311</v>
      </c>
      <c r="C223" t="s">
        <v>518</v>
      </c>
      <c r="D223" t="s">
        <v>519</v>
      </c>
    </row>
    <row r="224" spans="1:4" x14ac:dyDescent="0.3">
      <c r="A224" t="s">
        <v>310</v>
      </c>
      <c r="B224" t="s">
        <v>311</v>
      </c>
      <c r="C224" t="s">
        <v>520</v>
      </c>
      <c r="D224" t="s">
        <v>521</v>
      </c>
    </row>
    <row r="225" spans="1:4" x14ac:dyDescent="0.3">
      <c r="A225" t="s">
        <v>310</v>
      </c>
      <c r="B225" t="s">
        <v>311</v>
      </c>
      <c r="C225" t="s">
        <v>522</v>
      </c>
      <c r="D225" t="s">
        <v>523</v>
      </c>
    </row>
    <row r="226" spans="1:4" x14ac:dyDescent="0.3">
      <c r="A226" t="s">
        <v>310</v>
      </c>
      <c r="B226" t="s">
        <v>311</v>
      </c>
      <c r="C226" t="s">
        <v>524</v>
      </c>
      <c r="D226" t="s">
        <v>525</v>
      </c>
    </row>
    <row r="227" spans="1:4" x14ac:dyDescent="0.3">
      <c r="A227" t="s">
        <v>310</v>
      </c>
      <c r="B227" t="s">
        <v>311</v>
      </c>
      <c r="C227" t="s">
        <v>526</v>
      </c>
      <c r="D227" t="s">
        <v>527</v>
      </c>
    </row>
    <row r="228" spans="1:4" x14ac:dyDescent="0.3">
      <c r="A228" t="s">
        <v>310</v>
      </c>
      <c r="B228" t="s">
        <v>311</v>
      </c>
      <c r="C228" t="s">
        <v>528</v>
      </c>
      <c r="D228" t="s">
        <v>529</v>
      </c>
    </row>
    <row r="229" spans="1:4" x14ac:dyDescent="0.3">
      <c r="A229" t="s">
        <v>310</v>
      </c>
      <c r="B229" t="s">
        <v>311</v>
      </c>
      <c r="C229" t="s">
        <v>530</v>
      </c>
      <c r="D229" t="s">
        <v>531</v>
      </c>
    </row>
    <row r="230" spans="1:4" x14ac:dyDescent="0.3">
      <c r="A230" t="s">
        <v>310</v>
      </c>
      <c r="B230" t="s">
        <v>311</v>
      </c>
      <c r="C230" t="s">
        <v>532</v>
      </c>
      <c r="D230" t="s">
        <v>533</v>
      </c>
    </row>
    <row r="231" spans="1:4" x14ac:dyDescent="0.3">
      <c r="A231" t="s">
        <v>310</v>
      </c>
      <c r="B231" t="s">
        <v>311</v>
      </c>
      <c r="C231" t="s">
        <v>534</v>
      </c>
      <c r="D231" t="s">
        <v>535</v>
      </c>
    </row>
    <row r="232" spans="1:4" x14ac:dyDescent="0.3">
      <c r="A232" t="s">
        <v>310</v>
      </c>
      <c r="B232" t="s">
        <v>311</v>
      </c>
      <c r="C232" t="s">
        <v>536</v>
      </c>
      <c r="D232" t="s">
        <v>537</v>
      </c>
    </row>
    <row r="233" spans="1:4" x14ac:dyDescent="0.3">
      <c r="A233" t="s">
        <v>310</v>
      </c>
      <c r="B233" t="s">
        <v>311</v>
      </c>
      <c r="C233" t="s">
        <v>538</v>
      </c>
      <c r="D233" t="s">
        <v>539</v>
      </c>
    </row>
    <row r="234" spans="1:4" x14ac:dyDescent="0.3">
      <c r="A234" t="s">
        <v>310</v>
      </c>
      <c r="B234" t="s">
        <v>311</v>
      </c>
      <c r="C234" t="s">
        <v>540</v>
      </c>
      <c r="D234" t="s">
        <v>541</v>
      </c>
    </row>
    <row r="235" spans="1:4" x14ac:dyDescent="0.3">
      <c r="A235" t="s">
        <v>310</v>
      </c>
      <c r="B235" t="s">
        <v>311</v>
      </c>
      <c r="C235" t="s">
        <v>542</v>
      </c>
      <c r="D235" t="s">
        <v>543</v>
      </c>
    </row>
    <row r="236" spans="1:4" x14ac:dyDescent="0.3">
      <c r="A236" t="s">
        <v>310</v>
      </c>
      <c r="B236" t="s">
        <v>311</v>
      </c>
      <c r="C236" t="s">
        <v>544</v>
      </c>
      <c r="D236" t="s">
        <v>545</v>
      </c>
    </row>
    <row r="237" spans="1:4" x14ac:dyDescent="0.3">
      <c r="A237" t="s">
        <v>310</v>
      </c>
      <c r="B237" t="s">
        <v>311</v>
      </c>
      <c r="C237" t="s">
        <v>546</v>
      </c>
      <c r="D237" t="s">
        <v>547</v>
      </c>
    </row>
    <row r="238" spans="1:4" x14ac:dyDescent="0.3">
      <c r="A238" t="s">
        <v>310</v>
      </c>
      <c r="B238" t="s">
        <v>311</v>
      </c>
      <c r="C238" t="s">
        <v>548</v>
      </c>
      <c r="D238" t="s">
        <v>549</v>
      </c>
    </row>
    <row r="239" spans="1:4" x14ac:dyDescent="0.3">
      <c r="A239" t="s">
        <v>310</v>
      </c>
      <c r="B239" t="s">
        <v>311</v>
      </c>
      <c r="C239" t="s">
        <v>550</v>
      </c>
      <c r="D239" t="s">
        <v>551</v>
      </c>
    </row>
    <row r="240" spans="1:4" x14ac:dyDescent="0.3">
      <c r="A240" t="s">
        <v>552</v>
      </c>
      <c r="B240" t="s">
        <v>553</v>
      </c>
      <c r="C240" t="s">
        <v>554</v>
      </c>
      <c r="D240" t="s">
        <v>555</v>
      </c>
    </row>
    <row r="241" spans="1:4" x14ac:dyDescent="0.3">
      <c r="A241" t="s">
        <v>552</v>
      </c>
      <c r="B241" t="s">
        <v>553</v>
      </c>
      <c r="C241" t="s">
        <v>556</v>
      </c>
      <c r="D241" t="s">
        <v>557</v>
      </c>
    </row>
    <row r="242" spans="1:4" x14ac:dyDescent="0.3">
      <c r="A242" t="s">
        <v>552</v>
      </c>
      <c r="B242" t="s">
        <v>553</v>
      </c>
      <c r="C242" t="s">
        <v>558</v>
      </c>
      <c r="D242" t="s">
        <v>559</v>
      </c>
    </row>
    <row r="243" spans="1:4" x14ac:dyDescent="0.3">
      <c r="A243" t="s">
        <v>552</v>
      </c>
      <c r="B243" t="s">
        <v>553</v>
      </c>
      <c r="C243" t="s">
        <v>560</v>
      </c>
      <c r="D243" t="s">
        <v>561</v>
      </c>
    </row>
    <row r="244" spans="1:4" x14ac:dyDescent="0.3">
      <c r="A244" t="s">
        <v>552</v>
      </c>
      <c r="B244" t="s">
        <v>553</v>
      </c>
      <c r="C244" t="s">
        <v>562</v>
      </c>
      <c r="D244" t="s">
        <v>563</v>
      </c>
    </row>
    <row r="245" spans="1:4" x14ac:dyDescent="0.3">
      <c r="A245" t="s">
        <v>552</v>
      </c>
      <c r="B245" t="s">
        <v>553</v>
      </c>
      <c r="C245" t="s">
        <v>564</v>
      </c>
      <c r="D245" t="s">
        <v>565</v>
      </c>
    </row>
    <row r="246" spans="1:4" x14ac:dyDescent="0.3">
      <c r="A246" t="s">
        <v>552</v>
      </c>
      <c r="B246" t="s">
        <v>553</v>
      </c>
      <c r="C246" t="s">
        <v>566</v>
      </c>
      <c r="D246" t="s">
        <v>567</v>
      </c>
    </row>
    <row r="247" spans="1:4" x14ac:dyDescent="0.3">
      <c r="A247" t="s">
        <v>552</v>
      </c>
      <c r="B247" t="s">
        <v>553</v>
      </c>
      <c r="C247" t="s">
        <v>568</v>
      </c>
      <c r="D247" t="s">
        <v>569</v>
      </c>
    </row>
    <row r="248" spans="1:4" x14ac:dyDescent="0.3">
      <c r="A248" t="s">
        <v>552</v>
      </c>
      <c r="B248" t="s">
        <v>553</v>
      </c>
      <c r="C248" t="s">
        <v>570</v>
      </c>
      <c r="D248" t="s">
        <v>571</v>
      </c>
    </row>
    <row r="249" spans="1:4" x14ac:dyDescent="0.3">
      <c r="A249" t="s">
        <v>552</v>
      </c>
      <c r="B249" t="s">
        <v>553</v>
      </c>
      <c r="C249" t="s">
        <v>572</v>
      </c>
      <c r="D249" t="s">
        <v>573</v>
      </c>
    </row>
    <row r="250" spans="1:4" x14ac:dyDescent="0.3">
      <c r="A250" t="s">
        <v>552</v>
      </c>
      <c r="B250" t="s">
        <v>553</v>
      </c>
      <c r="C250" t="s">
        <v>574</v>
      </c>
      <c r="D250" t="s">
        <v>575</v>
      </c>
    </row>
    <row r="251" spans="1:4" x14ac:dyDescent="0.3">
      <c r="A251" t="s">
        <v>552</v>
      </c>
      <c r="B251" t="s">
        <v>553</v>
      </c>
      <c r="C251" t="s">
        <v>576</v>
      </c>
      <c r="D251" t="s">
        <v>577</v>
      </c>
    </row>
    <row r="252" spans="1:4" x14ac:dyDescent="0.3">
      <c r="A252" t="s">
        <v>552</v>
      </c>
      <c r="B252" t="s">
        <v>553</v>
      </c>
      <c r="C252" t="s">
        <v>578</v>
      </c>
      <c r="D252" t="s">
        <v>579</v>
      </c>
    </row>
    <row r="253" spans="1:4" x14ac:dyDescent="0.3">
      <c r="A253" t="s">
        <v>552</v>
      </c>
      <c r="B253" t="s">
        <v>553</v>
      </c>
      <c r="C253" t="s">
        <v>580</v>
      </c>
      <c r="D253" t="s">
        <v>581</v>
      </c>
    </row>
    <row r="254" spans="1:4" x14ac:dyDescent="0.3">
      <c r="A254" t="s">
        <v>552</v>
      </c>
      <c r="B254" t="s">
        <v>553</v>
      </c>
      <c r="C254" t="s">
        <v>582</v>
      </c>
      <c r="D254" t="s">
        <v>583</v>
      </c>
    </row>
    <row r="255" spans="1:4" x14ac:dyDescent="0.3">
      <c r="A255" t="s">
        <v>552</v>
      </c>
      <c r="B255" t="s">
        <v>553</v>
      </c>
      <c r="C255" t="s">
        <v>584</v>
      </c>
      <c r="D255" t="s">
        <v>585</v>
      </c>
    </row>
    <row r="256" spans="1:4" x14ac:dyDescent="0.3">
      <c r="A256" t="s">
        <v>552</v>
      </c>
      <c r="B256" t="s">
        <v>553</v>
      </c>
      <c r="C256" t="s">
        <v>586</v>
      </c>
      <c r="D256" t="s">
        <v>587</v>
      </c>
    </row>
    <row r="257" spans="1:4" x14ac:dyDescent="0.3">
      <c r="A257" t="s">
        <v>552</v>
      </c>
      <c r="B257" t="s">
        <v>553</v>
      </c>
      <c r="C257" t="s">
        <v>588</v>
      </c>
      <c r="D257" t="s">
        <v>589</v>
      </c>
    </row>
    <row r="258" spans="1:4" x14ac:dyDescent="0.3">
      <c r="A258" t="s">
        <v>552</v>
      </c>
      <c r="B258" t="s">
        <v>553</v>
      </c>
      <c r="C258" t="s">
        <v>590</v>
      </c>
      <c r="D258" t="s">
        <v>591</v>
      </c>
    </row>
    <row r="259" spans="1:4" x14ac:dyDescent="0.3">
      <c r="A259" t="s">
        <v>552</v>
      </c>
      <c r="B259" t="s">
        <v>553</v>
      </c>
      <c r="C259" t="s">
        <v>592</v>
      </c>
      <c r="D259" t="s">
        <v>593</v>
      </c>
    </row>
    <row r="260" spans="1:4" x14ac:dyDescent="0.3">
      <c r="A260" t="s">
        <v>552</v>
      </c>
      <c r="B260" t="s">
        <v>553</v>
      </c>
      <c r="C260" t="s">
        <v>594</v>
      </c>
      <c r="D260" t="s">
        <v>595</v>
      </c>
    </row>
    <row r="261" spans="1:4" x14ac:dyDescent="0.3">
      <c r="A261" t="s">
        <v>552</v>
      </c>
      <c r="B261" t="s">
        <v>553</v>
      </c>
      <c r="C261" t="s">
        <v>596</v>
      </c>
      <c r="D261" t="s">
        <v>597</v>
      </c>
    </row>
    <row r="262" spans="1:4" x14ac:dyDescent="0.3">
      <c r="A262" t="s">
        <v>552</v>
      </c>
      <c r="B262" t="s">
        <v>553</v>
      </c>
      <c r="C262" t="s">
        <v>598</v>
      </c>
      <c r="D262" t="s">
        <v>599</v>
      </c>
    </row>
    <row r="263" spans="1:4" x14ac:dyDescent="0.3">
      <c r="A263" t="s">
        <v>552</v>
      </c>
      <c r="B263" t="s">
        <v>553</v>
      </c>
      <c r="C263" t="s">
        <v>600</v>
      </c>
      <c r="D263" t="s">
        <v>601</v>
      </c>
    </row>
    <row r="264" spans="1:4" x14ac:dyDescent="0.3">
      <c r="A264" t="s">
        <v>552</v>
      </c>
      <c r="B264" t="s">
        <v>553</v>
      </c>
      <c r="C264" t="s">
        <v>602</v>
      </c>
      <c r="D264" t="s">
        <v>603</v>
      </c>
    </row>
    <row r="265" spans="1:4" x14ac:dyDescent="0.3">
      <c r="A265" t="s">
        <v>552</v>
      </c>
      <c r="B265" t="s">
        <v>553</v>
      </c>
      <c r="C265" t="s">
        <v>604</v>
      </c>
      <c r="D265" t="s">
        <v>605</v>
      </c>
    </row>
    <row r="266" spans="1:4" x14ac:dyDescent="0.3">
      <c r="A266" t="s">
        <v>552</v>
      </c>
      <c r="B266" t="s">
        <v>553</v>
      </c>
      <c r="C266" t="s">
        <v>606</v>
      </c>
      <c r="D266" t="s">
        <v>607</v>
      </c>
    </row>
    <row r="267" spans="1:4" x14ac:dyDescent="0.3">
      <c r="A267" t="s">
        <v>552</v>
      </c>
      <c r="B267" t="s">
        <v>553</v>
      </c>
      <c r="C267" t="s">
        <v>608</v>
      </c>
      <c r="D267" t="s">
        <v>609</v>
      </c>
    </row>
    <row r="268" spans="1:4" x14ac:dyDescent="0.3">
      <c r="A268" t="s">
        <v>552</v>
      </c>
      <c r="B268" t="s">
        <v>553</v>
      </c>
      <c r="C268" t="s">
        <v>610</v>
      </c>
      <c r="D268" t="s">
        <v>611</v>
      </c>
    </row>
    <row r="269" spans="1:4" x14ac:dyDescent="0.3">
      <c r="A269" t="s">
        <v>552</v>
      </c>
      <c r="B269" t="s">
        <v>553</v>
      </c>
      <c r="C269" t="s">
        <v>612</v>
      </c>
      <c r="D269" t="s">
        <v>613</v>
      </c>
    </row>
    <row r="270" spans="1:4" x14ac:dyDescent="0.3">
      <c r="A270" t="s">
        <v>552</v>
      </c>
      <c r="B270" t="s">
        <v>553</v>
      </c>
      <c r="C270" t="s">
        <v>614</v>
      </c>
      <c r="D270" t="s">
        <v>615</v>
      </c>
    </row>
    <row r="271" spans="1:4" x14ac:dyDescent="0.3">
      <c r="A271" t="s">
        <v>552</v>
      </c>
      <c r="B271" t="s">
        <v>553</v>
      </c>
      <c r="C271" t="s">
        <v>616</v>
      </c>
      <c r="D271" t="s">
        <v>617</v>
      </c>
    </row>
    <row r="272" spans="1:4" x14ac:dyDescent="0.3">
      <c r="A272" t="s">
        <v>552</v>
      </c>
      <c r="B272" t="s">
        <v>553</v>
      </c>
      <c r="C272" t="s">
        <v>618</v>
      </c>
      <c r="D272" t="s">
        <v>619</v>
      </c>
    </row>
    <row r="273" spans="1:4" x14ac:dyDescent="0.3">
      <c r="A273" t="s">
        <v>552</v>
      </c>
      <c r="B273" t="s">
        <v>553</v>
      </c>
      <c r="C273" t="s">
        <v>620</v>
      </c>
      <c r="D273" t="s">
        <v>621</v>
      </c>
    </row>
    <row r="274" spans="1:4" x14ac:dyDescent="0.3">
      <c r="A274" t="s">
        <v>552</v>
      </c>
      <c r="B274" t="s">
        <v>553</v>
      </c>
      <c r="C274" t="s">
        <v>622</v>
      </c>
      <c r="D274" t="s">
        <v>623</v>
      </c>
    </row>
    <row r="275" spans="1:4" x14ac:dyDescent="0.3">
      <c r="A275" t="s">
        <v>552</v>
      </c>
      <c r="B275" t="s">
        <v>553</v>
      </c>
      <c r="C275" t="s">
        <v>624</v>
      </c>
      <c r="D275" t="s">
        <v>625</v>
      </c>
    </row>
    <row r="276" spans="1:4" x14ac:dyDescent="0.3">
      <c r="A276" t="s">
        <v>552</v>
      </c>
      <c r="B276" t="s">
        <v>553</v>
      </c>
      <c r="C276" t="s">
        <v>626</v>
      </c>
      <c r="D276" t="s">
        <v>627</v>
      </c>
    </row>
    <row r="277" spans="1:4" x14ac:dyDescent="0.3">
      <c r="A277" t="s">
        <v>552</v>
      </c>
      <c r="B277" t="s">
        <v>553</v>
      </c>
      <c r="C277" t="s">
        <v>628</v>
      </c>
      <c r="D277" t="s">
        <v>629</v>
      </c>
    </row>
    <row r="278" spans="1:4" x14ac:dyDescent="0.3">
      <c r="A278" t="s">
        <v>552</v>
      </c>
      <c r="B278" t="s">
        <v>553</v>
      </c>
      <c r="C278" t="s">
        <v>630</v>
      </c>
      <c r="D278" t="s">
        <v>631</v>
      </c>
    </row>
    <row r="279" spans="1:4" x14ac:dyDescent="0.3">
      <c r="A279" t="s">
        <v>552</v>
      </c>
      <c r="B279" t="s">
        <v>553</v>
      </c>
      <c r="C279" t="s">
        <v>632</v>
      </c>
      <c r="D279" t="s">
        <v>633</v>
      </c>
    </row>
    <row r="280" spans="1:4" x14ac:dyDescent="0.3">
      <c r="A280" t="s">
        <v>552</v>
      </c>
      <c r="B280" t="s">
        <v>553</v>
      </c>
      <c r="C280" t="s">
        <v>634</v>
      </c>
      <c r="D280" t="s">
        <v>635</v>
      </c>
    </row>
    <row r="281" spans="1:4" x14ac:dyDescent="0.3">
      <c r="A281" t="s">
        <v>552</v>
      </c>
      <c r="B281" t="s">
        <v>553</v>
      </c>
      <c r="C281" t="s">
        <v>636</v>
      </c>
      <c r="D281" t="s">
        <v>637</v>
      </c>
    </row>
    <row r="282" spans="1:4" x14ac:dyDescent="0.3">
      <c r="A282" t="s">
        <v>552</v>
      </c>
      <c r="B282" t="s">
        <v>553</v>
      </c>
      <c r="C282" t="s">
        <v>638</v>
      </c>
      <c r="D282" t="s">
        <v>639</v>
      </c>
    </row>
    <row r="283" spans="1:4" x14ac:dyDescent="0.3">
      <c r="A283" t="s">
        <v>552</v>
      </c>
      <c r="B283" t="s">
        <v>553</v>
      </c>
      <c r="C283" t="s">
        <v>640</v>
      </c>
      <c r="D283" t="s">
        <v>641</v>
      </c>
    </row>
    <row r="284" spans="1:4" x14ac:dyDescent="0.3">
      <c r="A284" t="s">
        <v>552</v>
      </c>
      <c r="B284" t="s">
        <v>553</v>
      </c>
      <c r="C284" t="s">
        <v>642</v>
      </c>
      <c r="D284" t="s">
        <v>643</v>
      </c>
    </row>
    <row r="285" spans="1:4" x14ac:dyDescent="0.3">
      <c r="A285" t="s">
        <v>552</v>
      </c>
      <c r="B285" t="s">
        <v>553</v>
      </c>
      <c r="C285" t="s">
        <v>644</v>
      </c>
      <c r="D285" t="s">
        <v>645</v>
      </c>
    </row>
    <row r="286" spans="1:4" x14ac:dyDescent="0.3">
      <c r="A286" t="s">
        <v>552</v>
      </c>
      <c r="B286" t="s">
        <v>553</v>
      </c>
      <c r="C286" t="s">
        <v>646</v>
      </c>
      <c r="D286" t="s">
        <v>647</v>
      </c>
    </row>
    <row r="287" spans="1:4" x14ac:dyDescent="0.3">
      <c r="A287" t="s">
        <v>552</v>
      </c>
      <c r="B287" t="s">
        <v>553</v>
      </c>
      <c r="C287" t="s">
        <v>648</v>
      </c>
      <c r="D287" t="s">
        <v>649</v>
      </c>
    </row>
    <row r="288" spans="1:4" x14ac:dyDescent="0.3">
      <c r="A288" t="s">
        <v>552</v>
      </c>
      <c r="B288" t="s">
        <v>553</v>
      </c>
      <c r="C288" t="s">
        <v>650</v>
      </c>
      <c r="D288" t="s">
        <v>651</v>
      </c>
    </row>
    <row r="289" spans="1:4" x14ac:dyDescent="0.3">
      <c r="A289" t="s">
        <v>552</v>
      </c>
      <c r="B289" t="s">
        <v>553</v>
      </c>
      <c r="C289" t="s">
        <v>652</v>
      </c>
      <c r="D289" t="s">
        <v>653</v>
      </c>
    </row>
    <row r="290" spans="1:4" x14ac:dyDescent="0.3">
      <c r="A290" t="s">
        <v>552</v>
      </c>
      <c r="B290" t="s">
        <v>553</v>
      </c>
      <c r="C290" t="s">
        <v>654</v>
      </c>
      <c r="D290" t="s">
        <v>655</v>
      </c>
    </row>
    <row r="291" spans="1:4" x14ac:dyDescent="0.3">
      <c r="A291" t="s">
        <v>552</v>
      </c>
      <c r="B291" t="s">
        <v>553</v>
      </c>
      <c r="C291" t="s">
        <v>656</v>
      </c>
      <c r="D291" t="s">
        <v>657</v>
      </c>
    </row>
    <row r="292" spans="1:4" x14ac:dyDescent="0.3">
      <c r="A292" t="s">
        <v>552</v>
      </c>
      <c r="B292" t="s">
        <v>553</v>
      </c>
      <c r="C292" t="s">
        <v>658</v>
      </c>
      <c r="D292" t="s">
        <v>659</v>
      </c>
    </row>
    <row r="293" spans="1:4" x14ac:dyDescent="0.3">
      <c r="A293" t="s">
        <v>552</v>
      </c>
      <c r="B293" t="s">
        <v>553</v>
      </c>
      <c r="C293" t="s">
        <v>660</v>
      </c>
      <c r="D293" t="s">
        <v>661</v>
      </c>
    </row>
    <row r="294" spans="1:4" x14ac:dyDescent="0.3">
      <c r="A294" t="s">
        <v>552</v>
      </c>
      <c r="B294" t="s">
        <v>553</v>
      </c>
      <c r="C294" t="s">
        <v>662</v>
      </c>
      <c r="D294" t="s">
        <v>663</v>
      </c>
    </row>
    <row r="295" spans="1:4" x14ac:dyDescent="0.3">
      <c r="A295" t="s">
        <v>552</v>
      </c>
      <c r="B295" t="s">
        <v>553</v>
      </c>
      <c r="C295" t="s">
        <v>664</v>
      </c>
      <c r="D295" t="s">
        <v>665</v>
      </c>
    </row>
    <row r="296" spans="1:4" x14ac:dyDescent="0.3">
      <c r="A296" t="s">
        <v>552</v>
      </c>
      <c r="B296" t="s">
        <v>553</v>
      </c>
      <c r="C296" t="s">
        <v>666</v>
      </c>
      <c r="D296" t="s">
        <v>667</v>
      </c>
    </row>
    <row r="297" spans="1:4" x14ac:dyDescent="0.3">
      <c r="A297" t="s">
        <v>552</v>
      </c>
      <c r="B297" t="s">
        <v>553</v>
      </c>
      <c r="C297" t="s">
        <v>668</v>
      </c>
      <c r="D297" t="s">
        <v>669</v>
      </c>
    </row>
    <row r="298" spans="1:4" x14ac:dyDescent="0.3">
      <c r="A298" t="s">
        <v>552</v>
      </c>
      <c r="B298" t="s">
        <v>553</v>
      </c>
      <c r="C298" t="s">
        <v>670</v>
      </c>
      <c r="D298" t="s">
        <v>671</v>
      </c>
    </row>
    <row r="299" spans="1:4" x14ac:dyDescent="0.3">
      <c r="A299" t="s">
        <v>552</v>
      </c>
      <c r="B299" t="s">
        <v>553</v>
      </c>
      <c r="C299" t="s">
        <v>190</v>
      </c>
      <c r="D299" t="s">
        <v>672</v>
      </c>
    </row>
    <row r="300" spans="1:4" x14ac:dyDescent="0.3">
      <c r="A300" t="s">
        <v>552</v>
      </c>
      <c r="B300" t="s">
        <v>553</v>
      </c>
      <c r="C300" t="s">
        <v>673</v>
      </c>
      <c r="D300" t="s">
        <v>674</v>
      </c>
    </row>
    <row r="301" spans="1:4" x14ac:dyDescent="0.3">
      <c r="A301" t="s">
        <v>552</v>
      </c>
      <c r="B301" t="s">
        <v>553</v>
      </c>
      <c r="C301" t="s">
        <v>675</v>
      </c>
      <c r="D301" t="s">
        <v>676</v>
      </c>
    </row>
    <row r="302" spans="1:4" x14ac:dyDescent="0.3">
      <c r="A302" t="s">
        <v>552</v>
      </c>
      <c r="B302" t="s">
        <v>553</v>
      </c>
      <c r="C302" t="s">
        <v>677</v>
      </c>
      <c r="D302" t="s">
        <v>678</v>
      </c>
    </row>
    <row r="303" spans="1:4" x14ac:dyDescent="0.3">
      <c r="A303" t="s">
        <v>552</v>
      </c>
      <c r="B303" t="s">
        <v>553</v>
      </c>
      <c r="C303" t="s">
        <v>679</v>
      </c>
      <c r="D303" t="s">
        <v>680</v>
      </c>
    </row>
    <row r="304" spans="1:4" x14ac:dyDescent="0.3">
      <c r="A304" t="s">
        <v>552</v>
      </c>
      <c r="B304" t="s">
        <v>553</v>
      </c>
      <c r="C304" t="s">
        <v>681</v>
      </c>
      <c r="D304" t="s">
        <v>682</v>
      </c>
    </row>
    <row r="305" spans="1:4" x14ac:dyDescent="0.3">
      <c r="A305" t="s">
        <v>552</v>
      </c>
      <c r="B305" t="s">
        <v>553</v>
      </c>
      <c r="C305" t="s">
        <v>683</v>
      </c>
      <c r="D305" t="s">
        <v>684</v>
      </c>
    </row>
    <row r="306" spans="1:4" x14ac:dyDescent="0.3">
      <c r="A306" t="s">
        <v>552</v>
      </c>
      <c r="B306" t="s">
        <v>553</v>
      </c>
      <c r="C306" t="s">
        <v>685</v>
      </c>
      <c r="D306" t="s">
        <v>686</v>
      </c>
    </row>
    <row r="307" spans="1:4" x14ac:dyDescent="0.3">
      <c r="A307" t="s">
        <v>552</v>
      </c>
      <c r="B307" t="s">
        <v>553</v>
      </c>
      <c r="C307" t="s">
        <v>687</v>
      </c>
      <c r="D307" t="s">
        <v>688</v>
      </c>
    </row>
    <row r="308" spans="1:4" x14ac:dyDescent="0.3">
      <c r="A308" t="s">
        <v>552</v>
      </c>
      <c r="B308" t="s">
        <v>553</v>
      </c>
      <c r="C308" t="s">
        <v>689</v>
      </c>
      <c r="D308" t="s">
        <v>690</v>
      </c>
    </row>
    <row r="309" spans="1:4" x14ac:dyDescent="0.3">
      <c r="A309" t="s">
        <v>552</v>
      </c>
      <c r="B309" t="s">
        <v>553</v>
      </c>
      <c r="C309" t="s">
        <v>691</v>
      </c>
      <c r="D309" t="s">
        <v>692</v>
      </c>
    </row>
    <row r="310" spans="1:4" x14ac:dyDescent="0.3">
      <c r="A310" t="s">
        <v>552</v>
      </c>
      <c r="B310" t="s">
        <v>553</v>
      </c>
      <c r="C310" t="s">
        <v>693</v>
      </c>
      <c r="D310" t="s">
        <v>694</v>
      </c>
    </row>
    <row r="311" spans="1:4" x14ac:dyDescent="0.3">
      <c r="A311" t="s">
        <v>552</v>
      </c>
      <c r="B311" t="s">
        <v>553</v>
      </c>
      <c r="C311" t="s">
        <v>695</v>
      </c>
      <c r="D311" t="s">
        <v>696</v>
      </c>
    </row>
    <row r="312" spans="1:4" x14ac:dyDescent="0.3">
      <c r="A312" t="s">
        <v>552</v>
      </c>
      <c r="B312" t="s">
        <v>553</v>
      </c>
      <c r="C312" t="s">
        <v>697</v>
      </c>
      <c r="D312" t="s">
        <v>698</v>
      </c>
    </row>
    <row r="313" spans="1:4" x14ac:dyDescent="0.3">
      <c r="A313" t="s">
        <v>552</v>
      </c>
      <c r="B313" t="s">
        <v>553</v>
      </c>
      <c r="C313" t="s">
        <v>699</v>
      </c>
      <c r="D313" t="s">
        <v>700</v>
      </c>
    </row>
    <row r="314" spans="1:4" x14ac:dyDescent="0.3">
      <c r="A314" t="s">
        <v>552</v>
      </c>
      <c r="B314" t="s">
        <v>553</v>
      </c>
      <c r="C314" t="s">
        <v>701</v>
      </c>
      <c r="D314" t="s">
        <v>702</v>
      </c>
    </row>
    <row r="315" spans="1:4" x14ac:dyDescent="0.3">
      <c r="A315" t="s">
        <v>552</v>
      </c>
      <c r="B315" t="s">
        <v>553</v>
      </c>
      <c r="C315" t="s">
        <v>703</v>
      </c>
      <c r="D315" t="s">
        <v>704</v>
      </c>
    </row>
    <row r="316" spans="1:4" x14ac:dyDescent="0.3">
      <c r="A316" t="s">
        <v>552</v>
      </c>
      <c r="B316" t="s">
        <v>553</v>
      </c>
      <c r="C316" t="s">
        <v>705</v>
      </c>
      <c r="D316" t="s">
        <v>706</v>
      </c>
    </row>
    <row r="317" spans="1:4" x14ac:dyDescent="0.3">
      <c r="A317" t="s">
        <v>552</v>
      </c>
      <c r="B317" t="s">
        <v>553</v>
      </c>
      <c r="C317" t="s">
        <v>707</v>
      </c>
      <c r="D317" t="s">
        <v>708</v>
      </c>
    </row>
    <row r="318" spans="1:4" x14ac:dyDescent="0.3">
      <c r="A318" t="s">
        <v>552</v>
      </c>
      <c r="B318" t="s">
        <v>553</v>
      </c>
      <c r="C318" t="s">
        <v>709</v>
      </c>
      <c r="D318" t="s">
        <v>710</v>
      </c>
    </row>
    <row r="319" spans="1:4" x14ac:dyDescent="0.3">
      <c r="A319" t="s">
        <v>552</v>
      </c>
      <c r="B319" t="s">
        <v>553</v>
      </c>
      <c r="C319" t="s">
        <v>711</v>
      </c>
      <c r="D319" t="s">
        <v>712</v>
      </c>
    </row>
    <row r="320" spans="1:4" x14ac:dyDescent="0.3">
      <c r="A320" t="s">
        <v>552</v>
      </c>
      <c r="B320" t="s">
        <v>553</v>
      </c>
      <c r="C320" t="s">
        <v>713</v>
      </c>
      <c r="D320" t="s">
        <v>714</v>
      </c>
    </row>
    <row r="321" spans="1:4" x14ac:dyDescent="0.3">
      <c r="A321" t="s">
        <v>552</v>
      </c>
      <c r="B321" t="s">
        <v>553</v>
      </c>
      <c r="C321" t="s">
        <v>715</v>
      </c>
      <c r="D321" t="s">
        <v>716</v>
      </c>
    </row>
    <row r="322" spans="1:4" x14ac:dyDescent="0.3">
      <c r="A322" t="s">
        <v>552</v>
      </c>
      <c r="B322" t="s">
        <v>553</v>
      </c>
      <c r="C322" t="s">
        <v>717</v>
      </c>
      <c r="D322" t="s">
        <v>718</v>
      </c>
    </row>
    <row r="323" spans="1:4" x14ac:dyDescent="0.3">
      <c r="A323" t="s">
        <v>552</v>
      </c>
      <c r="B323" t="s">
        <v>553</v>
      </c>
      <c r="C323" t="s">
        <v>719</v>
      </c>
      <c r="D323" t="s">
        <v>720</v>
      </c>
    </row>
    <row r="324" spans="1:4" x14ac:dyDescent="0.3">
      <c r="A324" t="s">
        <v>552</v>
      </c>
      <c r="B324" t="s">
        <v>553</v>
      </c>
      <c r="C324" t="s">
        <v>721</v>
      </c>
      <c r="D324" t="s">
        <v>722</v>
      </c>
    </row>
    <row r="325" spans="1:4" x14ac:dyDescent="0.3">
      <c r="A325" t="s">
        <v>552</v>
      </c>
      <c r="B325" t="s">
        <v>553</v>
      </c>
      <c r="C325" t="s">
        <v>723</v>
      </c>
      <c r="D325" t="s">
        <v>724</v>
      </c>
    </row>
    <row r="326" spans="1:4" x14ac:dyDescent="0.3">
      <c r="A326" t="s">
        <v>552</v>
      </c>
      <c r="B326" t="s">
        <v>553</v>
      </c>
      <c r="C326" t="s">
        <v>725</v>
      </c>
      <c r="D326" t="s">
        <v>726</v>
      </c>
    </row>
    <row r="327" spans="1:4" x14ac:dyDescent="0.3">
      <c r="A327" t="s">
        <v>552</v>
      </c>
      <c r="B327" t="s">
        <v>553</v>
      </c>
      <c r="C327" t="s">
        <v>727</v>
      </c>
      <c r="D327" t="s">
        <v>728</v>
      </c>
    </row>
    <row r="328" spans="1:4" x14ac:dyDescent="0.3">
      <c r="A328" t="s">
        <v>552</v>
      </c>
      <c r="B328" t="s">
        <v>553</v>
      </c>
      <c r="C328" t="s">
        <v>729</v>
      </c>
      <c r="D328" t="s">
        <v>730</v>
      </c>
    </row>
    <row r="329" spans="1:4" x14ac:dyDescent="0.3">
      <c r="A329" t="s">
        <v>552</v>
      </c>
      <c r="B329" t="s">
        <v>553</v>
      </c>
      <c r="C329" t="s">
        <v>731</v>
      </c>
      <c r="D329" t="s">
        <v>732</v>
      </c>
    </row>
    <row r="330" spans="1:4" x14ac:dyDescent="0.3">
      <c r="A330" t="s">
        <v>552</v>
      </c>
      <c r="B330" t="s">
        <v>553</v>
      </c>
      <c r="C330" t="s">
        <v>733</v>
      </c>
      <c r="D330" t="s">
        <v>734</v>
      </c>
    </row>
    <row r="331" spans="1:4" x14ac:dyDescent="0.3">
      <c r="A331" t="s">
        <v>552</v>
      </c>
      <c r="B331" t="s">
        <v>553</v>
      </c>
      <c r="C331" t="s">
        <v>735</v>
      </c>
      <c r="D331" t="s">
        <v>736</v>
      </c>
    </row>
    <row r="332" spans="1:4" x14ac:dyDescent="0.3">
      <c r="A332" t="s">
        <v>552</v>
      </c>
      <c r="B332" t="s">
        <v>553</v>
      </c>
      <c r="C332" t="s">
        <v>737</v>
      </c>
      <c r="D332" t="s">
        <v>738</v>
      </c>
    </row>
    <row r="333" spans="1:4" x14ac:dyDescent="0.3">
      <c r="A333" t="s">
        <v>552</v>
      </c>
      <c r="B333" t="s">
        <v>553</v>
      </c>
      <c r="C333" t="s">
        <v>739</v>
      </c>
      <c r="D333" t="s">
        <v>740</v>
      </c>
    </row>
    <row r="334" spans="1:4" x14ac:dyDescent="0.3">
      <c r="A334" t="s">
        <v>552</v>
      </c>
      <c r="B334" t="s">
        <v>553</v>
      </c>
      <c r="C334" t="s">
        <v>741</v>
      </c>
      <c r="D334" t="s">
        <v>742</v>
      </c>
    </row>
    <row r="335" spans="1:4" x14ac:dyDescent="0.3">
      <c r="A335" t="s">
        <v>552</v>
      </c>
      <c r="B335" t="s">
        <v>553</v>
      </c>
      <c r="C335" t="s">
        <v>743</v>
      </c>
      <c r="D335" t="s">
        <v>744</v>
      </c>
    </row>
    <row r="336" spans="1:4" x14ac:dyDescent="0.3">
      <c r="A336" t="s">
        <v>552</v>
      </c>
      <c r="B336" t="s">
        <v>553</v>
      </c>
      <c r="C336" t="s">
        <v>745</v>
      </c>
      <c r="D336" t="s">
        <v>746</v>
      </c>
    </row>
    <row r="337" spans="1:4" x14ac:dyDescent="0.3">
      <c r="A337" t="s">
        <v>552</v>
      </c>
      <c r="B337" t="s">
        <v>553</v>
      </c>
      <c r="C337" t="s">
        <v>747</v>
      </c>
      <c r="D337" t="s">
        <v>748</v>
      </c>
    </row>
    <row r="338" spans="1:4" x14ac:dyDescent="0.3">
      <c r="A338" t="s">
        <v>552</v>
      </c>
      <c r="B338" t="s">
        <v>553</v>
      </c>
      <c r="C338" t="s">
        <v>749</v>
      </c>
      <c r="D338" t="s">
        <v>750</v>
      </c>
    </row>
    <row r="339" spans="1:4" x14ac:dyDescent="0.3">
      <c r="A339" t="s">
        <v>552</v>
      </c>
      <c r="B339" t="s">
        <v>553</v>
      </c>
      <c r="C339" t="s">
        <v>751</v>
      </c>
      <c r="D339" t="s">
        <v>752</v>
      </c>
    </row>
    <row r="340" spans="1:4" x14ac:dyDescent="0.3">
      <c r="A340" t="s">
        <v>552</v>
      </c>
      <c r="B340" t="s">
        <v>553</v>
      </c>
      <c r="C340" t="s">
        <v>753</v>
      </c>
      <c r="D340" t="s">
        <v>754</v>
      </c>
    </row>
    <row r="341" spans="1:4" x14ac:dyDescent="0.3">
      <c r="A341" t="s">
        <v>552</v>
      </c>
      <c r="B341" t="s">
        <v>553</v>
      </c>
      <c r="C341" t="s">
        <v>755</v>
      </c>
      <c r="D341" t="s">
        <v>756</v>
      </c>
    </row>
    <row r="342" spans="1:4" x14ac:dyDescent="0.3">
      <c r="A342" t="s">
        <v>552</v>
      </c>
      <c r="B342" t="s">
        <v>553</v>
      </c>
      <c r="C342" t="s">
        <v>757</v>
      </c>
      <c r="D342" t="s">
        <v>758</v>
      </c>
    </row>
    <row r="343" spans="1:4" x14ac:dyDescent="0.3">
      <c r="A343" t="s">
        <v>552</v>
      </c>
      <c r="B343" t="s">
        <v>553</v>
      </c>
      <c r="C343" t="s">
        <v>759</v>
      </c>
      <c r="D343" t="s">
        <v>760</v>
      </c>
    </row>
    <row r="344" spans="1:4" x14ac:dyDescent="0.3">
      <c r="A344" t="s">
        <v>552</v>
      </c>
      <c r="B344" t="s">
        <v>553</v>
      </c>
      <c r="C344" t="s">
        <v>761</v>
      </c>
      <c r="D344" t="s">
        <v>762</v>
      </c>
    </row>
    <row r="345" spans="1:4" x14ac:dyDescent="0.3">
      <c r="A345" t="s">
        <v>552</v>
      </c>
      <c r="B345" t="s">
        <v>553</v>
      </c>
      <c r="C345" t="s">
        <v>763</v>
      </c>
      <c r="D345" t="s">
        <v>764</v>
      </c>
    </row>
    <row r="346" spans="1:4" x14ac:dyDescent="0.3">
      <c r="A346" t="s">
        <v>552</v>
      </c>
      <c r="B346" t="s">
        <v>553</v>
      </c>
      <c r="C346" t="s">
        <v>765</v>
      </c>
      <c r="D346" t="s">
        <v>766</v>
      </c>
    </row>
    <row r="347" spans="1:4" x14ac:dyDescent="0.3">
      <c r="A347" t="s">
        <v>552</v>
      </c>
      <c r="B347" t="s">
        <v>553</v>
      </c>
      <c r="C347" t="s">
        <v>767</v>
      </c>
      <c r="D347" t="s">
        <v>768</v>
      </c>
    </row>
    <row r="348" spans="1:4" x14ac:dyDescent="0.3">
      <c r="A348" t="s">
        <v>552</v>
      </c>
      <c r="B348" t="s">
        <v>553</v>
      </c>
      <c r="C348" t="s">
        <v>769</v>
      </c>
      <c r="D348" t="s">
        <v>770</v>
      </c>
    </row>
    <row r="349" spans="1:4" x14ac:dyDescent="0.3">
      <c r="A349" t="s">
        <v>552</v>
      </c>
      <c r="B349" t="s">
        <v>553</v>
      </c>
      <c r="C349" t="s">
        <v>771</v>
      </c>
      <c r="D349" t="s">
        <v>772</v>
      </c>
    </row>
    <row r="350" spans="1:4" x14ac:dyDescent="0.3">
      <c r="A350" t="s">
        <v>552</v>
      </c>
      <c r="B350" t="s">
        <v>553</v>
      </c>
      <c r="C350" t="s">
        <v>773</v>
      </c>
      <c r="D350" t="s">
        <v>774</v>
      </c>
    </row>
    <row r="351" spans="1:4" x14ac:dyDescent="0.3">
      <c r="A351" t="s">
        <v>552</v>
      </c>
      <c r="B351" t="s">
        <v>553</v>
      </c>
      <c r="C351" t="s">
        <v>775</v>
      </c>
      <c r="D351" t="s">
        <v>776</v>
      </c>
    </row>
    <row r="352" spans="1:4" x14ac:dyDescent="0.3">
      <c r="A352" t="s">
        <v>552</v>
      </c>
      <c r="B352" t="s">
        <v>553</v>
      </c>
      <c r="C352" t="s">
        <v>777</v>
      </c>
      <c r="D352" t="s">
        <v>778</v>
      </c>
    </row>
    <row r="353" spans="1:4" x14ac:dyDescent="0.3">
      <c r="A353" t="s">
        <v>552</v>
      </c>
      <c r="B353" t="s">
        <v>553</v>
      </c>
      <c r="C353" t="s">
        <v>779</v>
      </c>
      <c r="D353" t="s">
        <v>780</v>
      </c>
    </row>
    <row r="354" spans="1:4" x14ac:dyDescent="0.3">
      <c r="A354" t="s">
        <v>552</v>
      </c>
      <c r="B354" t="s">
        <v>553</v>
      </c>
      <c r="C354" t="s">
        <v>781</v>
      </c>
      <c r="D354" t="s">
        <v>782</v>
      </c>
    </row>
    <row r="355" spans="1:4" x14ac:dyDescent="0.3">
      <c r="A355" t="s">
        <v>552</v>
      </c>
      <c r="B355" t="s">
        <v>553</v>
      </c>
      <c r="C355" t="s">
        <v>783</v>
      </c>
      <c r="D355" t="s">
        <v>784</v>
      </c>
    </row>
    <row r="356" spans="1:4" x14ac:dyDescent="0.3">
      <c r="A356" t="s">
        <v>552</v>
      </c>
      <c r="B356" t="s">
        <v>553</v>
      </c>
      <c r="C356" t="s">
        <v>785</v>
      </c>
      <c r="D356" t="s">
        <v>786</v>
      </c>
    </row>
    <row r="357" spans="1:4" x14ac:dyDescent="0.3">
      <c r="A357" t="s">
        <v>552</v>
      </c>
      <c r="B357" t="s">
        <v>553</v>
      </c>
      <c r="C357" t="s">
        <v>787</v>
      </c>
      <c r="D357" t="s">
        <v>788</v>
      </c>
    </row>
    <row r="358" spans="1:4" x14ac:dyDescent="0.3">
      <c r="A358" t="s">
        <v>552</v>
      </c>
      <c r="B358" t="s">
        <v>553</v>
      </c>
      <c r="C358" t="s">
        <v>789</v>
      </c>
      <c r="D358" t="s">
        <v>790</v>
      </c>
    </row>
    <row r="359" spans="1:4" x14ac:dyDescent="0.3">
      <c r="A359" t="s">
        <v>552</v>
      </c>
      <c r="B359" t="s">
        <v>553</v>
      </c>
      <c r="C359" t="s">
        <v>791</v>
      </c>
      <c r="D359" t="s">
        <v>792</v>
      </c>
    </row>
    <row r="360" spans="1:4" x14ac:dyDescent="0.3">
      <c r="A360" t="s">
        <v>552</v>
      </c>
      <c r="B360" t="s">
        <v>553</v>
      </c>
      <c r="C360" t="s">
        <v>793</v>
      </c>
      <c r="D360" t="s">
        <v>794</v>
      </c>
    </row>
    <row r="361" spans="1:4" x14ac:dyDescent="0.3">
      <c r="A361" t="s">
        <v>552</v>
      </c>
      <c r="B361" t="s">
        <v>553</v>
      </c>
      <c r="C361" t="s">
        <v>795</v>
      </c>
      <c r="D361" t="s">
        <v>796</v>
      </c>
    </row>
    <row r="362" spans="1:4" x14ac:dyDescent="0.3">
      <c r="A362" t="s">
        <v>552</v>
      </c>
      <c r="B362" t="s">
        <v>553</v>
      </c>
      <c r="C362" t="s">
        <v>797</v>
      </c>
      <c r="D362" t="s">
        <v>798</v>
      </c>
    </row>
    <row r="363" spans="1:4" x14ac:dyDescent="0.3">
      <c r="A363" t="s">
        <v>552</v>
      </c>
      <c r="B363" t="s">
        <v>553</v>
      </c>
      <c r="C363" t="s">
        <v>799</v>
      </c>
      <c r="D363" t="s">
        <v>800</v>
      </c>
    </row>
    <row r="364" spans="1:4" x14ac:dyDescent="0.3">
      <c r="A364" t="s">
        <v>552</v>
      </c>
      <c r="B364" t="s">
        <v>553</v>
      </c>
      <c r="C364" t="s">
        <v>801</v>
      </c>
      <c r="D364" t="s">
        <v>802</v>
      </c>
    </row>
    <row r="365" spans="1:4" x14ac:dyDescent="0.3">
      <c r="A365" t="s">
        <v>552</v>
      </c>
      <c r="B365" t="s">
        <v>553</v>
      </c>
      <c r="C365" t="s">
        <v>803</v>
      </c>
      <c r="D365" t="s">
        <v>804</v>
      </c>
    </row>
    <row r="366" spans="1:4" x14ac:dyDescent="0.3">
      <c r="A366" t="s">
        <v>552</v>
      </c>
      <c r="B366" t="s">
        <v>553</v>
      </c>
      <c r="C366" t="s">
        <v>805</v>
      </c>
      <c r="D366" t="s">
        <v>806</v>
      </c>
    </row>
    <row r="367" spans="1:4" x14ac:dyDescent="0.3">
      <c r="A367" t="s">
        <v>552</v>
      </c>
      <c r="B367" t="s">
        <v>553</v>
      </c>
      <c r="C367" t="s">
        <v>807</v>
      </c>
      <c r="D367" t="s">
        <v>808</v>
      </c>
    </row>
    <row r="368" spans="1:4" x14ac:dyDescent="0.3">
      <c r="A368" t="s">
        <v>552</v>
      </c>
      <c r="B368" t="s">
        <v>553</v>
      </c>
      <c r="C368" t="s">
        <v>809</v>
      </c>
      <c r="D368" t="s">
        <v>810</v>
      </c>
    </row>
    <row r="369" spans="1:4" x14ac:dyDescent="0.3">
      <c r="A369" t="s">
        <v>552</v>
      </c>
      <c r="B369" t="s">
        <v>553</v>
      </c>
      <c r="C369" t="s">
        <v>811</v>
      </c>
      <c r="D369" t="s">
        <v>812</v>
      </c>
    </row>
    <row r="370" spans="1:4" x14ac:dyDescent="0.3">
      <c r="A370" t="s">
        <v>552</v>
      </c>
      <c r="B370" t="s">
        <v>553</v>
      </c>
      <c r="C370" t="s">
        <v>813</v>
      </c>
      <c r="D370" t="s">
        <v>814</v>
      </c>
    </row>
    <row r="371" spans="1:4" x14ac:dyDescent="0.3">
      <c r="A371" t="s">
        <v>552</v>
      </c>
      <c r="B371" t="s">
        <v>553</v>
      </c>
      <c r="C371" t="s">
        <v>815</v>
      </c>
      <c r="D371" t="s">
        <v>816</v>
      </c>
    </row>
    <row r="372" spans="1:4" x14ac:dyDescent="0.3">
      <c r="A372" t="s">
        <v>552</v>
      </c>
      <c r="B372" t="s">
        <v>553</v>
      </c>
      <c r="C372" t="s">
        <v>817</v>
      </c>
      <c r="D372" t="s">
        <v>818</v>
      </c>
    </row>
    <row r="373" spans="1:4" x14ac:dyDescent="0.3">
      <c r="A373" t="s">
        <v>552</v>
      </c>
      <c r="B373" t="s">
        <v>553</v>
      </c>
      <c r="C373" t="s">
        <v>819</v>
      </c>
      <c r="D373" t="s">
        <v>820</v>
      </c>
    </row>
    <row r="374" spans="1:4" x14ac:dyDescent="0.3">
      <c r="A374" t="s">
        <v>552</v>
      </c>
      <c r="B374" t="s">
        <v>553</v>
      </c>
      <c r="C374" t="s">
        <v>821</v>
      </c>
      <c r="D374" t="s">
        <v>822</v>
      </c>
    </row>
    <row r="375" spans="1:4" x14ac:dyDescent="0.3">
      <c r="A375" t="s">
        <v>552</v>
      </c>
      <c r="B375" t="s">
        <v>553</v>
      </c>
      <c r="C375" t="s">
        <v>823</v>
      </c>
      <c r="D375" t="s">
        <v>824</v>
      </c>
    </row>
    <row r="376" spans="1:4" x14ac:dyDescent="0.3">
      <c r="A376" t="s">
        <v>552</v>
      </c>
      <c r="B376" t="s">
        <v>553</v>
      </c>
      <c r="C376" t="s">
        <v>825</v>
      </c>
      <c r="D376" t="s">
        <v>826</v>
      </c>
    </row>
    <row r="377" spans="1:4" x14ac:dyDescent="0.3">
      <c r="A377" t="s">
        <v>552</v>
      </c>
      <c r="B377" t="s">
        <v>553</v>
      </c>
      <c r="C377" t="s">
        <v>827</v>
      </c>
      <c r="D377" t="s">
        <v>828</v>
      </c>
    </row>
    <row r="378" spans="1:4" x14ac:dyDescent="0.3">
      <c r="A378" t="s">
        <v>552</v>
      </c>
      <c r="B378" t="s">
        <v>553</v>
      </c>
      <c r="C378" t="s">
        <v>829</v>
      </c>
      <c r="D378" t="s">
        <v>830</v>
      </c>
    </row>
    <row r="379" spans="1:4" x14ac:dyDescent="0.3">
      <c r="A379" t="s">
        <v>552</v>
      </c>
      <c r="B379" t="s">
        <v>553</v>
      </c>
      <c r="C379" t="s">
        <v>831</v>
      </c>
      <c r="D379" t="s">
        <v>832</v>
      </c>
    </row>
    <row r="380" spans="1:4" x14ac:dyDescent="0.3">
      <c r="A380" t="s">
        <v>552</v>
      </c>
      <c r="B380" t="s">
        <v>553</v>
      </c>
      <c r="C380" t="s">
        <v>833</v>
      </c>
      <c r="D380" t="s">
        <v>834</v>
      </c>
    </row>
    <row r="381" spans="1:4" x14ac:dyDescent="0.3">
      <c r="A381" t="s">
        <v>552</v>
      </c>
      <c r="B381" t="s">
        <v>553</v>
      </c>
      <c r="C381" t="s">
        <v>835</v>
      </c>
      <c r="D381" t="s">
        <v>836</v>
      </c>
    </row>
    <row r="382" spans="1:4" x14ac:dyDescent="0.3">
      <c r="A382" t="s">
        <v>552</v>
      </c>
      <c r="B382" t="s">
        <v>553</v>
      </c>
      <c r="C382" t="s">
        <v>837</v>
      </c>
      <c r="D382" t="s">
        <v>838</v>
      </c>
    </row>
    <row r="383" spans="1:4" x14ac:dyDescent="0.3">
      <c r="A383" t="s">
        <v>552</v>
      </c>
      <c r="B383" t="s">
        <v>553</v>
      </c>
      <c r="C383" t="s">
        <v>839</v>
      </c>
      <c r="D383" t="s">
        <v>840</v>
      </c>
    </row>
    <row r="384" spans="1:4" x14ac:dyDescent="0.3">
      <c r="A384" t="s">
        <v>552</v>
      </c>
      <c r="B384" t="s">
        <v>553</v>
      </c>
      <c r="C384" t="s">
        <v>841</v>
      </c>
      <c r="D384" t="s">
        <v>842</v>
      </c>
    </row>
    <row r="385" spans="1:4" x14ac:dyDescent="0.3">
      <c r="A385" t="s">
        <v>552</v>
      </c>
      <c r="B385" t="s">
        <v>553</v>
      </c>
      <c r="C385" t="s">
        <v>843</v>
      </c>
      <c r="D385" t="s">
        <v>844</v>
      </c>
    </row>
    <row r="386" spans="1:4" x14ac:dyDescent="0.3">
      <c r="A386" t="s">
        <v>552</v>
      </c>
      <c r="B386" t="s">
        <v>553</v>
      </c>
      <c r="C386" t="s">
        <v>845</v>
      </c>
      <c r="D386" t="s">
        <v>846</v>
      </c>
    </row>
    <row r="387" spans="1:4" x14ac:dyDescent="0.3">
      <c r="A387" t="s">
        <v>552</v>
      </c>
      <c r="B387" t="s">
        <v>553</v>
      </c>
      <c r="C387" t="s">
        <v>847</v>
      </c>
      <c r="D387" t="s">
        <v>848</v>
      </c>
    </row>
    <row r="388" spans="1:4" x14ac:dyDescent="0.3">
      <c r="A388" t="s">
        <v>552</v>
      </c>
      <c r="B388" t="s">
        <v>553</v>
      </c>
      <c r="C388" t="s">
        <v>849</v>
      </c>
      <c r="D388" t="s">
        <v>850</v>
      </c>
    </row>
    <row r="389" spans="1:4" x14ac:dyDescent="0.3">
      <c r="A389" t="s">
        <v>552</v>
      </c>
      <c r="B389" t="s">
        <v>553</v>
      </c>
      <c r="C389" t="s">
        <v>851</v>
      </c>
      <c r="D389" t="s">
        <v>852</v>
      </c>
    </row>
    <row r="390" spans="1:4" x14ac:dyDescent="0.3">
      <c r="A390" t="s">
        <v>552</v>
      </c>
      <c r="B390" t="s">
        <v>553</v>
      </c>
      <c r="C390" t="s">
        <v>853</v>
      </c>
      <c r="D390" t="s">
        <v>854</v>
      </c>
    </row>
    <row r="391" spans="1:4" x14ac:dyDescent="0.3">
      <c r="A391" t="s">
        <v>552</v>
      </c>
      <c r="B391" t="s">
        <v>553</v>
      </c>
      <c r="C391" t="s">
        <v>855</v>
      </c>
      <c r="D391" t="s">
        <v>856</v>
      </c>
    </row>
    <row r="392" spans="1:4" x14ac:dyDescent="0.3">
      <c r="A392" t="s">
        <v>552</v>
      </c>
      <c r="B392" t="s">
        <v>553</v>
      </c>
      <c r="C392" t="s">
        <v>857</v>
      </c>
      <c r="D392" t="s">
        <v>858</v>
      </c>
    </row>
    <row r="393" spans="1:4" x14ac:dyDescent="0.3">
      <c r="A393" t="s">
        <v>552</v>
      </c>
      <c r="B393" t="s">
        <v>553</v>
      </c>
      <c r="C393" t="s">
        <v>859</v>
      </c>
      <c r="D393" t="s">
        <v>860</v>
      </c>
    </row>
    <row r="394" spans="1:4" x14ac:dyDescent="0.3">
      <c r="A394" t="s">
        <v>552</v>
      </c>
      <c r="B394" t="s">
        <v>553</v>
      </c>
      <c r="C394" t="s">
        <v>861</v>
      </c>
      <c r="D394" t="s">
        <v>862</v>
      </c>
    </row>
    <row r="395" spans="1:4" x14ac:dyDescent="0.3">
      <c r="A395" t="s">
        <v>552</v>
      </c>
      <c r="B395" t="s">
        <v>553</v>
      </c>
      <c r="C395" t="s">
        <v>863</v>
      </c>
      <c r="D395" t="s">
        <v>864</v>
      </c>
    </row>
    <row r="396" spans="1:4" x14ac:dyDescent="0.3">
      <c r="A396" t="s">
        <v>552</v>
      </c>
      <c r="B396" t="s">
        <v>553</v>
      </c>
      <c r="C396" t="s">
        <v>865</v>
      </c>
      <c r="D396" t="s">
        <v>866</v>
      </c>
    </row>
    <row r="397" spans="1:4" x14ac:dyDescent="0.3">
      <c r="A397" t="s">
        <v>552</v>
      </c>
      <c r="B397" t="s">
        <v>553</v>
      </c>
      <c r="C397" t="s">
        <v>867</v>
      </c>
      <c r="D397" t="s">
        <v>868</v>
      </c>
    </row>
    <row r="398" spans="1:4" x14ac:dyDescent="0.3">
      <c r="A398" t="s">
        <v>552</v>
      </c>
      <c r="B398" t="s">
        <v>553</v>
      </c>
      <c r="C398" t="s">
        <v>869</v>
      </c>
      <c r="D398" t="s">
        <v>870</v>
      </c>
    </row>
    <row r="399" spans="1:4" x14ac:dyDescent="0.3">
      <c r="A399" t="s">
        <v>552</v>
      </c>
      <c r="B399" t="s">
        <v>553</v>
      </c>
      <c r="C399" t="s">
        <v>871</v>
      </c>
      <c r="D399" t="s">
        <v>872</v>
      </c>
    </row>
    <row r="400" spans="1:4" x14ac:dyDescent="0.3">
      <c r="A400" t="s">
        <v>552</v>
      </c>
      <c r="B400" t="s">
        <v>553</v>
      </c>
      <c r="C400" t="s">
        <v>873</v>
      </c>
      <c r="D400" t="s">
        <v>874</v>
      </c>
    </row>
    <row r="401" spans="1:4" x14ac:dyDescent="0.3">
      <c r="A401" t="s">
        <v>552</v>
      </c>
      <c r="B401" t="s">
        <v>553</v>
      </c>
      <c r="C401" t="s">
        <v>875</v>
      </c>
      <c r="D401" t="s">
        <v>876</v>
      </c>
    </row>
    <row r="402" spans="1:4" x14ac:dyDescent="0.3">
      <c r="A402" t="s">
        <v>552</v>
      </c>
      <c r="B402" t="s">
        <v>553</v>
      </c>
      <c r="C402" t="s">
        <v>877</v>
      </c>
      <c r="D402" t="s">
        <v>878</v>
      </c>
    </row>
    <row r="403" spans="1:4" x14ac:dyDescent="0.3">
      <c r="A403" t="s">
        <v>552</v>
      </c>
      <c r="B403" t="s">
        <v>553</v>
      </c>
      <c r="C403" t="s">
        <v>879</v>
      </c>
      <c r="D403" t="s">
        <v>880</v>
      </c>
    </row>
    <row r="404" spans="1:4" x14ac:dyDescent="0.3">
      <c r="A404" t="s">
        <v>552</v>
      </c>
      <c r="B404" t="s">
        <v>553</v>
      </c>
      <c r="C404" t="s">
        <v>881</v>
      </c>
      <c r="D404" t="s">
        <v>882</v>
      </c>
    </row>
    <row r="405" spans="1:4" x14ac:dyDescent="0.3">
      <c r="A405" t="s">
        <v>552</v>
      </c>
      <c r="B405" t="s">
        <v>553</v>
      </c>
      <c r="C405" t="s">
        <v>883</v>
      </c>
      <c r="D405" t="s">
        <v>884</v>
      </c>
    </row>
    <row r="406" spans="1:4" x14ac:dyDescent="0.3">
      <c r="A406" t="s">
        <v>552</v>
      </c>
      <c r="B406" t="s">
        <v>553</v>
      </c>
      <c r="C406" t="s">
        <v>885</v>
      </c>
      <c r="D406" t="s">
        <v>886</v>
      </c>
    </row>
    <row r="407" spans="1:4" x14ac:dyDescent="0.3">
      <c r="A407" t="s">
        <v>552</v>
      </c>
      <c r="B407" t="s">
        <v>553</v>
      </c>
      <c r="C407" t="s">
        <v>887</v>
      </c>
      <c r="D407" t="s">
        <v>888</v>
      </c>
    </row>
    <row r="408" spans="1:4" x14ac:dyDescent="0.3">
      <c r="A408" t="s">
        <v>552</v>
      </c>
      <c r="B408" t="s">
        <v>553</v>
      </c>
      <c r="C408" t="s">
        <v>889</v>
      </c>
      <c r="D408" t="s">
        <v>890</v>
      </c>
    </row>
    <row r="409" spans="1:4" x14ac:dyDescent="0.3">
      <c r="A409" t="s">
        <v>552</v>
      </c>
      <c r="B409" t="s">
        <v>553</v>
      </c>
      <c r="C409" t="s">
        <v>891</v>
      </c>
      <c r="D409" t="s">
        <v>892</v>
      </c>
    </row>
    <row r="410" spans="1:4" x14ac:dyDescent="0.3">
      <c r="A410" t="s">
        <v>552</v>
      </c>
      <c r="B410" t="s">
        <v>553</v>
      </c>
      <c r="C410" t="s">
        <v>893</v>
      </c>
      <c r="D410" t="s">
        <v>894</v>
      </c>
    </row>
    <row r="411" spans="1:4" x14ac:dyDescent="0.3">
      <c r="A411" t="s">
        <v>552</v>
      </c>
      <c r="B411" t="s">
        <v>553</v>
      </c>
      <c r="C411" t="s">
        <v>895</v>
      </c>
      <c r="D411" t="s">
        <v>896</v>
      </c>
    </row>
    <row r="412" spans="1:4" x14ac:dyDescent="0.3">
      <c r="A412" t="s">
        <v>552</v>
      </c>
      <c r="B412" t="s">
        <v>553</v>
      </c>
      <c r="C412" t="s">
        <v>897</v>
      </c>
      <c r="D412" t="s">
        <v>898</v>
      </c>
    </row>
    <row r="413" spans="1:4" x14ac:dyDescent="0.3">
      <c r="A413" t="s">
        <v>552</v>
      </c>
      <c r="B413" t="s">
        <v>553</v>
      </c>
      <c r="C413" t="s">
        <v>899</v>
      </c>
      <c r="D413" t="s">
        <v>900</v>
      </c>
    </row>
    <row r="414" spans="1:4" x14ac:dyDescent="0.3">
      <c r="A414" t="s">
        <v>552</v>
      </c>
      <c r="B414" t="s">
        <v>553</v>
      </c>
      <c r="C414" t="s">
        <v>901</v>
      </c>
      <c r="D414" t="s">
        <v>902</v>
      </c>
    </row>
    <row r="415" spans="1:4" x14ac:dyDescent="0.3">
      <c r="A415" t="s">
        <v>552</v>
      </c>
      <c r="B415" t="s">
        <v>553</v>
      </c>
      <c r="C415" t="s">
        <v>903</v>
      </c>
      <c r="D415" t="s">
        <v>904</v>
      </c>
    </row>
    <row r="416" spans="1:4" x14ac:dyDescent="0.3">
      <c r="A416" t="s">
        <v>552</v>
      </c>
      <c r="B416" t="s">
        <v>553</v>
      </c>
      <c r="C416" t="s">
        <v>905</v>
      </c>
      <c r="D416" t="s">
        <v>906</v>
      </c>
    </row>
    <row r="417" spans="1:4" x14ac:dyDescent="0.3">
      <c r="A417" t="s">
        <v>552</v>
      </c>
      <c r="B417" t="s">
        <v>553</v>
      </c>
      <c r="C417" t="s">
        <v>907</v>
      </c>
      <c r="D417" t="s">
        <v>908</v>
      </c>
    </row>
    <row r="418" spans="1:4" x14ac:dyDescent="0.3">
      <c r="A418" t="s">
        <v>552</v>
      </c>
      <c r="B418" t="s">
        <v>553</v>
      </c>
      <c r="C418" t="s">
        <v>909</v>
      </c>
      <c r="D418" t="s">
        <v>910</v>
      </c>
    </row>
    <row r="419" spans="1:4" x14ac:dyDescent="0.3">
      <c r="A419" t="s">
        <v>552</v>
      </c>
      <c r="B419" t="s">
        <v>553</v>
      </c>
      <c r="C419" t="s">
        <v>911</v>
      </c>
      <c r="D419" t="s">
        <v>912</v>
      </c>
    </row>
    <row r="420" spans="1:4" x14ac:dyDescent="0.3">
      <c r="A420" t="s">
        <v>552</v>
      </c>
      <c r="B420" t="s">
        <v>553</v>
      </c>
      <c r="C420" t="s">
        <v>913</v>
      </c>
      <c r="D420" t="s">
        <v>914</v>
      </c>
    </row>
    <row r="421" spans="1:4" x14ac:dyDescent="0.3">
      <c r="A421" t="s">
        <v>552</v>
      </c>
      <c r="B421" t="s">
        <v>553</v>
      </c>
      <c r="C421" t="s">
        <v>915</v>
      </c>
      <c r="D421" t="s">
        <v>916</v>
      </c>
    </row>
    <row r="422" spans="1:4" x14ac:dyDescent="0.3">
      <c r="A422" t="s">
        <v>552</v>
      </c>
      <c r="B422" t="s">
        <v>553</v>
      </c>
      <c r="C422" t="s">
        <v>917</v>
      </c>
      <c r="D422" t="s">
        <v>918</v>
      </c>
    </row>
    <row r="423" spans="1:4" x14ac:dyDescent="0.3">
      <c r="A423" t="s">
        <v>552</v>
      </c>
      <c r="B423" t="s">
        <v>553</v>
      </c>
      <c r="C423" t="s">
        <v>919</v>
      </c>
      <c r="D423" t="s">
        <v>920</v>
      </c>
    </row>
    <row r="424" spans="1:4" x14ac:dyDescent="0.3">
      <c r="A424" t="s">
        <v>552</v>
      </c>
      <c r="B424" t="s">
        <v>553</v>
      </c>
      <c r="C424" t="s">
        <v>921</v>
      </c>
      <c r="D424" t="s">
        <v>922</v>
      </c>
    </row>
    <row r="425" spans="1:4" x14ac:dyDescent="0.3">
      <c r="A425" t="s">
        <v>552</v>
      </c>
      <c r="B425" t="s">
        <v>553</v>
      </c>
      <c r="C425" t="s">
        <v>923</v>
      </c>
      <c r="D425" t="s">
        <v>924</v>
      </c>
    </row>
    <row r="426" spans="1:4" x14ac:dyDescent="0.3">
      <c r="A426" t="s">
        <v>552</v>
      </c>
      <c r="B426" t="s">
        <v>553</v>
      </c>
      <c r="C426" t="s">
        <v>925</v>
      </c>
      <c r="D426" t="s">
        <v>926</v>
      </c>
    </row>
    <row r="427" spans="1:4" x14ac:dyDescent="0.3">
      <c r="A427" t="s">
        <v>552</v>
      </c>
      <c r="B427" t="s">
        <v>553</v>
      </c>
      <c r="C427" t="s">
        <v>927</v>
      </c>
      <c r="D427" t="s">
        <v>928</v>
      </c>
    </row>
    <row r="428" spans="1:4" x14ac:dyDescent="0.3">
      <c r="A428" t="s">
        <v>552</v>
      </c>
      <c r="B428" t="s">
        <v>553</v>
      </c>
      <c r="C428" t="s">
        <v>929</v>
      </c>
      <c r="D428" t="s">
        <v>930</v>
      </c>
    </row>
    <row r="429" spans="1:4" x14ac:dyDescent="0.3">
      <c r="A429" t="s">
        <v>552</v>
      </c>
      <c r="B429" t="s">
        <v>553</v>
      </c>
      <c r="C429" t="s">
        <v>931</v>
      </c>
      <c r="D429" t="s">
        <v>932</v>
      </c>
    </row>
    <row r="430" spans="1:4" x14ac:dyDescent="0.3">
      <c r="A430" t="s">
        <v>552</v>
      </c>
      <c r="B430" t="s">
        <v>553</v>
      </c>
      <c r="C430" t="s">
        <v>933</v>
      </c>
      <c r="D430" t="s">
        <v>934</v>
      </c>
    </row>
    <row r="431" spans="1:4" x14ac:dyDescent="0.3">
      <c r="A431" t="s">
        <v>552</v>
      </c>
      <c r="B431" t="s">
        <v>553</v>
      </c>
      <c r="C431" t="s">
        <v>935</v>
      </c>
      <c r="D431" t="s">
        <v>936</v>
      </c>
    </row>
    <row r="432" spans="1:4" x14ac:dyDescent="0.3">
      <c r="A432" t="s">
        <v>552</v>
      </c>
      <c r="B432" t="s">
        <v>553</v>
      </c>
      <c r="C432" t="s">
        <v>937</v>
      </c>
      <c r="D432" t="s">
        <v>938</v>
      </c>
    </row>
    <row r="433" spans="1:4" x14ac:dyDescent="0.3">
      <c r="A433" t="s">
        <v>552</v>
      </c>
      <c r="B433" t="s">
        <v>553</v>
      </c>
      <c r="C433" t="s">
        <v>939</v>
      </c>
      <c r="D433" t="s">
        <v>940</v>
      </c>
    </row>
    <row r="434" spans="1:4" x14ac:dyDescent="0.3">
      <c r="A434" t="s">
        <v>552</v>
      </c>
      <c r="B434" t="s">
        <v>553</v>
      </c>
      <c r="C434" t="s">
        <v>941</v>
      </c>
      <c r="D434" t="s">
        <v>942</v>
      </c>
    </row>
    <row r="435" spans="1:4" x14ac:dyDescent="0.3">
      <c r="A435" t="s">
        <v>552</v>
      </c>
      <c r="B435" t="s">
        <v>553</v>
      </c>
      <c r="C435" t="s">
        <v>943</v>
      </c>
      <c r="D435" t="s">
        <v>944</v>
      </c>
    </row>
    <row r="436" spans="1:4" x14ac:dyDescent="0.3">
      <c r="A436" t="s">
        <v>552</v>
      </c>
      <c r="B436" t="s">
        <v>553</v>
      </c>
      <c r="C436" t="s">
        <v>945</v>
      </c>
      <c r="D436" t="s">
        <v>946</v>
      </c>
    </row>
    <row r="437" spans="1:4" x14ac:dyDescent="0.3">
      <c r="A437" t="s">
        <v>552</v>
      </c>
      <c r="B437" t="s">
        <v>553</v>
      </c>
      <c r="C437" t="s">
        <v>947</v>
      </c>
      <c r="D437" t="s">
        <v>948</v>
      </c>
    </row>
    <row r="438" spans="1:4" x14ac:dyDescent="0.3">
      <c r="A438" t="s">
        <v>552</v>
      </c>
      <c r="B438" t="s">
        <v>553</v>
      </c>
      <c r="C438" t="s">
        <v>949</v>
      </c>
      <c r="D438" t="s">
        <v>950</v>
      </c>
    </row>
    <row r="439" spans="1:4" x14ac:dyDescent="0.3">
      <c r="A439" t="s">
        <v>552</v>
      </c>
      <c r="B439" t="s">
        <v>553</v>
      </c>
      <c r="C439" t="s">
        <v>951</v>
      </c>
      <c r="D439" t="s">
        <v>952</v>
      </c>
    </row>
    <row r="440" spans="1:4" x14ac:dyDescent="0.3">
      <c r="A440" t="s">
        <v>552</v>
      </c>
      <c r="B440" t="s">
        <v>553</v>
      </c>
      <c r="C440" t="s">
        <v>953</v>
      </c>
      <c r="D440" t="s">
        <v>954</v>
      </c>
    </row>
    <row r="441" spans="1:4" x14ac:dyDescent="0.3">
      <c r="A441" t="s">
        <v>552</v>
      </c>
      <c r="B441" t="s">
        <v>553</v>
      </c>
      <c r="C441" t="s">
        <v>955</v>
      </c>
      <c r="D441" t="s">
        <v>956</v>
      </c>
    </row>
    <row r="442" spans="1:4" x14ac:dyDescent="0.3">
      <c r="A442" t="s">
        <v>552</v>
      </c>
      <c r="B442" t="s">
        <v>553</v>
      </c>
      <c r="C442" t="s">
        <v>957</v>
      </c>
      <c r="D442" t="s">
        <v>958</v>
      </c>
    </row>
    <row r="443" spans="1:4" x14ac:dyDescent="0.3">
      <c r="A443" t="s">
        <v>552</v>
      </c>
      <c r="B443" t="s">
        <v>553</v>
      </c>
      <c r="C443" t="s">
        <v>959</v>
      </c>
      <c r="D443" t="s">
        <v>960</v>
      </c>
    </row>
    <row r="444" spans="1:4" x14ac:dyDescent="0.3">
      <c r="A444" t="s">
        <v>552</v>
      </c>
      <c r="B444" t="s">
        <v>553</v>
      </c>
      <c r="C444" t="s">
        <v>961</v>
      </c>
      <c r="D444" t="s">
        <v>962</v>
      </c>
    </row>
    <row r="445" spans="1:4" x14ac:dyDescent="0.3">
      <c r="A445" t="s">
        <v>552</v>
      </c>
      <c r="B445" t="s">
        <v>553</v>
      </c>
      <c r="C445" t="s">
        <v>963</v>
      </c>
      <c r="D445" t="s">
        <v>964</v>
      </c>
    </row>
    <row r="446" spans="1:4" x14ac:dyDescent="0.3">
      <c r="A446" t="s">
        <v>552</v>
      </c>
      <c r="B446" t="s">
        <v>553</v>
      </c>
      <c r="C446" t="s">
        <v>965</v>
      </c>
      <c r="D446" t="s">
        <v>966</v>
      </c>
    </row>
    <row r="447" spans="1:4" x14ac:dyDescent="0.3">
      <c r="A447" t="s">
        <v>552</v>
      </c>
      <c r="B447" t="s">
        <v>553</v>
      </c>
      <c r="C447" t="s">
        <v>967</v>
      </c>
      <c r="D447" t="s">
        <v>968</v>
      </c>
    </row>
    <row r="448" spans="1:4" x14ac:dyDescent="0.3">
      <c r="A448" t="s">
        <v>552</v>
      </c>
      <c r="B448" t="s">
        <v>553</v>
      </c>
      <c r="C448" t="s">
        <v>969</v>
      </c>
      <c r="D448" t="s">
        <v>970</v>
      </c>
    </row>
    <row r="449" spans="1:4" x14ac:dyDescent="0.3">
      <c r="A449" t="s">
        <v>552</v>
      </c>
      <c r="B449" t="s">
        <v>553</v>
      </c>
      <c r="C449" t="s">
        <v>971</v>
      </c>
      <c r="D449" t="s">
        <v>972</v>
      </c>
    </row>
    <row r="450" spans="1:4" x14ac:dyDescent="0.3">
      <c r="A450" t="s">
        <v>552</v>
      </c>
      <c r="B450" t="s">
        <v>553</v>
      </c>
      <c r="C450" t="s">
        <v>973</v>
      </c>
      <c r="D450" t="s">
        <v>974</v>
      </c>
    </row>
    <row r="451" spans="1:4" x14ac:dyDescent="0.3">
      <c r="A451" t="s">
        <v>552</v>
      </c>
      <c r="B451" t="s">
        <v>553</v>
      </c>
      <c r="C451" t="s">
        <v>975</v>
      </c>
      <c r="D451" t="s">
        <v>976</v>
      </c>
    </row>
    <row r="452" spans="1:4" x14ac:dyDescent="0.3">
      <c r="A452" t="s">
        <v>552</v>
      </c>
      <c r="B452" t="s">
        <v>553</v>
      </c>
      <c r="C452" t="s">
        <v>977</v>
      </c>
      <c r="D452" t="s">
        <v>978</v>
      </c>
    </row>
    <row r="453" spans="1:4" x14ac:dyDescent="0.3">
      <c r="A453" t="s">
        <v>552</v>
      </c>
      <c r="B453" t="s">
        <v>553</v>
      </c>
      <c r="C453" t="s">
        <v>979</v>
      </c>
      <c r="D453" t="s">
        <v>980</v>
      </c>
    </row>
    <row r="454" spans="1:4" x14ac:dyDescent="0.3">
      <c r="A454" t="s">
        <v>552</v>
      </c>
      <c r="B454" t="s">
        <v>553</v>
      </c>
      <c r="C454" t="s">
        <v>981</v>
      </c>
      <c r="D454" t="s">
        <v>982</v>
      </c>
    </row>
    <row r="455" spans="1:4" x14ac:dyDescent="0.3">
      <c r="A455" t="s">
        <v>552</v>
      </c>
      <c r="B455" t="s">
        <v>553</v>
      </c>
      <c r="C455" t="s">
        <v>983</v>
      </c>
      <c r="D455" t="s">
        <v>984</v>
      </c>
    </row>
    <row r="456" spans="1:4" x14ac:dyDescent="0.3">
      <c r="A456" t="s">
        <v>552</v>
      </c>
      <c r="B456" t="s">
        <v>553</v>
      </c>
      <c r="C456" t="s">
        <v>985</v>
      </c>
      <c r="D456" t="s">
        <v>986</v>
      </c>
    </row>
    <row r="457" spans="1:4" x14ac:dyDescent="0.3">
      <c r="A457" t="s">
        <v>552</v>
      </c>
      <c r="B457" t="s">
        <v>553</v>
      </c>
      <c r="C457" t="s">
        <v>987</v>
      </c>
      <c r="D457" t="s">
        <v>988</v>
      </c>
    </row>
    <row r="458" spans="1:4" x14ac:dyDescent="0.3">
      <c r="A458" t="s">
        <v>552</v>
      </c>
      <c r="B458" t="s">
        <v>553</v>
      </c>
      <c r="C458" t="s">
        <v>989</v>
      </c>
      <c r="D458" t="s">
        <v>990</v>
      </c>
    </row>
    <row r="459" spans="1:4" x14ac:dyDescent="0.3">
      <c r="A459" t="s">
        <v>552</v>
      </c>
      <c r="B459" t="s">
        <v>553</v>
      </c>
      <c r="C459" t="s">
        <v>991</v>
      </c>
      <c r="D459" t="s">
        <v>992</v>
      </c>
    </row>
    <row r="460" spans="1:4" x14ac:dyDescent="0.3">
      <c r="A460" t="s">
        <v>552</v>
      </c>
      <c r="B460" t="s">
        <v>553</v>
      </c>
      <c r="C460" t="s">
        <v>993</v>
      </c>
      <c r="D460" t="s">
        <v>994</v>
      </c>
    </row>
    <row r="461" spans="1:4" x14ac:dyDescent="0.3">
      <c r="A461" t="s">
        <v>552</v>
      </c>
      <c r="B461" t="s">
        <v>553</v>
      </c>
      <c r="C461" t="s">
        <v>995</v>
      </c>
      <c r="D461" t="s">
        <v>996</v>
      </c>
    </row>
    <row r="462" spans="1:4" x14ac:dyDescent="0.3">
      <c r="A462" t="s">
        <v>552</v>
      </c>
      <c r="B462" t="s">
        <v>553</v>
      </c>
      <c r="C462" t="s">
        <v>997</v>
      </c>
      <c r="D462" t="s">
        <v>998</v>
      </c>
    </row>
    <row r="463" spans="1:4" x14ac:dyDescent="0.3">
      <c r="A463" t="s">
        <v>552</v>
      </c>
      <c r="B463" t="s">
        <v>553</v>
      </c>
      <c r="C463" t="s">
        <v>999</v>
      </c>
      <c r="D463" t="s">
        <v>1000</v>
      </c>
    </row>
    <row r="464" spans="1:4" x14ac:dyDescent="0.3">
      <c r="A464" t="s">
        <v>552</v>
      </c>
      <c r="B464" t="s">
        <v>553</v>
      </c>
      <c r="C464" t="s">
        <v>1001</v>
      </c>
      <c r="D464" t="s">
        <v>1002</v>
      </c>
    </row>
    <row r="465" spans="1:4" x14ac:dyDescent="0.3">
      <c r="A465" t="s">
        <v>552</v>
      </c>
      <c r="B465" t="s">
        <v>553</v>
      </c>
      <c r="C465" t="s">
        <v>1003</v>
      </c>
      <c r="D465" t="s">
        <v>1004</v>
      </c>
    </row>
    <row r="466" spans="1:4" x14ac:dyDescent="0.3">
      <c r="A466" t="s">
        <v>552</v>
      </c>
      <c r="B466" t="s">
        <v>553</v>
      </c>
      <c r="C466" t="s">
        <v>1005</v>
      </c>
      <c r="D466" t="s">
        <v>1006</v>
      </c>
    </row>
    <row r="467" spans="1:4" x14ac:dyDescent="0.3">
      <c r="A467" t="s">
        <v>552</v>
      </c>
      <c r="B467" t="s">
        <v>553</v>
      </c>
      <c r="C467" t="s">
        <v>1007</v>
      </c>
      <c r="D467" t="s">
        <v>1008</v>
      </c>
    </row>
    <row r="468" spans="1:4" x14ac:dyDescent="0.3">
      <c r="A468" t="s">
        <v>552</v>
      </c>
      <c r="B468" t="s">
        <v>553</v>
      </c>
      <c r="C468" t="s">
        <v>1009</v>
      </c>
      <c r="D468" t="s">
        <v>1010</v>
      </c>
    </row>
    <row r="469" spans="1:4" x14ac:dyDescent="0.3">
      <c r="A469" t="s">
        <v>552</v>
      </c>
      <c r="B469" t="s">
        <v>553</v>
      </c>
      <c r="C469" t="s">
        <v>1011</v>
      </c>
      <c r="D469" t="s">
        <v>1012</v>
      </c>
    </row>
    <row r="470" spans="1:4" x14ac:dyDescent="0.3">
      <c r="A470" t="s">
        <v>552</v>
      </c>
      <c r="B470" t="s">
        <v>553</v>
      </c>
      <c r="C470" t="s">
        <v>1013</v>
      </c>
      <c r="D470" t="s">
        <v>1014</v>
      </c>
    </row>
    <row r="471" spans="1:4" x14ac:dyDescent="0.3">
      <c r="A471" t="s">
        <v>552</v>
      </c>
      <c r="B471" t="s">
        <v>553</v>
      </c>
      <c r="C471" t="s">
        <v>1015</v>
      </c>
      <c r="D471" t="s">
        <v>1016</v>
      </c>
    </row>
    <row r="472" spans="1:4" x14ac:dyDescent="0.3">
      <c r="A472" t="s">
        <v>552</v>
      </c>
      <c r="B472" t="s">
        <v>553</v>
      </c>
      <c r="C472" t="s">
        <v>1017</v>
      </c>
      <c r="D472" t="s">
        <v>1018</v>
      </c>
    </row>
    <row r="473" spans="1:4" x14ac:dyDescent="0.3">
      <c r="A473" t="s">
        <v>552</v>
      </c>
      <c r="B473" t="s">
        <v>553</v>
      </c>
      <c r="C473" t="s">
        <v>1019</v>
      </c>
      <c r="D473" t="s">
        <v>1020</v>
      </c>
    </row>
    <row r="474" spans="1:4" x14ac:dyDescent="0.3">
      <c r="A474" t="s">
        <v>552</v>
      </c>
      <c r="B474" t="s">
        <v>553</v>
      </c>
      <c r="C474" t="s">
        <v>1021</v>
      </c>
      <c r="D474" t="s">
        <v>1022</v>
      </c>
    </row>
    <row r="475" spans="1:4" x14ac:dyDescent="0.3">
      <c r="A475" t="s">
        <v>552</v>
      </c>
      <c r="B475" t="s">
        <v>553</v>
      </c>
      <c r="C475" t="s">
        <v>1023</v>
      </c>
      <c r="D475" t="s">
        <v>1024</v>
      </c>
    </row>
    <row r="476" spans="1:4" x14ac:dyDescent="0.3">
      <c r="A476" t="s">
        <v>552</v>
      </c>
      <c r="B476" t="s">
        <v>553</v>
      </c>
      <c r="C476" t="s">
        <v>1025</v>
      </c>
      <c r="D476" t="s">
        <v>1026</v>
      </c>
    </row>
    <row r="477" spans="1:4" x14ac:dyDescent="0.3">
      <c r="A477" t="s">
        <v>552</v>
      </c>
      <c r="B477" t="s">
        <v>553</v>
      </c>
      <c r="C477" t="s">
        <v>1027</v>
      </c>
      <c r="D477" t="s">
        <v>1028</v>
      </c>
    </row>
    <row r="478" spans="1:4" x14ac:dyDescent="0.3">
      <c r="A478" t="s">
        <v>552</v>
      </c>
      <c r="B478" t="s">
        <v>553</v>
      </c>
      <c r="C478" t="s">
        <v>1029</v>
      </c>
      <c r="D478" t="s">
        <v>1030</v>
      </c>
    </row>
    <row r="479" spans="1:4" x14ac:dyDescent="0.3">
      <c r="A479" t="s">
        <v>552</v>
      </c>
      <c r="B479" t="s">
        <v>553</v>
      </c>
      <c r="C479" t="s">
        <v>1031</v>
      </c>
      <c r="D479" t="s">
        <v>1032</v>
      </c>
    </row>
    <row r="480" spans="1:4" x14ac:dyDescent="0.3">
      <c r="A480" t="s">
        <v>552</v>
      </c>
      <c r="B480" t="s">
        <v>553</v>
      </c>
      <c r="C480" t="s">
        <v>1033</v>
      </c>
      <c r="D480" t="s">
        <v>1034</v>
      </c>
    </row>
    <row r="481" spans="1:4" x14ac:dyDescent="0.3">
      <c r="A481" t="s">
        <v>552</v>
      </c>
      <c r="B481" t="s">
        <v>553</v>
      </c>
      <c r="C481" t="s">
        <v>1035</v>
      </c>
      <c r="D481" t="s">
        <v>1036</v>
      </c>
    </row>
    <row r="482" spans="1:4" x14ac:dyDescent="0.3">
      <c r="A482" t="s">
        <v>552</v>
      </c>
      <c r="B482" t="s">
        <v>553</v>
      </c>
      <c r="C482" t="s">
        <v>1037</v>
      </c>
      <c r="D482" t="s">
        <v>1038</v>
      </c>
    </row>
    <row r="483" spans="1:4" x14ac:dyDescent="0.3">
      <c r="A483" t="s">
        <v>552</v>
      </c>
      <c r="B483" t="s">
        <v>553</v>
      </c>
      <c r="C483" t="s">
        <v>1039</v>
      </c>
      <c r="D483" t="s">
        <v>1040</v>
      </c>
    </row>
    <row r="484" spans="1:4" x14ac:dyDescent="0.3">
      <c r="A484" t="s">
        <v>552</v>
      </c>
      <c r="B484" t="s">
        <v>553</v>
      </c>
      <c r="C484" t="s">
        <v>1041</v>
      </c>
      <c r="D484" t="s">
        <v>1042</v>
      </c>
    </row>
    <row r="485" spans="1:4" x14ac:dyDescent="0.3">
      <c r="A485" t="s">
        <v>552</v>
      </c>
      <c r="B485" t="s">
        <v>553</v>
      </c>
      <c r="C485" t="s">
        <v>1043</v>
      </c>
      <c r="D485" t="s">
        <v>1044</v>
      </c>
    </row>
    <row r="486" spans="1:4" x14ac:dyDescent="0.3">
      <c r="A486" t="s">
        <v>552</v>
      </c>
      <c r="B486" t="s">
        <v>553</v>
      </c>
      <c r="C486" t="s">
        <v>1045</v>
      </c>
      <c r="D486" t="s">
        <v>1046</v>
      </c>
    </row>
    <row r="487" spans="1:4" x14ac:dyDescent="0.3">
      <c r="A487" t="s">
        <v>552</v>
      </c>
      <c r="B487" t="s">
        <v>553</v>
      </c>
      <c r="C487" t="s">
        <v>1047</v>
      </c>
      <c r="D487" t="s">
        <v>1048</v>
      </c>
    </row>
    <row r="488" spans="1:4" x14ac:dyDescent="0.3">
      <c r="A488" t="s">
        <v>552</v>
      </c>
      <c r="B488" t="s">
        <v>553</v>
      </c>
      <c r="C488" t="s">
        <v>1049</v>
      </c>
      <c r="D488" t="s">
        <v>1050</v>
      </c>
    </row>
    <row r="489" spans="1:4" x14ac:dyDescent="0.3">
      <c r="A489" t="s">
        <v>552</v>
      </c>
      <c r="B489" t="s">
        <v>553</v>
      </c>
      <c r="C489" t="s">
        <v>1051</v>
      </c>
      <c r="D489" t="s">
        <v>1052</v>
      </c>
    </row>
    <row r="490" spans="1:4" x14ac:dyDescent="0.3">
      <c r="A490" t="s">
        <v>552</v>
      </c>
      <c r="B490" t="s">
        <v>553</v>
      </c>
      <c r="C490" t="s">
        <v>1053</v>
      </c>
      <c r="D490" t="s">
        <v>1054</v>
      </c>
    </row>
    <row r="491" spans="1:4" x14ac:dyDescent="0.3">
      <c r="A491" t="s">
        <v>552</v>
      </c>
      <c r="B491" t="s">
        <v>553</v>
      </c>
      <c r="C491" t="s">
        <v>1055</v>
      </c>
      <c r="D491" t="s">
        <v>1056</v>
      </c>
    </row>
    <row r="492" spans="1:4" x14ac:dyDescent="0.3">
      <c r="A492" t="s">
        <v>552</v>
      </c>
      <c r="B492" t="s">
        <v>553</v>
      </c>
      <c r="C492" t="s">
        <v>1057</v>
      </c>
      <c r="D492" t="s">
        <v>1058</v>
      </c>
    </row>
    <row r="493" spans="1:4" x14ac:dyDescent="0.3">
      <c r="A493" t="s">
        <v>552</v>
      </c>
      <c r="B493" t="s">
        <v>553</v>
      </c>
      <c r="C493" t="s">
        <v>1059</v>
      </c>
      <c r="D493" t="s">
        <v>1060</v>
      </c>
    </row>
    <row r="494" spans="1:4" x14ac:dyDescent="0.3">
      <c r="A494" t="s">
        <v>552</v>
      </c>
      <c r="B494" t="s">
        <v>553</v>
      </c>
      <c r="C494" t="s">
        <v>1061</v>
      </c>
      <c r="D494" t="s">
        <v>253</v>
      </c>
    </row>
    <row r="495" spans="1:4" x14ac:dyDescent="0.3">
      <c r="A495" t="s">
        <v>552</v>
      </c>
      <c r="B495" t="s">
        <v>553</v>
      </c>
      <c r="C495" t="s">
        <v>1062</v>
      </c>
      <c r="D495" t="s">
        <v>1063</v>
      </c>
    </row>
    <row r="496" spans="1:4" x14ac:dyDescent="0.3">
      <c r="A496" t="s">
        <v>552</v>
      </c>
      <c r="B496" t="s">
        <v>553</v>
      </c>
      <c r="C496" t="s">
        <v>1064</v>
      </c>
      <c r="D496" t="s">
        <v>1065</v>
      </c>
    </row>
    <row r="497" spans="1:4" x14ac:dyDescent="0.3">
      <c r="A497" t="s">
        <v>552</v>
      </c>
      <c r="B497" t="s">
        <v>553</v>
      </c>
      <c r="C497" t="s">
        <v>1066</v>
      </c>
      <c r="D497" t="s">
        <v>1067</v>
      </c>
    </row>
    <row r="498" spans="1:4" x14ac:dyDescent="0.3">
      <c r="A498" t="s">
        <v>552</v>
      </c>
      <c r="B498" t="s">
        <v>553</v>
      </c>
      <c r="C498" t="s">
        <v>1068</v>
      </c>
      <c r="D498" t="s">
        <v>1069</v>
      </c>
    </row>
    <row r="499" spans="1:4" x14ac:dyDescent="0.3">
      <c r="A499" t="s">
        <v>552</v>
      </c>
      <c r="B499" t="s">
        <v>553</v>
      </c>
      <c r="C499" t="s">
        <v>1070</v>
      </c>
      <c r="D499" t="s">
        <v>1071</v>
      </c>
    </row>
    <row r="500" spans="1:4" x14ac:dyDescent="0.3">
      <c r="A500" t="s">
        <v>1072</v>
      </c>
      <c r="B500" t="s">
        <v>1073</v>
      </c>
      <c r="C500" t="s">
        <v>1074</v>
      </c>
      <c r="D500" t="s">
        <v>1075</v>
      </c>
    </row>
    <row r="501" spans="1:4" x14ac:dyDescent="0.3">
      <c r="A501" t="s">
        <v>1072</v>
      </c>
      <c r="B501" t="s">
        <v>1073</v>
      </c>
      <c r="C501" t="s">
        <v>1076</v>
      </c>
      <c r="D501" t="s">
        <v>1077</v>
      </c>
    </row>
    <row r="502" spans="1:4" x14ac:dyDescent="0.3">
      <c r="A502" t="s">
        <v>1072</v>
      </c>
      <c r="B502" t="s">
        <v>1073</v>
      </c>
      <c r="C502" t="s">
        <v>1078</v>
      </c>
      <c r="D502" t="s">
        <v>1079</v>
      </c>
    </row>
    <row r="503" spans="1:4" x14ac:dyDescent="0.3">
      <c r="A503" t="s">
        <v>1072</v>
      </c>
      <c r="B503" t="s">
        <v>1073</v>
      </c>
      <c r="C503" t="s">
        <v>1080</v>
      </c>
      <c r="D503" t="s">
        <v>1081</v>
      </c>
    </row>
    <row r="504" spans="1:4" x14ac:dyDescent="0.3">
      <c r="A504" t="s">
        <v>1072</v>
      </c>
      <c r="B504" t="s">
        <v>1073</v>
      </c>
      <c r="C504" t="s">
        <v>1082</v>
      </c>
      <c r="D504" t="s">
        <v>1083</v>
      </c>
    </row>
    <row r="505" spans="1:4" x14ac:dyDescent="0.3">
      <c r="A505" t="s">
        <v>1072</v>
      </c>
      <c r="B505" t="s">
        <v>1073</v>
      </c>
      <c r="C505" t="s">
        <v>1084</v>
      </c>
      <c r="D505" t="s">
        <v>1085</v>
      </c>
    </row>
    <row r="506" spans="1:4" x14ac:dyDescent="0.3">
      <c r="A506" t="s">
        <v>1072</v>
      </c>
      <c r="B506" t="s">
        <v>1073</v>
      </c>
      <c r="C506" t="s">
        <v>1086</v>
      </c>
      <c r="D506" t="s">
        <v>1087</v>
      </c>
    </row>
    <row r="507" spans="1:4" x14ac:dyDescent="0.3">
      <c r="A507" t="s">
        <v>1072</v>
      </c>
      <c r="B507" t="s">
        <v>1073</v>
      </c>
      <c r="C507" t="s">
        <v>1088</v>
      </c>
      <c r="D507" t="s">
        <v>1089</v>
      </c>
    </row>
    <row r="508" spans="1:4" x14ac:dyDescent="0.3">
      <c r="A508" t="s">
        <v>1090</v>
      </c>
      <c r="B508" t="s">
        <v>1091</v>
      </c>
      <c r="C508" t="s">
        <v>1092</v>
      </c>
      <c r="D508" t="s">
        <v>1093</v>
      </c>
    </row>
    <row r="509" spans="1:4" x14ac:dyDescent="0.3">
      <c r="A509" t="s">
        <v>1090</v>
      </c>
      <c r="B509" t="s">
        <v>1091</v>
      </c>
      <c r="C509" t="s">
        <v>1094</v>
      </c>
      <c r="D509" t="s">
        <v>1095</v>
      </c>
    </row>
    <row r="510" spans="1:4" x14ac:dyDescent="0.3">
      <c r="A510" t="s">
        <v>1090</v>
      </c>
      <c r="B510" t="s">
        <v>1091</v>
      </c>
      <c r="C510" t="s">
        <v>1096</v>
      </c>
      <c r="D510" t="s">
        <v>1097</v>
      </c>
    </row>
    <row r="511" spans="1:4" x14ac:dyDescent="0.3">
      <c r="A511" t="s">
        <v>1090</v>
      </c>
      <c r="B511" t="s">
        <v>1091</v>
      </c>
      <c r="C511" t="s">
        <v>1098</v>
      </c>
      <c r="D511" t="s">
        <v>1099</v>
      </c>
    </row>
    <row r="512" spans="1:4" x14ac:dyDescent="0.3">
      <c r="A512" t="s">
        <v>1090</v>
      </c>
      <c r="B512" t="s">
        <v>1091</v>
      </c>
      <c r="C512" t="s">
        <v>1100</v>
      </c>
      <c r="D512" t="s">
        <v>1101</v>
      </c>
    </row>
    <row r="513" spans="1:4" x14ac:dyDescent="0.3">
      <c r="A513" t="s">
        <v>1090</v>
      </c>
      <c r="B513" t="s">
        <v>1091</v>
      </c>
      <c r="C513" t="s">
        <v>1102</v>
      </c>
      <c r="D513" t="s">
        <v>1103</v>
      </c>
    </row>
    <row r="514" spans="1:4" x14ac:dyDescent="0.3">
      <c r="A514" t="s">
        <v>1090</v>
      </c>
      <c r="B514" t="s">
        <v>1091</v>
      </c>
      <c r="C514" t="s">
        <v>1104</v>
      </c>
      <c r="D514" t="s">
        <v>1105</v>
      </c>
    </row>
    <row r="515" spans="1:4" x14ac:dyDescent="0.3">
      <c r="A515" t="s">
        <v>1090</v>
      </c>
      <c r="B515" t="s">
        <v>1091</v>
      </c>
      <c r="C515" t="s">
        <v>1106</v>
      </c>
      <c r="D515" t="s">
        <v>1107</v>
      </c>
    </row>
    <row r="516" spans="1:4" x14ac:dyDescent="0.3">
      <c r="A516" t="s">
        <v>1090</v>
      </c>
      <c r="B516" t="s">
        <v>1091</v>
      </c>
      <c r="C516" t="s">
        <v>1108</v>
      </c>
      <c r="D516" t="s">
        <v>1109</v>
      </c>
    </row>
    <row r="517" spans="1:4" x14ac:dyDescent="0.3">
      <c r="A517" t="s">
        <v>1090</v>
      </c>
      <c r="B517" t="s">
        <v>1091</v>
      </c>
      <c r="C517" t="s">
        <v>1110</v>
      </c>
      <c r="D517" t="s">
        <v>1111</v>
      </c>
    </row>
    <row r="518" spans="1:4" x14ac:dyDescent="0.3">
      <c r="A518" t="s">
        <v>1090</v>
      </c>
      <c r="B518" t="s">
        <v>1091</v>
      </c>
      <c r="C518" t="s">
        <v>1112</v>
      </c>
      <c r="D518" t="s">
        <v>1113</v>
      </c>
    </row>
    <row r="519" spans="1:4" x14ac:dyDescent="0.3">
      <c r="A519" t="s">
        <v>1090</v>
      </c>
      <c r="B519" t="s">
        <v>1091</v>
      </c>
      <c r="C519" t="s">
        <v>1114</v>
      </c>
      <c r="D519" t="s">
        <v>1115</v>
      </c>
    </row>
    <row r="520" spans="1:4" x14ac:dyDescent="0.3">
      <c r="A520" t="s">
        <v>1090</v>
      </c>
      <c r="B520" t="s">
        <v>1091</v>
      </c>
      <c r="C520" t="s">
        <v>1116</v>
      </c>
      <c r="D520" t="s">
        <v>1117</v>
      </c>
    </row>
    <row r="521" spans="1:4" x14ac:dyDescent="0.3">
      <c r="A521" t="s">
        <v>1090</v>
      </c>
      <c r="B521" t="s">
        <v>1091</v>
      </c>
      <c r="C521" t="s">
        <v>1118</v>
      </c>
      <c r="D521" t="s">
        <v>1119</v>
      </c>
    </row>
    <row r="522" spans="1:4" x14ac:dyDescent="0.3">
      <c r="A522" t="s">
        <v>1090</v>
      </c>
      <c r="B522" t="s">
        <v>1091</v>
      </c>
      <c r="C522" t="s">
        <v>1120</v>
      </c>
      <c r="D522" t="s">
        <v>1121</v>
      </c>
    </row>
    <row r="523" spans="1:4" x14ac:dyDescent="0.3">
      <c r="A523" t="s">
        <v>1090</v>
      </c>
      <c r="B523" t="s">
        <v>1091</v>
      </c>
      <c r="C523" t="s">
        <v>1122</v>
      </c>
      <c r="D523" t="s">
        <v>1123</v>
      </c>
    </row>
    <row r="524" spans="1:4" x14ac:dyDescent="0.3">
      <c r="A524" t="s">
        <v>1090</v>
      </c>
      <c r="B524" t="s">
        <v>1091</v>
      </c>
      <c r="C524" t="s">
        <v>1124</v>
      </c>
      <c r="D524" t="s">
        <v>1125</v>
      </c>
    </row>
    <row r="525" spans="1:4" x14ac:dyDescent="0.3">
      <c r="A525" t="s">
        <v>1090</v>
      </c>
      <c r="B525" t="s">
        <v>1091</v>
      </c>
      <c r="C525" t="s">
        <v>1126</v>
      </c>
      <c r="D525" t="s">
        <v>1127</v>
      </c>
    </row>
    <row r="526" spans="1:4" x14ac:dyDescent="0.3">
      <c r="A526" t="s">
        <v>1090</v>
      </c>
      <c r="B526" t="s">
        <v>1091</v>
      </c>
      <c r="C526" t="s">
        <v>1128</v>
      </c>
      <c r="D526" t="s">
        <v>1129</v>
      </c>
    </row>
    <row r="527" spans="1:4" x14ac:dyDescent="0.3">
      <c r="A527" t="s">
        <v>1090</v>
      </c>
      <c r="B527" t="s">
        <v>1091</v>
      </c>
      <c r="C527" t="s">
        <v>1130</v>
      </c>
      <c r="D527" t="s">
        <v>1131</v>
      </c>
    </row>
    <row r="528" spans="1:4" x14ac:dyDescent="0.3">
      <c r="A528" t="s">
        <v>1090</v>
      </c>
      <c r="B528" t="s">
        <v>1091</v>
      </c>
      <c r="C528" t="s">
        <v>1132</v>
      </c>
      <c r="D528" t="s">
        <v>1133</v>
      </c>
    </row>
    <row r="529" spans="1:4" x14ac:dyDescent="0.3">
      <c r="A529" t="s">
        <v>1090</v>
      </c>
      <c r="B529" t="s">
        <v>1091</v>
      </c>
      <c r="C529" t="s">
        <v>1134</v>
      </c>
      <c r="D529" t="s">
        <v>1135</v>
      </c>
    </row>
    <row r="530" spans="1:4" x14ac:dyDescent="0.3">
      <c r="A530" t="s">
        <v>1090</v>
      </c>
      <c r="B530" t="s">
        <v>1091</v>
      </c>
      <c r="C530" t="s">
        <v>1136</v>
      </c>
      <c r="D530" t="s">
        <v>1137</v>
      </c>
    </row>
    <row r="531" spans="1:4" x14ac:dyDescent="0.3">
      <c r="A531" t="s">
        <v>1090</v>
      </c>
      <c r="B531" t="s">
        <v>1091</v>
      </c>
      <c r="C531" t="s">
        <v>1138</v>
      </c>
      <c r="D531" t="s">
        <v>1139</v>
      </c>
    </row>
    <row r="532" spans="1:4" x14ac:dyDescent="0.3">
      <c r="A532" t="s">
        <v>1090</v>
      </c>
      <c r="B532" t="s">
        <v>1091</v>
      </c>
      <c r="C532" t="s">
        <v>1140</v>
      </c>
      <c r="D532" t="s">
        <v>1141</v>
      </c>
    </row>
    <row r="533" spans="1:4" x14ac:dyDescent="0.3">
      <c r="A533" t="s">
        <v>1090</v>
      </c>
      <c r="B533" t="s">
        <v>1091</v>
      </c>
      <c r="C533" t="s">
        <v>1142</v>
      </c>
      <c r="D533" t="s">
        <v>1143</v>
      </c>
    </row>
    <row r="534" spans="1:4" x14ac:dyDescent="0.3">
      <c r="A534" t="s">
        <v>1090</v>
      </c>
      <c r="B534" t="s">
        <v>1091</v>
      </c>
      <c r="C534" t="s">
        <v>1144</v>
      </c>
      <c r="D534" t="s">
        <v>1145</v>
      </c>
    </row>
    <row r="535" spans="1:4" x14ac:dyDescent="0.3">
      <c r="A535" t="s">
        <v>1090</v>
      </c>
      <c r="B535" t="s">
        <v>1091</v>
      </c>
      <c r="C535" t="s">
        <v>1146</v>
      </c>
      <c r="D535" t="s">
        <v>1147</v>
      </c>
    </row>
    <row r="536" spans="1:4" x14ac:dyDescent="0.3">
      <c r="A536" t="s">
        <v>1090</v>
      </c>
      <c r="B536" t="s">
        <v>1091</v>
      </c>
      <c r="C536" t="s">
        <v>1148</v>
      </c>
      <c r="D536" t="s">
        <v>1149</v>
      </c>
    </row>
    <row r="537" spans="1:4" x14ac:dyDescent="0.3">
      <c r="A537" t="s">
        <v>1090</v>
      </c>
      <c r="B537" t="s">
        <v>1091</v>
      </c>
      <c r="C537" t="s">
        <v>1150</v>
      </c>
      <c r="D537" t="s">
        <v>1151</v>
      </c>
    </row>
    <row r="538" spans="1:4" x14ac:dyDescent="0.3">
      <c r="A538" t="s">
        <v>1090</v>
      </c>
      <c r="B538" t="s">
        <v>1091</v>
      </c>
      <c r="C538" t="s">
        <v>1152</v>
      </c>
      <c r="D538" t="s">
        <v>1153</v>
      </c>
    </row>
    <row r="539" spans="1:4" x14ac:dyDescent="0.3">
      <c r="A539" t="s">
        <v>1090</v>
      </c>
      <c r="B539" t="s">
        <v>1091</v>
      </c>
      <c r="C539" t="s">
        <v>1154</v>
      </c>
      <c r="D539" t="s">
        <v>1155</v>
      </c>
    </row>
    <row r="540" spans="1:4" x14ac:dyDescent="0.3">
      <c r="A540" t="s">
        <v>1090</v>
      </c>
      <c r="B540" t="s">
        <v>1091</v>
      </c>
      <c r="C540" t="s">
        <v>1156</v>
      </c>
      <c r="D540" t="s">
        <v>1157</v>
      </c>
    </row>
    <row r="541" spans="1:4" x14ac:dyDescent="0.3">
      <c r="A541" t="s">
        <v>1090</v>
      </c>
      <c r="B541" t="s">
        <v>1091</v>
      </c>
      <c r="C541" t="s">
        <v>1158</v>
      </c>
      <c r="D541" t="s">
        <v>1159</v>
      </c>
    </row>
    <row r="542" spans="1:4" x14ac:dyDescent="0.3">
      <c r="A542" t="s">
        <v>1090</v>
      </c>
      <c r="B542" t="s">
        <v>1091</v>
      </c>
      <c r="C542" t="s">
        <v>1160</v>
      </c>
      <c r="D542" t="s">
        <v>1161</v>
      </c>
    </row>
    <row r="543" spans="1:4" x14ac:dyDescent="0.3">
      <c r="A543" t="s">
        <v>1090</v>
      </c>
      <c r="B543" t="s">
        <v>1091</v>
      </c>
      <c r="C543" t="s">
        <v>1162</v>
      </c>
      <c r="D543" t="s">
        <v>1163</v>
      </c>
    </row>
    <row r="544" spans="1:4" x14ac:dyDescent="0.3">
      <c r="A544" t="s">
        <v>1090</v>
      </c>
      <c r="B544" t="s">
        <v>1091</v>
      </c>
      <c r="C544" t="s">
        <v>1164</v>
      </c>
      <c r="D544" t="s">
        <v>1165</v>
      </c>
    </row>
    <row r="545" spans="1:4" x14ac:dyDescent="0.3">
      <c r="A545" t="s">
        <v>1090</v>
      </c>
      <c r="B545" t="s">
        <v>1091</v>
      </c>
      <c r="C545" t="s">
        <v>1166</v>
      </c>
      <c r="D545" t="s">
        <v>1167</v>
      </c>
    </row>
    <row r="546" spans="1:4" x14ac:dyDescent="0.3">
      <c r="A546" t="s">
        <v>1090</v>
      </c>
      <c r="B546" t="s">
        <v>1091</v>
      </c>
      <c r="C546" t="s">
        <v>1168</v>
      </c>
      <c r="D546" t="s">
        <v>1169</v>
      </c>
    </row>
    <row r="547" spans="1:4" x14ac:dyDescent="0.3">
      <c r="A547" t="s">
        <v>1090</v>
      </c>
      <c r="B547" t="s">
        <v>1091</v>
      </c>
      <c r="C547" t="s">
        <v>1170</v>
      </c>
      <c r="D547" t="s">
        <v>1171</v>
      </c>
    </row>
    <row r="548" spans="1:4" x14ac:dyDescent="0.3">
      <c r="A548" t="s">
        <v>1090</v>
      </c>
      <c r="B548" t="s">
        <v>1091</v>
      </c>
      <c r="C548" t="s">
        <v>1172</v>
      </c>
      <c r="D548" t="s">
        <v>1173</v>
      </c>
    </row>
    <row r="549" spans="1:4" x14ac:dyDescent="0.3">
      <c r="A549" t="s">
        <v>1090</v>
      </c>
      <c r="B549" t="s">
        <v>1091</v>
      </c>
      <c r="C549" t="s">
        <v>1174</v>
      </c>
      <c r="D549" t="s">
        <v>1175</v>
      </c>
    </row>
    <row r="550" spans="1:4" x14ac:dyDescent="0.3">
      <c r="A550" t="s">
        <v>1090</v>
      </c>
      <c r="B550" t="s">
        <v>1091</v>
      </c>
      <c r="C550" t="s">
        <v>1176</v>
      </c>
      <c r="D550" t="s">
        <v>1177</v>
      </c>
    </row>
    <row r="551" spans="1:4" x14ac:dyDescent="0.3">
      <c r="A551" t="s">
        <v>1090</v>
      </c>
      <c r="B551" t="s">
        <v>1091</v>
      </c>
      <c r="C551" t="s">
        <v>1178</v>
      </c>
      <c r="D551" t="s">
        <v>1179</v>
      </c>
    </row>
    <row r="552" spans="1:4" x14ac:dyDescent="0.3">
      <c r="A552" t="s">
        <v>1090</v>
      </c>
      <c r="B552" t="s">
        <v>1091</v>
      </c>
      <c r="C552" t="s">
        <v>1180</v>
      </c>
      <c r="D552" t="s">
        <v>1181</v>
      </c>
    </row>
    <row r="553" spans="1:4" x14ac:dyDescent="0.3">
      <c r="A553" t="s">
        <v>1182</v>
      </c>
      <c r="B553" t="s">
        <v>1183</v>
      </c>
      <c r="C553" t="s">
        <v>1184</v>
      </c>
      <c r="D553" t="s">
        <v>1185</v>
      </c>
    </row>
    <row r="554" spans="1:4" x14ac:dyDescent="0.3">
      <c r="A554" t="s">
        <v>1182</v>
      </c>
      <c r="B554" t="s">
        <v>1183</v>
      </c>
      <c r="C554" t="s">
        <v>1186</v>
      </c>
      <c r="D554" t="s">
        <v>1187</v>
      </c>
    </row>
    <row r="555" spans="1:4" x14ac:dyDescent="0.3">
      <c r="A555" t="s">
        <v>1182</v>
      </c>
      <c r="B555" t="s">
        <v>1183</v>
      </c>
      <c r="C555" t="s">
        <v>1188</v>
      </c>
      <c r="D555" t="s">
        <v>349</v>
      </c>
    </row>
    <row r="556" spans="1:4" x14ac:dyDescent="0.3">
      <c r="A556" t="s">
        <v>1182</v>
      </c>
      <c r="B556" t="s">
        <v>1183</v>
      </c>
      <c r="C556" t="s">
        <v>1189</v>
      </c>
      <c r="D556" t="s">
        <v>1190</v>
      </c>
    </row>
    <row r="557" spans="1:4" x14ac:dyDescent="0.3">
      <c r="A557" t="s">
        <v>1182</v>
      </c>
      <c r="B557" t="s">
        <v>1183</v>
      </c>
      <c r="C557" t="s">
        <v>1191</v>
      </c>
      <c r="D557" t="s">
        <v>1192</v>
      </c>
    </row>
    <row r="558" spans="1:4" x14ac:dyDescent="0.3">
      <c r="A558" t="s">
        <v>1182</v>
      </c>
      <c r="B558" t="s">
        <v>1183</v>
      </c>
      <c r="C558" t="s">
        <v>1193</v>
      </c>
      <c r="D558" t="s">
        <v>1194</v>
      </c>
    </row>
    <row r="559" spans="1:4" x14ac:dyDescent="0.3">
      <c r="A559" t="s">
        <v>1182</v>
      </c>
      <c r="B559" t="s">
        <v>1183</v>
      </c>
      <c r="C559" t="s">
        <v>1195</v>
      </c>
      <c r="D559" t="s">
        <v>1196</v>
      </c>
    </row>
    <row r="560" spans="1:4" x14ac:dyDescent="0.3">
      <c r="A560" t="s">
        <v>1182</v>
      </c>
      <c r="B560" t="s">
        <v>1183</v>
      </c>
      <c r="C560" t="s">
        <v>1197</v>
      </c>
      <c r="D560" t="s">
        <v>1198</v>
      </c>
    </row>
    <row r="561" spans="1:4" x14ac:dyDescent="0.3">
      <c r="A561" t="s">
        <v>1182</v>
      </c>
      <c r="B561" t="s">
        <v>1183</v>
      </c>
      <c r="C561" t="s">
        <v>1199</v>
      </c>
      <c r="D561" t="s">
        <v>1200</v>
      </c>
    </row>
    <row r="562" spans="1:4" x14ac:dyDescent="0.3">
      <c r="A562" t="s">
        <v>1182</v>
      </c>
      <c r="B562" t="s">
        <v>1183</v>
      </c>
      <c r="C562" t="s">
        <v>1201</v>
      </c>
      <c r="D562" t="s">
        <v>1202</v>
      </c>
    </row>
    <row r="563" spans="1:4" x14ac:dyDescent="0.3">
      <c r="A563" t="s">
        <v>1182</v>
      </c>
      <c r="B563" t="s">
        <v>1183</v>
      </c>
      <c r="C563" t="s">
        <v>1203</v>
      </c>
      <c r="D563" t="s">
        <v>1204</v>
      </c>
    </row>
    <row r="564" spans="1:4" x14ac:dyDescent="0.3">
      <c r="A564" t="s">
        <v>1182</v>
      </c>
      <c r="B564" t="s">
        <v>1183</v>
      </c>
      <c r="C564" t="s">
        <v>1205</v>
      </c>
      <c r="D564" t="s">
        <v>1206</v>
      </c>
    </row>
    <row r="565" spans="1:4" x14ac:dyDescent="0.3">
      <c r="A565" t="s">
        <v>1182</v>
      </c>
      <c r="B565" t="s">
        <v>1183</v>
      </c>
      <c r="C565" t="s">
        <v>1207</v>
      </c>
      <c r="D565" t="s">
        <v>1208</v>
      </c>
    </row>
    <row r="566" spans="1:4" x14ac:dyDescent="0.3">
      <c r="A566" t="s">
        <v>1182</v>
      </c>
      <c r="B566" t="s">
        <v>1183</v>
      </c>
      <c r="C566" t="s">
        <v>1209</v>
      </c>
      <c r="D566" t="s">
        <v>1210</v>
      </c>
    </row>
    <row r="567" spans="1:4" x14ac:dyDescent="0.3">
      <c r="A567" t="s">
        <v>1182</v>
      </c>
      <c r="B567" t="s">
        <v>1183</v>
      </c>
      <c r="C567" t="s">
        <v>1211</v>
      </c>
      <c r="D567" t="s">
        <v>1212</v>
      </c>
    </row>
    <row r="568" spans="1:4" x14ac:dyDescent="0.3">
      <c r="A568" t="s">
        <v>1182</v>
      </c>
      <c r="B568" t="s">
        <v>1183</v>
      </c>
      <c r="C568" t="s">
        <v>1213</v>
      </c>
      <c r="D568" t="s">
        <v>1214</v>
      </c>
    </row>
    <row r="569" spans="1:4" x14ac:dyDescent="0.3">
      <c r="A569" t="s">
        <v>1182</v>
      </c>
      <c r="B569" t="s">
        <v>1183</v>
      </c>
      <c r="C569" t="s">
        <v>1215</v>
      </c>
      <c r="D569" t="s">
        <v>1216</v>
      </c>
    </row>
    <row r="570" spans="1:4" x14ac:dyDescent="0.3">
      <c r="A570" t="s">
        <v>1182</v>
      </c>
      <c r="B570" t="s">
        <v>1183</v>
      </c>
      <c r="C570" t="s">
        <v>1217</v>
      </c>
      <c r="D570" t="s">
        <v>1218</v>
      </c>
    </row>
    <row r="571" spans="1:4" x14ac:dyDescent="0.3">
      <c r="A571" t="s">
        <v>1182</v>
      </c>
      <c r="B571" t="s">
        <v>1183</v>
      </c>
      <c r="C571" t="s">
        <v>1219</v>
      </c>
      <c r="D571" t="s">
        <v>1220</v>
      </c>
    </row>
    <row r="572" spans="1:4" x14ac:dyDescent="0.3">
      <c r="A572" t="s">
        <v>1182</v>
      </c>
      <c r="B572" t="s">
        <v>1183</v>
      </c>
      <c r="C572" t="s">
        <v>1221</v>
      </c>
      <c r="D572" t="s">
        <v>1222</v>
      </c>
    </row>
    <row r="573" spans="1:4" x14ac:dyDescent="0.3">
      <c r="A573" t="s">
        <v>1182</v>
      </c>
      <c r="B573" t="s">
        <v>1183</v>
      </c>
      <c r="C573" t="s">
        <v>1223</v>
      </c>
      <c r="D573" t="s">
        <v>1224</v>
      </c>
    </row>
    <row r="574" spans="1:4" x14ac:dyDescent="0.3">
      <c r="A574" t="s">
        <v>1182</v>
      </c>
      <c r="B574" t="s">
        <v>1183</v>
      </c>
      <c r="C574" t="s">
        <v>1225</v>
      </c>
      <c r="D574" t="s">
        <v>1226</v>
      </c>
    </row>
    <row r="575" spans="1:4" x14ac:dyDescent="0.3">
      <c r="A575" t="s">
        <v>1227</v>
      </c>
      <c r="B575" t="s">
        <v>1228</v>
      </c>
      <c r="C575" t="s">
        <v>1229</v>
      </c>
      <c r="D575" t="s">
        <v>1230</v>
      </c>
    </row>
    <row r="576" spans="1:4" x14ac:dyDescent="0.3">
      <c r="A576" t="s">
        <v>1227</v>
      </c>
      <c r="B576" t="s">
        <v>1228</v>
      </c>
      <c r="C576" t="s">
        <v>1231</v>
      </c>
      <c r="D576" t="s">
        <v>1232</v>
      </c>
    </row>
    <row r="577" spans="1:4" x14ac:dyDescent="0.3">
      <c r="A577" t="s">
        <v>1227</v>
      </c>
      <c r="B577" t="s">
        <v>1228</v>
      </c>
      <c r="C577" t="s">
        <v>1233</v>
      </c>
      <c r="D577" t="s">
        <v>1234</v>
      </c>
    </row>
    <row r="578" spans="1:4" x14ac:dyDescent="0.3">
      <c r="A578" t="s">
        <v>1227</v>
      </c>
      <c r="B578" t="s">
        <v>1228</v>
      </c>
      <c r="C578" t="s">
        <v>1235</v>
      </c>
      <c r="D578" t="s">
        <v>1236</v>
      </c>
    </row>
    <row r="579" spans="1:4" x14ac:dyDescent="0.3">
      <c r="A579" t="s">
        <v>1227</v>
      </c>
      <c r="B579" t="s">
        <v>1228</v>
      </c>
      <c r="C579" t="s">
        <v>1237</v>
      </c>
      <c r="D579" t="s">
        <v>1238</v>
      </c>
    </row>
    <row r="580" spans="1:4" x14ac:dyDescent="0.3">
      <c r="A580" t="s">
        <v>1227</v>
      </c>
      <c r="B580" t="s">
        <v>1228</v>
      </c>
      <c r="C580" t="s">
        <v>1239</v>
      </c>
      <c r="D580" t="s">
        <v>1240</v>
      </c>
    </row>
    <row r="581" spans="1:4" x14ac:dyDescent="0.3">
      <c r="A581" t="s">
        <v>1227</v>
      </c>
      <c r="B581" t="s">
        <v>1228</v>
      </c>
      <c r="C581" t="s">
        <v>1241</v>
      </c>
      <c r="D581" t="s">
        <v>1242</v>
      </c>
    </row>
    <row r="582" spans="1:4" x14ac:dyDescent="0.3">
      <c r="A582" t="s">
        <v>1227</v>
      </c>
      <c r="B582" t="s">
        <v>1228</v>
      </c>
      <c r="C582" t="s">
        <v>1243</v>
      </c>
      <c r="D582" t="s">
        <v>1244</v>
      </c>
    </row>
    <row r="583" spans="1:4" x14ac:dyDescent="0.3">
      <c r="A583" t="s">
        <v>1227</v>
      </c>
      <c r="B583" t="s">
        <v>1228</v>
      </c>
      <c r="C583" t="s">
        <v>1245</v>
      </c>
      <c r="D583" t="s">
        <v>1246</v>
      </c>
    </row>
    <row r="584" spans="1:4" x14ac:dyDescent="0.3">
      <c r="A584" t="s">
        <v>1227</v>
      </c>
      <c r="B584" t="s">
        <v>1228</v>
      </c>
      <c r="C584" t="s">
        <v>1247</v>
      </c>
      <c r="D584" t="s">
        <v>1248</v>
      </c>
    </row>
    <row r="585" spans="1:4" x14ac:dyDescent="0.3">
      <c r="A585" t="s">
        <v>1227</v>
      </c>
      <c r="B585" t="s">
        <v>1228</v>
      </c>
      <c r="C585" t="s">
        <v>1249</v>
      </c>
      <c r="D585" t="s">
        <v>1250</v>
      </c>
    </row>
    <row r="586" spans="1:4" x14ac:dyDescent="0.3">
      <c r="A586" t="s">
        <v>1227</v>
      </c>
      <c r="B586" t="s">
        <v>1228</v>
      </c>
      <c r="C586" t="s">
        <v>1251</v>
      </c>
      <c r="D586" t="s">
        <v>1252</v>
      </c>
    </row>
    <row r="587" spans="1:4" x14ac:dyDescent="0.3">
      <c r="A587" t="s">
        <v>1227</v>
      </c>
      <c r="B587" t="s">
        <v>1228</v>
      </c>
      <c r="C587" t="s">
        <v>1253</v>
      </c>
      <c r="D587" t="s">
        <v>1254</v>
      </c>
    </row>
    <row r="588" spans="1:4" x14ac:dyDescent="0.3">
      <c r="A588" t="s">
        <v>1227</v>
      </c>
      <c r="B588" t="s">
        <v>1228</v>
      </c>
      <c r="C588" t="s">
        <v>1255</v>
      </c>
      <c r="D588" t="s">
        <v>1256</v>
      </c>
    </row>
    <row r="589" spans="1:4" x14ac:dyDescent="0.3">
      <c r="A589" t="s">
        <v>1227</v>
      </c>
      <c r="B589" t="s">
        <v>1228</v>
      </c>
      <c r="C589" t="s">
        <v>1257</v>
      </c>
      <c r="D589" t="s">
        <v>1258</v>
      </c>
    </row>
    <row r="590" spans="1:4" x14ac:dyDescent="0.3">
      <c r="A590" t="s">
        <v>1227</v>
      </c>
      <c r="B590" t="s">
        <v>1228</v>
      </c>
      <c r="C590" t="s">
        <v>1259</v>
      </c>
      <c r="D590" t="s">
        <v>1260</v>
      </c>
    </row>
    <row r="591" spans="1:4" x14ac:dyDescent="0.3">
      <c r="A591" t="s">
        <v>1227</v>
      </c>
      <c r="B591" t="s">
        <v>1228</v>
      </c>
      <c r="C591" t="s">
        <v>1261</v>
      </c>
      <c r="D591" t="s">
        <v>1262</v>
      </c>
    </row>
    <row r="592" spans="1:4" x14ac:dyDescent="0.3">
      <c r="A592" t="s">
        <v>1227</v>
      </c>
      <c r="B592" t="s">
        <v>1228</v>
      </c>
      <c r="C592" t="s">
        <v>1263</v>
      </c>
      <c r="D592" t="s">
        <v>1264</v>
      </c>
    </row>
    <row r="593" spans="1:4" x14ac:dyDescent="0.3">
      <c r="A593" t="s">
        <v>1227</v>
      </c>
      <c r="B593" t="s">
        <v>1228</v>
      </c>
      <c r="C593" t="s">
        <v>1265</v>
      </c>
      <c r="D593" t="s">
        <v>1266</v>
      </c>
    </row>
    <row r="594" spans="1:4" x14ac:dyDescent="0.3">
      <c r="A594" t="s">
        <v>1227</v>
      </c>
      <c r="B594" t="s">
        <v>1228</v>
      </c>
      <c r="C594" t="s">
        <v>1267</v>
      </c>
      <c r="D594" t="s">
        <v>1268</v>
      </c>
    </row>
    <row r="595" spans="1:4" x14ac:dyDescent="0.3">
      <c r="A595" t="s">
        <v>1227</v>
      </c>
      <c r="B595" t="s">
        <v>1228</v>
      </c>
      <c r="C595" t="s">
        <v>1269</v>
      </c>
      <c r="D595" t="s">
        <v>1270</v>
      </c>
    </row>
    <row r="596" spans="1:4" x14ac:dyDescent="0.3">
      <c r="A596" t="s">
        <v>1227</v>
      </c>
      <c r="B596" t="s">
        <v>1228</v>
      </c>
      <c r="C596" t="s">
        <v>1271</v>
      </c>
      <c r="D596" t="s">
        <v>1272</v>
      </c>
    </row>
    <row r="597" spans="1:4" x14ac:dyDescent="0.3">
      <c r="A597" t="s">
        <v>1273</v>
      </c>
      <c r="B597" t="s">
        <v>1274</v>
      </c>
      <c r="C597" t="s">
        <v>1275</v>
      </c>
      <c r="D597" t="s">
        <v>1276</v>
      </c>
    </row>
    <row r="598" spans="1:4" x14ac:dyDescent="0.3">
      <c r="A598" t="s">
        <v>1273</v>
      </c>
      <c r="B598" t="s">
        <v>1274</v>
      </c>
      <c r="C598" t="s">
        <v>1277</v>
      </c>
      <c r="D598" t="s">
        <v>1278</v>
      </c>
    </row>
    <row r="599" spans="1:4" x14ac:dyDescent="0.3">
      <c r="A599" t="s">
        <v>1273</v>
      </c>
      <c r="B599" t="s">
        <v>1274</v>
      </c>
      <c r="C599" t="s">
        <v>1279</v>
      </c>
      <c r="D599" t="s">
        <v>1280</v>
      </c>
    </row>
    <row r="600" spans="1:4" x14ac:dyDescent="0.3">
      <c r="A600" t="s">
        <v>1273</v>
      </c>
      <c r="B600" t="s">
        <v>1274</v>
      </c>
      <c r="C600" t="s">
        <v>1281</v>
      </c>
      <c r="D600" t="s">
        <v>1282</v>
      </c>
    </row>
    <row r="601" spans="1:4" x14ac:dyDescent="0.3">
      <c r="A601" t="s">
        <v>1273</v>
      </c>
      <c r="B601" t="s">
        <v>1274</v>
      </c>
      <c r="C601" t="s">
        <v>1283</v>
      </c>
      <c r="D601" t="s">
        <v>1284</v>
      </c>
    </row>
    <row r="602" spans="1:4" x14ac:dyDescent="0.3">
      <c r="A602" t="s">
        <v>1273</v>
      </c>
      <c r="B602" t="s">
        <v>1274</v>
      </c>
      <c r="C602" t="s">
        <v>1285</v>
      </c>
      <c r="D602" t="s">
        <v>1286</v>
      </c>
    </row>
    <row r="603" spans="1:4" x14ac:dyDescent="0.3">
      <c r="A603" t="s">
        <v>1273</v>
      </c>
      <c r="B603" t="s">
        <v>1274</v>
      </c>
      <c r="C603" t="s">
        <v>1287</v>
      </c>
      <c r="D603" t="s">
        <v>1288</v>
      </c>
    </row>
    <row r="604" spans="1:4" x14ac:dyDescent="0.3">
      <c r="A604" t="s">
        <v>1273</v>
      </c>
      <c r="B604" t="s">
        <v>1274</v>
      </c>
      <c r="C604" t="s">
        <v>1289</v>
      </c>
      <c r="D604" t="s">
        <v>1290</v>
      </c>
    </row>
    <row r="605" spans="1:4" x14ac:dyDescent="0.3">
      <c r="A605" t="s">
        <v>1273</v>
      </c>
      <c r="B605" t="s">
        <v>1274</v>
      </c>
      <c r="C605" t="s">
        <v>1291</v>
      </c>
      <c r="D605" t="s">
        <v>1292</v>
      </c>
    </row>
    <row r="606" spans="1:4" x14ac:dyDescent="0.3">
      <c r="A606" t="s">
        <v>1273</v>
      </c>
      <c r="B606" t="s">
        <v>1274</v>
      </c>
      <c r="C606" t="s">
        <v>1293</v>
      </c>
      <c r="D606" t="s">
        <v>539</v>
      </c>
    </row>
    <row r="607" spans="1:4" x14ac:dyDescent="0.3">
      <c r="A607" t="s">
        <v>1273</v>
      </c>
      <c r="B607" t="s">
        <v>1274</v>
      </c>
      <c r="C607" t="s">
        <v>1294</v>
      </c>
      <c r="D607" t="s">
        <v>1295</v>
      </c>
    </row>
    <row r="608" spans="1:4" x14ac:dyDescent="0.3">
      <c r="A608" t="s">
        <v>1296</v>
      </c>
      <c r="B608" t="s">
        <v>1297</v>
      </c>
      <c r="C608" t="s">
        <v>1298</v>
      </c>
      <c r="D608" t="s">
        <v>1299</v>
      </c>
    </row>
    <row r="609" spans="1:4" x14ac:dyDescent="0.3">
      <c r="A609" t="s">
        <v>1296</v>
      </c>
      <c r="B609" t="s">
        <v>1297</v>
      </c>
      <c r="C609" t="s">
        <v>1300</v>
      </c>
      <c r="D609" t="s">
        <v>1301</v>
      </c>
    </row>
    <row r="610" spans="1:4" x14ac:dyDescent="0.3">
      <c r="A610" t="s">
        <v>1296</v>
      </c>
      <c r="B610" t="s">
        <v>1297</v>
      </c>
      <c r="C610" t="s">
        <v>1302</v>
      </c>
      <c r="D610" t="s">
        <v>1303</v>
      </c>
    </row>
    <row r="611" spans="1:4" x14ac:dyDescent="0.3">
      <c r="A611" t="s">
        <v>1296</v>
      </c>
      <c r="B611" t="s">
        <v>1297</v>
      </c>
      <c r="C611" t="s">
        <v>1304</v>
      </c>
      <c r="D611" t="s">
        <v>1305</v>
      </c>
    </row>
    <row r="612" spans="1:4" x14ac:dyDescent="0.3">
      <c r="A612" t="s">
        <v>1296</v>
      </c>
      <c r="B612" t="s">
        <v>1297</v>
      </c>
      <c r="C612" t="s">
        <v>1306</v>
      </c>
      <c r="D612" t="s">
        <v>1307</v>
      </c>
    </row>
    <row r="613" spans="1:4" x14ac:dyDescent="0.3">
      <c r="A613" t="s">
        <v>1296</v>
      </c>
      <c r="B613" t="s">
        <v>1297</v>
      </c>
      <c r="C613" t="s">
        <v>1308</v>
      </c>
      <c r="D613" t="s">
        <v>1309</v>
      </c>
    </row>
    <row r="614" spans="1:4" x14ac:dyDescent="0.3">
      <c r="A614" t="s">
        <v>1310</v>
      </c>
      <c r="B614" t="s">
        <v>1311</v>
      </c>
      <c r="C614" t="s">
        <v>1312</v>
      </c>
      <c r="D614" t="s">
        <v>1313</v>
      </c>
    </row>
    <row r="615" spans="1:4" x14ac:dyDescent="0.3">
      <c r="A615" t="s">
        <v>1310</v>
      </c>
      <c r="B615" t="s">
        <v>1311</v>
      </c>
      <c r="C615" t="s">
        <v>1314</v>
      </c>
      <c r="D615" t="s">
        <v>1315</v>
      </c>
    </row>
    <row r="616" spans="1:4" x14ac:dyDescent="0.3">
      <c r="A616" t="s">
        <v>1310</v>
      </c>
      <c r="B616" t="s">
        <v>1311</v>
      </c>
      <c r="C616" t="s">
        <v>1316</v>
      </c>
      <c r="D616" t="s">
        <v>1317</v>
      </c>
    </row>
    <row r="617" spans="1:4" x14ac:dyDescent="0.3">
      <c r="A617" t="s">
        <v>1310</v>
      </c>
      <c r="B617" t="s">
        <v>1311</v>
      </c>
      <c r="C617" t="s">
        <v>1318</v>
      </c>
      <c r="D617" t="s">
        <v>1319</v>
      </c>
    </row>
    <row r="618" spans="1:4" x14ac:dyDescent="0.3">
      <c r="A618" t="s">
        <v>1310</v>
      </c>
      <c r="B618" t="s">
        <v>1311</v>
      </c>
      <c r="C618" t="s">
        <v>1320</v>
      </c>
      <c r="D618" t="s">
        <v>1321</v>
      </c>
    </row>
    <row r="619" spans="1:4" x14ac:dyDescent="0.3">
      <c r="A619" t="s">
        <v>1310</v>
      </c>
      <c r="B619" t="s">
        <v>1311</v>
      </c>
      <c r="C619" t="s">
        <v>1322</v>
      </c>
      <c r="D619" t="s">
        <v>1323</v>
      </c>
    </row>
    <row r="620" spans="1:4" x14ac:dyDescent="0.3">
      <c r="A620" t="s">
        <v>1310</v>
      </c>
      <c r="B620" t="s">
        <v>1311</v>
      </c>
      <c r="C620" t="s">
        <v>1324</v>
      </c>
      <c r="D620" t="s">
        <v>1325</v>
      </c>
    </row>
    <row r="621" spans="1:4" x14ac:dyDescent="0.3">
      <c r="A621" t="s">
        <v>1310</v>
      </c>
      <c r="B621" t="s">
        <v>1311</v>
      </c>
      <c r="C621" t="s">
        <v>1326</v>
      </c>
      <c r="D621" t="s">
        <v>1327</v>
      </c>
    </row>
    <row r="622" spans="1:4" x14ac:dyDescent="0.3">
      <c r="A622" t="s">
        <v>1310</v>
      </c>
      <c r="B622" t="s">
        <v>1311</v>
      </c>
      <c r="C622" t="s">
        <v>1328</v>
      </c>
      <c r="D622" t="s">
        <v>1329</v>
      </c>
    </row>
    <row r="623" spans="1:4" x14ac:dyDescent="0.3">
      <c r="A623" t="s">
        <v>1310</v>
      </c>
      <c r="B623" t="s">
        <v>1311</v>
      </c>
      <c r="C623" t="s">
        <v>1330</v>
      </c>
      <c r="D623" t="s">
        <v>1331</v>
      </c>
    </row>
    <row r="624" spans="1:4" x14ac:dyDescent="0.3">
      <c r="A624" t="s">
        <v>1310</v>
      </c>
      <c r="B624" t="s">
        <v>1311</v>
      </c>
      <c r="C624" t="s">
        <v>1332</v>
      </c>
      <c r="D624" t="s">
        <v>1333</v>
      </c>
    </row>
    <row r="625" spans="1:4" x14ac:dyDescent="0.3">
      <c r="A625" t="s">
        <v>1310</v>
      </c>
      <c r="B625" t="s">
        <v>1311</v>
      </c>
      <c r="C625" t="s">
        <v>1334</v>
      </c>
      <c r="D625" t="s">
        <v>1335</v>
      </c>
    </row>
    <row r="626" spans="1:4" x14ac:dyDescent="0.3">
      <c r="A626" t="s">
        <v>1310</v>
      </c>
      <c r="B626" t="s">
        <v>1311</v>
      </c>
      <c r="C626" t="s">
        <v>1336</v>
      </c>
      <c r="D626" t="s">
        <v>1337</v>
      </c>
    </row>
    <row r="627" spans="1:4" x14ac:dyDescent="0.3">
      <c r="A627" t="s">
        <v>1310</v>
      </c>
      <c r="B627" t="s">
        <v>1311</v>
      </c>
      <c r="C627" t="s">
        <v>1338</v>
      </c>
      <c r="D627" t="s">
        <v>1339</v>
      </c>
    </row>
    <row r="628" spans="1:4" x14ac:dyDescent="0.3">
      <c r="A628" t="s">
        <v>1310</v>
      </c>
      <c r="B628" t="s">
        <v>1311</v>
      </c>
      <c r="C628" t="s">
        <v>1340</v>
      </c>
      <c r="D628" t="s">
        <v>1341</v>
      </c>
    </row>
    <row r="629" spans="1:4" x14ac:dyDescent="0.3">
      <c r="A629" t="s">
        <v>1310</v>
      </c>
      <c r="B629" t="s">
        <v>1311</v>
      </c>
      <c r="C629" t="s">
        <v>1342</v>
      </c>
      <c r="D629" t="s">
        <v>1343</v>
      </c>
    </row>
    <row r="630" spans="1:4" x14ac:dyDescent="0.3">
      <c r="A630" t="s">
        <v>1310</v>
      </c>
      <c r="B630" t="s">
        <v>1311</v>
      </c>
      <c r="C630" t="s">
        <v>1344</v>
      </c>
      <c r="D630" t="s">
        <v>1345</v>
      </c>
    </row>
    <row r="631" spans="1:4" x14ac:dyDescent="0.3">
      <c r="A631" t="s">
        <v>1310</v>
      </c>
      <c r="B631" t="s">
        <v>1311</v>
      </c>
      <c r="C631" t="s">
        <v>1346</v>
      </c>
      <c r="D631" t="s">
        <v>1347</v>
      </c>
    </row>
    <row r="632" spans="1:4" x14ac:dyDescent="0.3">
      <c r="A632" t="s">
        <v>1310</v>
      </c>
      <c r="B632" t="s">
        <v>1311</v>
      </c>
      <c r="C632" t="s">
        <v>1348</v>
      </c>
      <c r="D632" t="s">
        <v>1349</v>
      </c>
    </row>
    <row r="633" spans="1:4" x14ac:dyDescent="0.3">
      <c r="A633" t="s">
        <v>1310</v>
      </c>
      <c r="B633" t="s">
        <v>1311</v>
      </c>
      <c r="C633" t="s">
        <v>1350</v>
      </c>
      <c r="D633" t="s">
        <v>1351</v>
      </c>
    </row>
    <row r="634" spans="1:4" x14ac:dyDescent="0.3">
      <c r="A634" t="s">
        <v>1310</v>
      </c>
      <c r="B634" t="s">
        <v>1311</v>
      </c>
      <c r="C634" t="s">
        <v>1352</v>
      </c>
      <c r="D634" t="s">
        <v>1353</v>
      </c>
    </row>
    <row r="635" spans="1:4" x14ac:dyDescent="0.3">
      <c r="A635" t="s">
        <v>1310</v>
      </c>
      <c r="B635" t="s">
        <v>1311</v>
      </c>
      <c r="C635" t="s">
        <v>1354</v>
      </c>
      <c r="D635" t="s">
        <v>1355</v>
      </c>
    </row>
    <row r="636" spans="1:4" x14ac:dyDescent="0.3">
      <c r="A636" t="s">
        <v>1310</v>
      </c>
      <c r="B636" t="s">
        <v>1311</v>
      </c>
      <c r="C636" t="s">
        <v>1356</v>
      </c>
      <c r="D636" t="s">
        <v>1357</v>
      </c>
    </row>
    <row r="637" spans="1:4" x14ac:dyDescent="0.3">
      <c r="A637" t="s">
        <v>1310</v>
      </c>
      <c r="B637" t="s">
        <v>1311</v>
      </c>
      <c r="C637" t="s">
        <v>1358</v>
      </c>
      <c r="D637" t="s">
        <v>1359</v>
      </c>
    </row>
    <row r="638" spans="1:4" x14ac:dyDescent="0.3">
      <c r="A638" t="s">
        <v>1310</v>
      </c>
      <c r="B638" t="s">
        <v>1311</v>
      </c>
      <c r="C638" t="s">
        <v>1360</v>
      </c>
      <c r="D638" t="s">
        <v>1361</v>
      </c>
    </row>
    <row r="639" spans="1:4" x14ac:dyDescent="0.3">
      <c r="A639" t="s">
        <v>1310</v>
      </c>
      <c r="B639" t="s">
        <v>1311</v>
      </c>
      <c r="C639" t="s">
        <v>1362</v>
      </c>
      <c r="D639" t="s">
        <v>1363</v>
      </c>
    </row>
    <row r="640" spans="1:4" x14ac:dyDescent="0.3">
      <c r="A640" t="s">
        <v>1310</v>
      </c>
      <c r="B640" t="s">
        <v>1311</v>
      </c>
      <c r="C640" t="s">
        <v>1364</v>
      </c>
      <c r="D640" t="s">
        <v>1365</v>
      </c>
    </row>
    <row r="641" spans="1:4" x14ac:dyDescent="0.3">
      <c r="A641" t="s">
        <v>1310</v>
      </c>
      <c r="B641" t="s">
        <v>1311</v>
      </c>
      <c r="C641" t="s">
        <v>1366</v>
      </c>
      <c r="D641" t="s">
        <v>1367</v>
      </c>
    </row>
    <row r="642" spans="1:4" x14ac:dyDescent="0.3">
      <c r="A642" t="s">
        <v>1310</v>
      </c>
      <c r="B642" t="s">
        <v>1311</v>
      </c>
      <c r="C642" t="s">
        <v>1368</v>
      </c>
      <c r="D642" t="s">
        <v>1369</v>
      </c>
    </row>
    <row r="643" spans="1:4" x14ac:dyDescent="0.3">
      <c r="A643" t="s">
        <v>1310</v>
      </c>
      <c r="B643" t="s">
        <v>1311</v>
      </c>
      <c r="C643" t="s">
        <v>1370</v>
      </c>
      <c r="D643" t="s">
        <v>1371</v>
      </c>
    </row>
    <row r="644" spans="1:4" x14ac:dyDescent="0.3">
      <c r="A644" t="s">
        <v>1310</v>
      </c>
      <c r="B644" t="s">
        <v>1311</v>
      </c>
      <c r="C644" t="s">
        <v>1372</v>
      </c>
      <c r="D644" t="s">
        <v>1373</v>
      </c>
    </row>
    <row r="645" spans="1:4" x14ac:dyDescent="0.3">
      <c r="A645" t="s">
        <v>1310</v>
      </c>
      <c r="B645" t="s">
        <v>1311</v>
      </c>
      <c r="C645" t="s">
        <v>1374</v>
      </c>
      <c r="D645" t="s">
        <v>1375</v>
      </c>
    </row>
    <row r="646" spans="1:4" x14ac:dyDescent="0.3">
      <c r="A646" t="s">
        <v>1310</v>
      </c>
      <c r="B646" t="s">
        <v>1311</v>
      </c>
      <c r="C646" t="s">
        <v>1376</v>
      </c>
      <c r="D646" t="s">
        <v>1377</v>
      </c>
    </row>
    <row r="647" spans="1:4" x14ac:dyDescent="0.3">
      <c r="A647" t="s">
        <v>1310</v>
      </c>
      <c r="B647" t="s">
        <v>1311</v>
      </c>
      <c r="C647" t="s">
        <v>1378</v>
      </c>
      <c r="D647" t="s">
        <v>1379</v>
      </c>
    </row>
    <row r="648" spans="1:4" x14ac:dyDescent="0.3">
      <c r="A648" t="s">
        <v>1310</v>
      </c>
      <c r="B648" t="s">
        <v>1311</v>
      </c>
      <c r="C648" t="s">
        <v>1380</v>
      </c>
      <c r="D648" t="s">
        <v>1381</v>
      </c>
    </row>
    <row r="649" spans="1:4" x14ac:dyDescent="0.3">
      <c r="A649" t="s">
        <v>1310</v>
      </c>
      <c r="B649" t="s">
        <v>1311</v>
      </c>
      <c r="C649" t="s">
        <v>1382</v>
      </c>
      <c r="D649" t="s">
        <v>1383</v>
      </c>
    </row>
    <row r="650" spans="1:4" x14ac:dyDescent="0.3">
      <c r="A650" t="s">
        <v>1310</v>
      </c>
      <c r="B650" t="s">
        <v>1311</v>
      </c>
      <c r="C650" t="s">
        <v>1384</v>
      </c>
      <c r="D650" t="s">
        <v>1385</v>
      </c>
    </row>
    <row r="651" spans="1:4" x14ac:dyDescent="0.3">
      <c r="A651" t="s">
        <v>1310</v>
      </c>
      <c r="B651" t="s">
        <v>1311</v>
      </c>
      <c r="C651" t="s">
        <v>1386</v>
      </c>
      <c r="D651" t="s">
        <v>1387</v>
      </c>
    </row>
    <row r="652" spans="1:4" x14ac:dyDescent="0.3">
      <c r="A652" t="s">
        <v>1310</v>
      </c>
      <c r="B652" t="s">
        <v>1311</v>
      </c>
      <c r="C652" t="s">
        <v>1388</v>
      </c>
      <c r="D652" t="s">
        <v>1389</v>
      </c>
    </row>
    <row r="653" spans="1:4" x14ac:dyDescent="0.3">
      <c r="A653" t="s">
        <v>1310</v>
      </c>
      <c r="B653" t="s">
        <v>1311</v>
      </c>
      <c r="C653" t="s">
        <v>1390</v>
      </c>
      <c r="D653" t="s">
        <v>1391</v>
      </c>
    </row>
    <row r="654" spans="1:4" x14ac:dyDescent="0.3">
      <c r="A654" t="s">
        <v>1310</v>
      </c>
      <c r="B654" t="s">
        <v>1311</v>
      </c>
      <c r="C654" t="s">
        <v>1296</v>
      </c>
      <c r="D654" t="s">
        <v>1392</v>
      </c>
    </row>
    <row r="655" spans="1:4" x14ac:dyDescent="0.3">
      <c r="A655" t="s">
        <v>1310</v>
      </c>
      <c r="B655" t="s">
        <v>1311</v>
      </c>
      <c r="C655" t="s">
        <v>1393</v>
      </c>
      <c r="D655" t="s">
        <v>1394</v>
      </c>
    </row>
    <row r="656" spans="1:4" x14ac:dyDescent="0.3">
      <c r="A656" t="s">
        <v>1310</v>
      </c>
      <c r="B656" t="s">
        <v>1311</v>
      </c>
      <c r="C656" t="s">
        <v>1395</v>
      </c>
      <c r="D656" t="s">
        <v>1396</v>
      </c>
    </row>
    <row r="657" spans="1:4" x14ac:dyDescent="0.3">
      <c r="A657" t="s">
        <v>1310</v>
      </c>
      <c r="B657" t="s">
        <v>1311</v>
      </c>
      <c r="C657" t="s">
        <v>1397</v>
      </c>
      <c r="D657" t="s">
        <v>1398</v>
      </c>
    </row>
    <row r="658" spans="1:4" x14ac:dyDescent="0.3">
      <c r="A658" t="s">
        <v>1310</v>
      </c>
      <c r="B658" t="s">
        <v>1311</v>
      </c>
      <c r="C658" t="s">
        <v>1399</v>
      </c>
      <c r="D658" t="s">
        <v>1400</v>
      </c>
    </row>
    <row r="659" spans="1:4" x14ac:dyDescent="0.3">
      <c r="A659" t="s">
        <v>1310</v>
      </c>
      <c r="B659" t="s">
        <v>1311</v>
      </c>
      <c r="C659" t="s">
        <v>1401</v>
      </c>
      <c r="D659" t="s">
        <v>1402</v>
      </c>
    </row>
    <row r="660" spans="1:4" x14ac:dyDescent="0.3">
      <c r="A660" t="s">
        <v>1310</v>
      </c>
      <c r="B660" t="s">
        <v>1311</v>
      </c>
      <c r="C660" t="s">
        <v>1403</v>
      </c>
      <c r="D660" t="s">
        <v>1404</v>
      </c>
    </row>
    <row r="661" spans="1:4" x14ac:dyDescent="0.3">
      <c r="A661" t="s">
        <v>1310</v>
      </c>
      <c r="B661" t="s">
        <v>1311</v>
      </c>
      <c r="C661" t="s">
        <v>1405</v>
      </c>
      <c r="D661" t="s">
        <v>1406</v>
      </c>
    </row>
    <row r="662" spans="1:4" x14ac:dyDescent="0.3">
      <c r="A662" t="s">
        <v>1310</v>
      </c>
      <c r="B662" t="s">
        <v>1311</v>
      </c>
      <c r="C662" t="s">
        <v>1407</v>
      </c>
      <c r="D662" t="s">
        <v>1408</v>
      </c>
    </row>
    <row r="663" spans="1:4" x14ac:dyDescent="0.3">
      <c r="A663" t="s">
        <v>1310</v>
      </c>
      <c r="B663" t="s">
        <v>1311</v>
      </c>
      <c r="C663" t="s">
        <v>1409</v>
      </c>
      <c r="D663" t="s">
        <v>1410</v>
      </c>
    </row>
    <row r="664" spans="1:4" x14ac:dyDescent="0.3">
      <c r="A664" t="s">
        <v>1310</v>
      </c>
      <c r="B664" t="s">
        <v>1311</v>
      </c>
      <c r="C664" t="s">
        <v>1411</v>
      </c>
      <c r="D664" t="s">
        <v>1412</v>
      </c>
    </row>
    <row r="665" spans="1:4" x14ac:dyDescent="0.3">
      <c r="A665" t="s">
        <v>1310</v>
      </c>
      <c r="B665" t="s">
        <v>1311</v>
      </c>
      <c r="C665" t="s">
        <v>1413</v>
      </c>
      <c r="D665" t="s">
        <v>1414</v>
      </c>
    </row>
    <row r="666" spans="1:4" x14ac:dyDescent="0.3">
      <c r="A666" t="s">
        <v>1310</v>
      </c>
      <c r="B666" t="s">
        <v>1311</v>
      </c>
      <c r="C666" t="s">
        <v>1415</v>
      </c>
      <c r="D666" t="s">
        <v>1416</v>
      </c>
    </row>
    <row r="667" spans="1:4" x14ac:dyDescent="0.3">
      <c r="A667" t="s">
        <v>1310</v>
      </c>
      <c r="B667" t="s">
        <v>1311</v>
      </c>
      <c r="C667" t="s">
        <v>1417</v>
      </c>
      <c r="D667" t="s">
        <v>1418</v>
      </c>
    </row>
    <row r="668" spans="1:4" x14ac:dyDescent="0.3">
      <c r="A668" t="s">
        <v>1310</v>
      </c>
      <c r="B668" t="s">
        <v>1311</v>
      </c>
      <c r="C668" t="s">
        <v>1419</v>
      </c>
      <c r="D668" t="s">
        <v>1420</v>
      </c>
    </row>
    <row r="669" spans="1:4" x14ac:dyDescent="0.3">
      <c r="A669" t="s">
        <v>1310</v>
      </c>
      <c r="B669" t="s">
        <v>1311</v>
      </c>
      <c r="C669" t="s">
        <v>1421</v>
      </c>
      <c r="D669" t="s">
        <v>1422</v>
      </c>
    </row>
    <row r="670" spans="1:4" x14ac:dyDescent="0.3">
      <c r="A670" t="s">
        <v>1310</v>
      </c>
      <c r="B670" t="s">
        <v>1311</v>
      </c>
      <c r="C670" t="s">
        <v>1423</v>
      </c>
      <c r="D670" t="s">
        <v>1424</v>
      </c>
    </row>
    <row r="671" spans="1:4" x14ac:dyDescent="0.3">
      <c r="A671" t="s">
        <v>1310</v>
      </c>
      <c r="B671" t="s">
        <v>1311</v>
      </c>
      <c r="C671" t="s">
        <v>1425</v>
      </c>
      <c r="D671" t="s">
        <v>1426</v>
      </c>
    </row>
    <row r="672" spans="1:4" x14ac:dyDescent="0.3">
      <c r="A672" t="s">
        <v>1310</v>
      </c>
      <c r="B672" t="s">
        <v>1311</v>
      </c>
      <c r="C672" t="s">
        <v>1427</v>
      </c>
      <c r="D672" t="s">
        <v>1428</v>
      </c>
    </row>
    <row r="673" spans="1:4" x14ac:dyDescent="0.3">
      <c r="A673" t="s">
        <v>1310</v>
      </c>
      <c r="B673" t="s">
        <v>1311</v>
      </c>
      <c r="C673" t="s">
        <v>1429</v>
      </c>
      <c r="D673" t="s">
        <v>1430</v>
      </c>
    </row>
    <row r="674" spans="1:4" x14ac:dyDescent="0.3">
      <c r="A674" t="s">
        <v>1310</v>
      </c>
      <c r="B674" t="s">
        <v>1311</v>
      </c>
      <c r="C674" t="s">
        <v>1431</v>
      </c>
      <c r="D674" t="s">
        <v>1432</v>
      </c>
    </row>
    <row r="675" spans="1:4" x14ac:dyDescent="0.3">
      <c r="A675" t="s">
        <v>1310</v>
      </c>
      <c r="B675" t="s">
        <v>1311</v>
      </c>
      <c r="C675" t="s">
        <v>1433</v>
      </c>
      <c r="D675" t="s">
        <v>1434</v>
      </c>
    </row>
    <row r="676" spans="1:4" x14ac:dyDescent="0.3">
      <c r="A676" t="s">
        <v>1310</v>
      </c>
      <c r="B676" t="s">
        <v>1311</v>
      </c>
      <c r="C676" t="s">
        <v>1435</v>
      </c>
      <c r="D676" t="s">
        <v>1436</v>
      </c>
    </row>
    <row r="677" spans="1:4" x14ac:dyDescent="0.3">
      <c r="A677" t="s">
        <v>1310</v>
      </c>
      <c r="B677" t="s">
        <v>1311</v>
      </c>
      <c r="C677" t="s">
        <v>1437</v>
      </c>
      <c r="D677" t="s">
        <v>1438</v>
      </c>
    </row>
    <row r="678" spans="1:4" x14ac:dyDescent="0.3">
      <c r="A678" t="s">
        <v>1310</v>
      </c>
      <c r="B678" t="s">
        <v>1311</v>
      </c>
      <c r="C678" t="s">
        <v>1439</v>
      </c>
      <c r="D678" t="s">
        <v>1440</v>
      </c>
    </row>
    <row r="679" spans="1:4" x14ac:dyDescent="0.3">
      <c r="A679" t="s">
        <v>1310</v>
      </c>
      <c r="B679" t="s">
        <v>1311</v>
      </c>
      <c r="C679" t="s">
        <v>1441</v>
      </c>
      <c r="D679" t="s">
        <v>1442</v>
      </c>
    </row>
    <row r="680" spans="1:4" x14ac:dyDescent="0.3">
      <c r="A680" t="s">
        <v>1310</v>
      </c>
      <c r="B680" t="s">
        <v>1311</v>
      </c>
      <c r="C680" t="s">
        <v>1443</v>
      </c>
      <c r="D680" t="s">
        <v>1444</v>
      </c>
    </row>
    <row r="681" spans="1:4" x14ac:dyDescent="0.3">
      <c r="A681" t="s">
        <v>1310</v>
      </c>
      <c r="B681" t="s">
        <v>1311</v>
      </c>
      <c r="C681" t="s">
        <v>1445</v>
      </c>
      <c r="D681" t="s">
        <v>455</v>
      </c>
    </row>
    <row r="682" spans="1:4" x14ac:dyDescent="0.3">
      <c r="A682" t="s">
        <v>1310</v>
      </c>
      <c r="B682" t="s">
        <v>1311</v>
      </c>
      <c r="C682" t="s">
        <v>1446</v>
      </c>
      <c r="D682" t="s">
        <v>1447</v>
      </c>
    </row>
    <row r="683" spans="1:4" x14ac:dyDescent="0.3">
      <c r="A683" t="s">
        <v>1310</v>
      </c>
      <c r="B683" t="s">
        <v>1311</v>
      </c>
      <c r="C683" t="s">
        <v>1448</v>
      </c>
      <c r="D683" t="s">
        <v>1449</v>
      </c>
    </row>
    <row r="684" spans="1:4" x14ac:dyDescent="0.3">
      <c r="A684" t="s">
        <v>1310</v>
      </c>
      <c r="B684" t="s">
        <v>1311</v>
      </c>
      <c r="C684" t="s">
        <v>1450</v>
      </c>
      <c r="D684" t="s">
        <v>1451</v>
      </c>
    </row>
    <row r="685" spans="1:4" x14ac:dyDescent="0.3">
      <c r="A685" t="s">
        <v>1310</v>
      </c>
      <c r="B685" t="s">
        <v>1311</v>
      </c>
      <c r="C685" t="s">
        <v>1452</v>
      </c>
      <c r="D685" t="s">
        <v>1453</v>
      </c>
    </row>
    <row r="686" spans="1:4" x14ac:dyDescent="0.3">
      <c r="A686" t="s">
        <v>1310</v>
      </c>
      <c r="B686" t="s">
        <v>1311</v>
      </c>
      <c r="C686" t="s">
        <v>1454</v>
      </c>
      <c r="D686" t="s">
        <v>1455</v>
      </c>
    </row>
    <row r="687" spans="1:4" x14ac:dyDescent="0.3">
      <c r="A687" t="s">
        <v>1310</v>
      </c>
      <c r="B687" t="s">
        <v>1311</v>
      </c>
      <c r="C687" t="s">
        <v>1456</v>
      </c>
      <c r="D687" t="s">
        <v>1457</v>
      </c>
    </row>
    <row r="688" spans="1:4" x14ac:dyDescent="0.3">
      <c r="A688" t="s">
        <v>1310</v>
      </c>
      <c r="B688" t="s">
        <v>1311</v>
      </c>
      <c r="C688" t="s">
        <v>1458</v>
      </c>
      <c r="D688" t="s">
        <v>1459</v>
      </c>
    </row>
    <row r="689" spans="1:4" x14ac:dyDescent="0.3">
      <c r="A689" t="s">
        <v>1310</v>
      </c>
      <c r="B689" t="s">
        <v>1311</v>
      </c>
      <c r="C689" t="s">
        <v>1460</v>
      </c>
      <c r="D689" t="s">
        <v>487</v>
      </c>
    </row>
    <row r="690" spans="1:4" x14ac:dyDescent="0.3">
      <c r="A690" t="s">
        <v>1310</v>
      </c>
      <c r="B690" t="s">
        <v>1311</v>
      </c>
      <c r="C690" t="s">
        <v>1461</v>
      </c>
      <c r="D690" t="s">
        <v>1462</v>
      </c>
    </row>
    <row r="691" spans="1:4" x14ac:dyDescent="0.3">
      <c r="A691" t="s">
        <v>1310</v>
      </c>
      <c r="B691" t="s">
        <v>1311</v>
      </c>
      <c r="C691" t="s">
        <v>1463</v>
      </c>
      <c r="D691" t="s">
        <v>1464</v>
      </c>
    </row>
    <row r="692" spans="1:4" x14ac:dyDescent="0.3">
      <c r="A692" t="s">
        <v>1310</v>
      </c>
      <c r="B692" t="s">
        <v>1311</v>
      </c>
      <c r="C692" t="s">
        <v>1465</v>
      </c>
      <c r="D692" t="s">
        <v>1466</v>
      </c>
    </row>
    <row r="693" spans="1:4" x14ac:dyDescent="0.3">
      <c r="A693" t="s">
        <v>1310</v>
      </c>
      <c r="B693" t="s">
        <v>1311</v>
      </c>
      <c r="C693" t="s">
        <v>1467</v>
      </c>
      <c r="D693" t="s">
        <v>1468</v>
      </c>
    </row>
    <row r="694" spans="1:4" x14ac:dyDescent="0.3">
      <c r="A694" t="s">
        <v>1310</v>
      </c>
      <c r="B694" t="s">
        <v>1311</v>
      </c>
      <c r="C694" t="s">
        <v>1469</v>
      </c>
      <c r="D694" t="s">
        <v>1470</v>
      </c>
    </row>
    <row r="695" spans="1:4" x14ac:dyDescent="0.3">
      <c r="A695" t="s">
        <v>1310</v>
      </c>
      <c r="B695" t="s">
        <v>1311</v>
      </c>
      <c r="C695" t="s">
        <v>1471</v>
      </c>
      <c r="D695" t="s">
        <v>1472</v>
      </c>
    </row>
    <row r="696" spans="1:4" x14ac:dyDescent="0.3">
      <c r="A696" t="s">
        <v>1310</v>
      </c>
      <c r="B696" t="s">
        <v>1311</v>
      </c>
      <c r="C696" t="s">
        <v>1473</v>
      </c>
      <c r="D696" t="s">
        <v>1474</v>
      </c>
    </row>
    <row r="697" spans="1:4" x14ac:dyDescent="0.3">
      <c r="A697" t="s">
        <v>1310</v>
      </c>
      <c r="B697" t="s">
        <v>1311</v>
      </c>
      <c r="C697" t="s">
        <v>1475</v>
      </c>
      <c r="D697" t="s">
        <v>1476</v>
      </c>
    </row>
    <row r="698" spans="1:4" x14ac:dyDescent="0.3">
      <c r="A698" t="s">
        <v>1310</v>
      </c>
      <c r="B698" t="s">
        <v>1311</v>
      </c>
      <c r="C698" t="s">
        <v>1477</v>
      </c>
      <c r="D698" t="s">
        <v>1478</v>
      </c>
    </row>
    <row r="699" spans="1:4" x14ac:dyDescent="0.3">
      <c r="A699" t="s">
        <v>1310</v>
      </c>
      <c r="B699" t="s">
        <v>1311</v>
      </c>
      <c r="C699" t="s">
        <v>1479</v>
      </c>
      <c r="D699" t="s">
        <v>1480</v>
      </c>
    </row>
    <row r="700" spans="1:4" x14ac:dyDescent="0.3">
      <c r="A700" t="s">
        <v>1310</v>
      </c>
      <c r="B700" t="s">
        <v>1311</v>
      </c>
      <c r="C700" t="s">
        <v>1481</v>
      </c>
      <c r="D700" t="s">
        <v>1482</v>
      </c>
    </row>
    <row r="701" spans="1:4" x14ac:dyDescent="0.3">
      <c r="A701" t="s">
        <v>1310</v>
      </c>
      <c r="B701" t="s">
        <v>1311</v>
      </c>
      <c r="C701" t="s">
        <v>1483</v>
      </c>
      <c r="D701" t="s">
        <v>1484</v>
      </c>
    </row>
    <row r="702" spans="1:4" x14ac:dyDescent="0.3">
      <c r="A702" t="s">
        <v>1310</v>
      </c>
      <c r="B702" t="s">
        <v>1311</v>
      </c>
      <c r="C702" t="s">
        <v>1485</v>
      </c>
      <c r="D702" t="s">
        <v>517</v>
      </c>
    </row>
    <row r="703" spans="1:4" x14ac:dyDescent="0.3">
      <c r="A703" t="s">
        <v>1310</v>
      </c>
      <c r="B703" t="s">
        <v>1311</v>
      </c>
      <c r="C703" t="s">
        <v>1486</v>
      </c>
      <c r="D703" t="s">
        <v>1487</v>
      </c>
    </row>
    <row r="704" spans="1:4" x14ac:dyDescent="0.3">
      <c r="A704" t="s">
        <v>1310</v>
      </c>
      <c r="B704" t="s">
        <v>1311</v>
      </c>
      <c r="C704" t="s">
        <v>1488</v>
      </c>
      <c r="D704" t="s">
        <v>1489</v>
      </c>
    </row>
    <row r="705" spans="1:4" x14ac:dyDescent="0.3">
      <c r="A705" t="s">
        <v>1310</v>
      </c>
      <c r="B705" t="s">
        <v>1311</v>
      </c>
      <c r="C705" t="s">
        <v>1490</v>
      </c>
      <c r="D705" t="s">
        <v>1491</v>
      </c>
    </row>
    <row r="706" spans="1:4" x14ac:dyDescent="0.3">
      <c r="A706" t="s">
        <v>1310</v>
      </c>
      <c r="B706" t="s">
        <v>1311</v>
      </c>
      <c r="C706" t="s">
        <v>1492</v>
      </c>
      <c r="D706" t="s">
        <v>1493</v>
      </c>
    </row>
    <row r="707" spans="1:4" x14ac:dyDescent="0.3">
      <c r="A707" t="s">
        <v>1310</v>
      </c>
      <c r="B707" t="s">
        <v>1311</v>
      </c>
      <c r="C707" t="s">
        <v>1494</v>
      </c>
      <c r="D707" t="s">
        <v>1495</v>
      </c>
    </row>
    <row r="708" spans="1:4" x14ac:dyDescent="0.3">
      <c r="A708" t="s">
        <v>1310</v>
      </c>
      <c r="B708" t="s">
        <v>1311</v>
      </c>
      <c r="C708" t="s">
        <v>1496</v>
      </c>
      <c r="D708" t="s">
        <v>1497</v>
      </c>
    </row>
    <row r="709" spans="1:4" x14ac:dyDescent="0.3">
      <c r="A709" t="s">
        <v>1310</v>
      </c>
      <c r="B709" t="s">
        <v>1311</v>
      </c>
      <c r="C709" t="s">
        <v>1498</v>
      </c>
      <c r="D709" t="s">
        <v>1499</v>
      </c>
    </row>
    <row r="710" spans="1:4" x14ac:dyDescent="0.3">
      <c r="A710" t="s">
        <v>1310</v>
      </c>
      <c r="B710" t="s">
        <v>1311</v>
      </c>
      <c r="C710" t="s">
        <v>1500</v>
      </c>
      <c r="D710" t="s">
        <v>1501</v>
      </c>
    </row>
    <row r="711" spans="1:4" x14ac:dyDescent="0.3">
      <c r="A711" t="s">
        <v>1310</v>
      </c>
      <c r="B711" t="s">
        <v>1311</v>
      </c>
      <c r="C711" t="s">
        <v>1502</v>
      </c>
      <c r="D711" t="s">
        <v>1503</v>
      </c>
    </row>
    <row r="712" spans="1:4" x14ac:dyDescent="0.3">
      <c r="A712" t="s">
        <v>1310</v>
      </c>
      <c r="B712" t="s">
        <v>1311</v>
      </c>
      <c r="C712" t="s">
        <v>1504</v>
      </c>
      <c r="D712" t="s">
        <v>1505</v>
      </c>
    </row>
    <row r="713" spans="1:4" x14ac:dyDescent="0.3">
      <c r="A713" t="s">
        <v>1310</v>
      </c>
      <c r="B713" t="s">
        <v>1311</v>
      </c>
      <c r="C713" t="s">
        <v>1506</v>
      </c>
      <c r="D713" t="s">
        <v>1507</v>
      </c>
    </row>
    <row r="714" spans="1:4" x14ac:dyDescent="0.3">
      <c r="A714" t="s">
        <v>1310</v>
      </c>
      <c r="B714" t="s">
        <v>1311</v>
      </c>
      <c r="C714" t="s">
        <v>1508</v>
      </c>
      <c r="D714" t="s">
        <v>1509</v>
      </c>
    </row>
    <row r="715" spans="1:4" x14ac:dyDescent="0.3">
      <c r="A715" t="s">
        <v>1310</v>
      </c>
      <c r="B715" t="s">
        <v>1311</v>
      </c>
      <c r="C715" t="s">
        <v>1510</v>
      </c>
      <c r="D715" t="s">
        <v>1511</v>
      </c>
    </row>
    <row r="716" spans="1:4" x14ac:dyDescent="0.3">
      <c r="A716" t="s">
        <v>1310</v>
      </c>
      <c r="B716" t="s">
        <v>1311</v>
      </c>
      <c r="C716" t="s">
        <v>1512</v>
      </c>
      <c r="D716" t="s">
        <v>1513</v>
      </c>
    </row>
    <row r="717" spans="1:4" x14ac:dyDescent="0.3">
      <c r="A717" t="s">
        <v>1310</v>
      </c>
      <c r="B717" t="s">
        <v>1311</v>
      </c>
      <c r="C717" t="s">
        <v>1514</v>
      </c>
      <c r="D717" t="s">
        <v>1515</v>
      </c>
    </row>
    <row r="718" spans="1:4" x14ac:dyDescent="0.3">
      <c r="A718" t="s">
        <v>1516</v>
      </c>
      <c r="B718" t="s">
        <v>1517</v>
      </c>
      <c r="C718" t="s">
        <v>1518</v>
      </c>
      <c r="D718" t="s">
        <v>1519</v>
      </c>
    </row>
    <row r="719" spans="1:4" x14ac:dyDescent="0.3">
      <c r="A719" t="s">
        <v>1516</v>
      </c>
      <c r="B719" t="s">
        <v>1517</v>
      </c>
      <c r="C719" t="s">
        <v>1520</v>
      </c>
      <c r="D719" t="s">
        <v>1521</v>
      </c>
    </row>
    <row r="720" spans="1:4" x14ac:dyDescent="0.3">
      <c r="A720" t="s">
        <v>1516</v>
      </c>
      <c r="B720" t="s">
        <v>1517</v>
      </c>
      <c r="C720" t="s">
        <v>1522</v>
      </c>
      <c r="D720" t="s">
        <v>1523</v>
      </c>
    </row>
    <row r="721" spans="1:4" x14ac:dyDescent="0.3">
      <c r="A721" t="s">
        <v>1516</v>
      </c>
      <c r="B721" t="s">
        <v>1517</v>
      </c>
      <c r="C721" t="s">
        <v>1524</v>
      </c>
      <c r="D721" t="s">
        <v>1525</v>
      </c>
    </row>
    <row r="722" spans="1:4" x14ac:dyDescent="0.3">
      <c r="A722" t="s">
        <v>1516</v>
      </c>
      <c r="B722" t="s">
        <v>1517</v>
      </c>
      <c r="C722" t="s">
        <v>1526</v>
      </c>
      <c r="D722" t="s">
        <v>1527</v>
      </c>
    </row>
    <row r="723" spans="1:4" x14ac:dyDescent="0.3">
      <c r="A723" t="s">
        <v>1516</v>
      </c>
      <c r="B723" t="s">
        <v>1517</v>
      </c>
      <c r="C723" t="s">
        <v>1528</v>
      </c>
      <c r="D723" t="s">
        <v>1529</v>
      </c>
    </row>
    <row r="724" spans="1:4" x14ac:dyDescent="0.3">
      <c r="A724" t="s">
        <v>1516</v>
      </c>
      <c r="B724" t="s">
        <v>1517</v>
      </c>
      <c r="C724" t="s">
        <v>1530</v>
      </c>
      <c r="D724" t="s">
        <v>1531</v>
      </c>
    </row>
    <row r="725" spans="1:4" x14ac:dyDescent="0.3">
      <c r="A725" t="s">
        <v>1516</v>
      </c>
      <c r="B725" t="s">
        <v>1517</v>
      </c>
      <c r="C725" t="s">
        <v>1532</v>
      </c>
      <c r="D725" t="s">
        <v>1533</v>
      </c>
    </row>
    <row r="726" spans="1:4" x14ac:dyDescent="0.3">
      <c r="A726" t="s">
        <v>1516</v>
      </c>
      <c r="B726" t="s">
        <v>1517</v>
      </c>
      <c r="C726" t="s">
        <v>1534</v>
      </c>
      <c r="D726" t="s">
        <v>1535</v>
      </c>
    </row>
    <row r="727" spans="1:4" x14ac:dyDescent="0.3">
      <c r="A727" t="s">
        <v>1516</v>
      </c>
      <c r="B727" t="s">
        <v>1517</v>
      </c>
      <c r="C727" t="s">
        <v>1536</v>
      </c>
      <c r="D727" t="s">
        <v>1537</v>
      </c>
    </row>
    <row r="728" spans="1:4" x14ac:dyDescent="0.3">
      <c r="A728" t="s">
        <v>1516</v>
      </c>
      <c r="B728" t="s">
        <v>1517</v>
      </c>
      <c r="C728" t="s">
        <v>1538</v>
      </c>
      <c r="D728" t="s">
        <v>1539</v>
      </c>
    </row>
    <row r="729" spans="1:4" x14ac:dyDescent="0.3">
      <c r="A729" t="s">
        <v>1516</v>
      </c>
      <c r="B729" t="s">
        <v>1517</v>
      </c>
      <c r="C729" t="s">
        <v>1540</v>
      </c>
      <c r="D729" t="s">
        <v>1541</v>
      </c>
    </row>
    <row r="730" spans="1:4" x14ac:dyDescent="0.3">
      <c r="A730" t="s">
        <v>1516</v>
      </c>
      <c r="B730" t="s">
        <v>1517</v>
      </c>
      <c r="C730" t="s">
        <v>1542</v>
      </c>
      <c r="D730" t="s">
        <v>1543</v>
      </c>
    </row>
    <row r="731" spans="1:4" x14ac:dyDescent="0.3">
      <c r="A731" t="s">
        <v>1516</v>
      </c>
      <c r="B731" t="s">
        <v>1517</v>
      </c>
      <c r="C731" t="s">
        <v>1544</v>
      </c>
      <c r="D731" t="s">
        <v>1545</v>
      </c>
    </row>
    <row r="732" spans="1:4" x14ac:dyDescent="0.3">
      <c r="A732" t="s">
        <v>1516</v>
      </c>
      <c r="B732" t="s">
        <v>1517</v>
      </c>
      <c r="C732" t="s">
        <v>1546</v>
      </c>
      <c r="D732" t="s">
        <v>1547</v>
      </c>
    </row>
    <row r="733" spans="1:4" x14ac:dyDescent="0.3">
      <c r="A733" t="s">
        <v>1516</v>
      </c>
      <c r="B733" t="s">
        <v>1517</v>
      </c>
      <c r="C733" t="s">
        <v>1548</v>
      </c>
      <c r="D733" t="s">
        <v>1549</v>
      </c>
    </row>
    <row r="734" spans="1:4" x14ac:dyDescent="0.3">
      <c r="A734" t="s">
        <v>1516</v>
      </c>
      <c r="B734" t="s">
        <v>1517</v>
      </c>
      <c r="C734" t="s">
        <v>1550</v>
      </c>
      <c r="D734" t="s">
        <v>1551</v>
      </c>
    </row>
    <row r="735" spans="1:4" x14ac:dyDescent="0.3">
      <c r="A735" t="s">
        <v>1516</v>
      </c>
      <c r="B735" t="s">
        <v>1517</v>
      </c>
      <c r="C735" t="s">
        <v>1552</v>
      </c>
      <c r="D735" t="s">
        <v>1553</v>
      </c>
    </row>
    <row r="736" spans="1:4" x14ac:dyDescent="0.3">
      <c r="A736" t="s">
        <v>1516</v>
      </c>
      <c r="B736" t="s">
        <v>1517</v>
      </c>
      <c r="C736" t="s">
        <v>1554</v>
      </c>
      <c r="D736" t="s">
        <v>1555</v>
      </c>
    </row>
    <row r="737" spans="1:4" x14ac:dyDescent="0.3">
      <c r="A737" t="s">
        <v>1516</v>
      </c>
      <c r="B737" t="s">
        <v>1517</v>
      </c>
      <c r="C737" t="s">
        <v>1556</v>
      </c>
      <c r="D737" t="s">
        <v>1557</v>
      </c>
    </row>
    <row r="738" spans="1:4" x14ac:dyDescent="0.3">
      <c r="A738" t="s">
        <v>1516</v>
      </c>
      <c r="B738" t="s">
        <v>1517</v>
      </c>
      <c r="C738" t="s">
        <v>1558</v>
      </c>
      <c r="D738" t="s">
        <v>1559</v>
      </c>
    </row>
    <row r="739" spans="1:4" x14ac:dyDescent="0.3">
      <c r="A739" t="s">
        <v>1516</v>
      </c>
      <c r="B739" t="s">
        <v>1517</v>
      </c>
      <c r="C739" t="s">
        <v>1560</v>
      </c>
      <c r="D739" t="s">
        <v>1561</v>
      </c>
    </row>
    <row r="740" spans="1:4" x14ac:dyDescent="0.3">
      <c r="A740" t="s">
        <v>1516</v>
      </c>
      <c r="B740" t="s">
        <v>1517</v>
      </c>
      <c r="C740" t="s">
        <v>1562</v>
      </c>
      <c r="D740" t="s">
        <v>1563</v>
      </c>
    </row>
    <row r="741" spans="1:4" x14ac:dyDescent="0.3">
      <c r="A741" t="s">
        <v>1516</v>
      </c>
      <c r="B741" t="s">
        <v>1517</v>
      </c>
      <c r="C741" t="s">
        <v>1564</v>
      </c>
      <c r="D741" t="s">
        <v>1565</v>
      </c>
    </row>
    <row r="742" spans="1:4" x14ac:dyDescent="0.3">
      <c r="A742" t="s">
        <v>1516</v>
      </c>
      <c r="B742" t="s">
        <v>1517</v>
      </c>
      <c r="C742" t="s">
        <v>1566</v>
      </c>
      <c r="D742" t="s">
        <v>1567</v>
      </c>
    </row>
    <row r="743" spans="1:4" x14ac:dyDescent="0.3">
      <c r="A743" t="s">
        <v>1516</v>
      </c>
      <c r="B743" t="s">
        <v>1517</v>
      </c>
      <c r="C743" t="s">
        <v>1568</v>
      </c>
      <c r="D743" t="s">
        <v>1569</v>
      </c>
    </row>
    <row r="744" spans="1:4" x14ac:dyDescent="0.3">
      <c r="A744" t="s">
        <v>1516</v>
      </c>
      <c r="B744" t="s">
        <v>1517</v>
      </c>
      <c r="C744" t="s">
        <v>1570</v>
      </c>
      <c r="D744" t="s">
        <v>1571</v>
      </c>
    </row>
    <row r="745" spans="1:4" x14ac:dyDescent="0.3">
      <c r="A745" t="s">
        <v>1516</v>
      </c>
      <c r="B745" t="s">
        <v>1517</v>
      </c>
      <c r="C745" t="s">
        <v>1572</v>
      </c>
      <c r="D745" t="s">
        <v>1573</v>
      </c>
    </row>
    <row r="746" spans="1:4" x14ac:dyDescent="0.3">
      <c r="A746" t="s">
        <v>1516</v>
      </c>
      <c r="B746" t="s">
        <v>1517</v>
      </c>
      <c r="C746" t="s">
        <v>1574</v>
      </c>
      <c r="D746" t="s">
        <v>1575</v>
      </c>
    </row>
    <row r="747" spans="1:4" x14ac:dyDescent="0.3">
      <c r="A747" t="s">
        <v>1516</v>
      </c>
      <c r="B747" t="s">
        <v>1517</v>
      </c>
      <c r="C747" t="s">
        <v>1576</v>
      </c>
      <c r="D747" t="s">
        <v>1577</v>
      </c>
    </row>
    <row r="748" spans="1:4" x14ac:dyDescent="0.3">
      <c r="A748" t="s">
        <v>1516</v>
      </c>
      <c r="B748" t="s">
        <v>1517</v>
      </c>
      <c r="C748" t="s">
        <v>1578</v>
      </c>
      <c r="D748" t="s">
        <v>1579</v>
      </c>
    </row>
    <row r="749" spans="1:4" x14ac:dyDescent="0.3">
      <c r="A749" t="s">
        <v>1516</v>
      </c>
      <c r="B749" t="s">
        <v>1517</v>
      </c>
      <c r="C749" t="s">
        <v>1580</v>
      </c>
      <c r="D749" t="s">
        <v>1581</v>
      </c>
    </row>
    <row r="750" spans="1:4" x14ac:dyDescent="0.3">
      <c r="A750" t="s">
        <v>1516</v>
      </c>
      <c r="B750" t="s">
        <v>1517</v>
      </c>
      <c r="C750" t="s">
        <v>1582</v>
      </c>
      <c r="D750" t="s">
        <v>1583</v>
      </c>
    </row>
    <row r="751" spans="1:4" x14ac:dyDescent="0.3">
      <c r="A751" t="s">
        <v>1516</v>
      </c>
      <c r="B751" t="s">
        <v>1517</v>
      </c>
      <c r="C751" t="s">
        <v>1584</v>
      </c>
      <c r="D751" t="s">
        <v>1585</v>
      </c>
    </row>
    <row r="752" spans="1:4" x14ac:dyDescent="0.3">
      <c r="A752" t="s">
        <v>1516</v>
      </c>
      <c r="B752" t="s">
        <v>1517</v>
      </c>
      <c r="C752" t="s">
        <v>1586</v>
      </c>
      <c r="D752" t="s">
        <v>1587</v>
      </c>
    </row>
    <row r="753" spans="1:4" x14ac:dyDescent="0.3">
      <c r="A753" t="s">
        <v>1516</v>
      </c>
      <c r="B753" t="s">
        <v>1517</v>
      </c>
      <c r="C753" t="s">
        <v>1588</v>
      </c>
      <c r="D753" t="s">
        <v>1589</v>
      </c>
    </row>
    <row r="754" spans="1:4" x14ac:dyDescent="0.3">
      <c r="A754" t="s">
        <v>1516</v>
      </c>
      <c r="B754" t="s">
        <v>1517</v>
      </c>
      <c r="C754" t="s">
        <v>1590</v>
      </c>
      <c r="D754" t="s">
        <v>1242</v>
      </c>
    </row>
    <row r="755" spans="1:4" x14ac:dyDescent="0.3">
      <c r="A755" t="s">
        <v>1516</v>
      </c>
      <c r="B755" t="s">
        <v>1517</v>
      </c>
      <c r="C755" t="s">
        <v>1591</v>
      </c>
      <c r="D755" t="s">
        <v>1592</v>
      </c>
    </row>
    <row r="756" spans="1:4" x14ac:dyDescent="0.3">
      <c r="A756" t="s">
        <v>1516</v>
      </c>
      <c r="B756" t="s">
        <v>1517</v>
      </c>
      <c r="C756" t="s">
        <v>1593</v>
      </c>
      <c r="D756" t="s">
        <v>1594</v>
      </c>
    </row>
    <row r="757" spans="1:4" x14ac:dyDescent="0.3">
      <c r="A757" t="s">
        <v>1516</v>
      </c>
      <c r="B757" t="s">
        <v>1517</v>
      </c>
      <c r="C757" t="s">
        <v>1595</v>
      </c>
      <c r="D757" t="s">
        <v>1596</v>
      </c>
    </row>
    <row r="758" spans="1:4" x14ac:dyDescent="0.3">
      <c r="A758" t="s">
        <v>1516</v>
      </c>
      <c r="B758" t="s">
        <v>1517</v>
      </c>
      <c r="C758" t="s">
        <v>1597</v>
      </c>
      <c r="D758" t="s">
        <v>1598</v>
      </c>
    </row>
    <row r="759" spans="1:4" x14ac:dyDescent="0.3">
      <c r="A759" t="s">
        <v>1516</v>
      </c>
      <c r="B759" t="s">
        <v>1517</v>
      </c>
      <c r="C759" t="s">
        <v>1599</v>
      </c>
      <c r="D759" t="s">
        <v>1600</v>
      </c>
    </row>
    <row r="760" spans="1:4" x14ac:dyDescent="0.3">
      <c r="A760" t="s">
        <v>1516</v>
      </c>
      <c r="B760" t="s">
        <v>1517</v>
      </c>
      <c r="C760" t="s">
        <v>1601</v>
      </c>
      <c r="D760" t="s">
        <v>1602</v>
      </c>
    </row>
    <row r="761" spans="1:4" x14ac:dyDescent="0.3">
      <c r="A761" t="s">
        <v>1516</v>
      </c>
      <c r="B761" t="s">
        <v>1517</v>
      </c>
      <c r="C761" t="s">
        <v>1603</v>
      </c>
      <c r="D761" t="s">
        <v>1604</v>
      </c>
    </row>
    <row r="762" spans="1:4" x14ac:dyDescent="0.3">
      <c r="A762" t="s">
        <v>1516</v>
      </c>
      <c r="B762" t="s">
        <v>1517</v>
      </c>
      <c r="C762" t="s">
        <v>1605</v>
      </c>
      <c r="D762" t="s">
        <v>1606</v>
      </c>
    </row>
    <row r="763" spans="1:4" x14ac:dyDescent="0.3">
      <c r="A763" t="s">
        <v>1516</v>
      </c>
      <c r="B763" t="s">
        <v>1517</v>
      </c>
      <c r="C763" t="s">
        <v>1607</v>
      </c>
      <c r="D763" t="s">
        <v>1608</v>
      </c>
    </row>
    <row r="764" spans="1:4" x14ac:dyDescent="0.3">
      <c r="A764" t="s">
        <v>1516</v>
      </c>
      <c r="B764" t="s">
        <v>1517</v>
      </c>
      <c r="C764" t="s">
        <v>1609</v>
      </c>
      <c r="D764" t="s">
        <v>1610</v>
      </c>
    </row>
    <row r="765" spans="1:4" x14ac:dyDescent="0.3">
      <c r="A765" t="s">
        <v>1516</v>
      </c>
      <c r="B765" t="s">
        <v>1517</v>
      </c>
      <c r="C765" t="s">
        <v>1611</v>
      </c>
      <c r="D765" t="s">
        <v>1612</v>
      </c>
    </row>
    <row r="766" spans="1:4" x14ac:dyDescent="0.3">
      <c r="A766" t="s">
        <v>1516</v>
      </c>
      <c r="B766" t="s">
        <v>1517</v>
      </c>
      <c r="C766" t="s">
        <v>1613</v>
      </c>
      <c r="D766" t="s">
        <v>1614</v>
      </c>
    </row>
    <row r="767" spans="1:4" x14ac:dyDescent="0.3">
      <c r="A767" t="s">
        <v>1516</v>
      </c>
      <c r="B767" t="s">
        <v>1517</v>
      </c>
      <c r="C767" t="s">
        <v>1615</v>
      </c>
      <c r="D767" t="s">
        <v>1616</v>
      </c>
    </row>
    <row r="768" spans="1:4" x14ac:dyDescent="0.3">
      <c r="A768" t="s">
        <v>1516</v>
      </c>
      <c r="B768" t="s">
        <v>1517</v>
      </c>
      <c r="C768" t="s">
        <v>1617</v>
      </c>
      <c r="D768" t="s">
        <v>1618</v>
      </c>
    </row>
    <row r="769" spans="1:4" x14ac:dyDescent="0.3">
      <c r="A769" t="s">
        <v>1516</v>
      </c>
      <c r="B769" t="s">
        <v>1517</v>
      </c>
      <c r="C769" t="s">
        <v>1619</v>
      </c>
      <c r="D769" t="s">
        <v>1620</v>
      </c>
    </row>
    <row r="770" spans="1:4" x14ac:dyDescent="0.3">
      <c r="A770" t="s">
        <v>1516</v>
      </c>
      <c r="B770" t="s">
        <v>1517</v>
      </c>
      <c r="C770" t="s">
        <v>1621</v>
      </c>
      <c r="D770" t="s">
        <v>1622</v>
      </c>
    </row>
    <row r="771" spans="1:4" x14ac:dyDescent="0.3">
      <c r="A771" t="s">
        <v>1516</v>
      </c>
      <c r="B771" t="s">
        <v>1517</v>
      </c>
      <c r="C771" t="s">
        <v>1623</v>
      </c>
      <c r="D771" t="s">
        <v>1624</v>
      </c>
    </row>
    <row r="772" spans="1:4" x14ac:dyDescent="0.3">
      <c r="A772" t="s">
        <v>1516</v>
      </c>
      <c r="B772" t="s">
        <v>1517</v>
      </c>
      <c r="C772" t="s">
        <v>1625</v>
      </c>
      <c r="D772" t="s">
        <v>1626</v>
      </c>
    </row>
    <row r="773" spans="1:4" x14ac:dyDescent="0.3">
      <c r="A773" t="s">
        <v>1516</v>
      </c>
      <c r="B773" t="s">
        <v>1517</v>
      </c>
      <c r="C773" t="s">
        <v>1627</v>
      </c>
      <c r="D773" t="s">
        <v>1628</v>
      </c>
    </row>
    <row r="774" spans="1:4" x14ac:dyDescent="0.3">
      <c r="A774" t="s">
        <v>1516</v>
      </c>
      <c r="B774" t="s">
        <v>1517</v>
      </c>
      <c r="C774" t="s">
        <v>1629</v>
      </c>
      <c r="D774" t="s">
        <v>1630</v>
      </c>
    </row>
    <row r="775" spans="1:4" x14ac:dyDescent="0.3">
      <c r="A775" t="s">
        <v>1516</v>
      </c>
      <c r="B775" t="s">
        <v>1517</v>
      </c>
      <c r="C775" t="s">
        <v>1631</v>
      </c>
      <c r="D775" t="s">
        <v>1632</v>
      </c>
    </row>
    <row r="776" spans="1:4" x14ac:dyDescent="0.3">
      <c r="A776" t="s">
        <v>1516</v>
      </c>
      <c r="B776" t="s">
        <v>1517</v>
      </c>
      <c r="C776" t="s">
        <v>1633</v>
      </c>
      <c r="D776" t="s">
        <v>1634</v>
      </c>
    </row>
    <row r="777" spans="1:4" x14ac:dyDescent="0.3">
      <c r="A777" t="s">
        <v>1516</v>
      </c>
      <c r="B777" t="s">
        <v>1517</v>
      </c>
      <c r="C777" t="s">
        <v>1635</v>
      </c>
      <c r="D777" t="s">
        <v>1636</v>
      </c>
    </row>
    <row r="778" spans="1:4" x14ac:dyDescent="0.3">
      <c r="A778" t="s">
        <v>1516</v>
      </c>
      <c r="B778" t="s">
        <v>1517</v>
      </c>
      <c r="C778" t="s">
        <v>1637</v>
      </c>
      <c r="D778" t="s">
        <v>1638</v>
      </c>
    </row>
    <row r="779" spans="1:4" x14ac:dyDescent="0.3">
      <c r="A779" t="s">
        <v>1516</v>
      </c>
      <c r="B779" t="s">
        <v>1517</v>
      </c>
      <c r="C779" t="s">
        <v>1639</v>
      </c>
      <c r="D779" t="s">
        <v>1640</v>
      </c>
    </row>
    <row r="780" spans="1:4" x14ac:dyDescent="0.3">
      <c r="A780" t="s">
        <v>1516</v>
      </c>
      <c r="B780" t="s">
        <v>1517</v>
      </c>
      <c r="C780" t="s">
        <v>1641</v>
      </c>
      <c r="D780" t="s">
        <v>1642</v>
      </c>
    </row>
    <row r="781" spans="1:4" x14ac:dyDescent="0.3">
      <c r="A781" t="s">
        <v>1516</v>
      </c>
      <c r="B781" t="s">
        <v>1517</v>
      </c>
      <c r="C781" t="s">
        <v>1643</v>
      </c>
      <c r="D781" t="s">
        <v>1644</v>
      </c>
    </row>
    <row r="782" spans="1:4" x14ac:dyDescent="0.3">
      <c r="A782" t="s">
        <v>1516</v>
      </c>
      <c r="B782" t="s">
        <v>1517</v>
      </c>
      <c r="C782" t="s">
        <v>1645</v>
      </c>
      <c r="D782" t="s">
        <v>1646</v>
      </c>
    </row>
    <row r="783" spans="1:4" x14ac:dyDescent="0.3">
      <c r="A783" t="s">
        <v>1516</v>
      </c>
      <c r="B783" t="s">
        <v>1517</v>
      </c>
      <c r="C783" t="s">
        <v>1647</v>
      </c>
      <c r="D783" t="s">
        <v>1648</v>
      </c>
    </row>
    <row r="784" spans="1:4" x14ac:dyDescent="0.3">
      <c r="A784" t="s">
        <v>1516</v>
      </c>
      <c r="B784" t="s">
        <v>1517</v>
      </c>
      <c r="C784" t="s">
        <v>1649</v>
      </c>
      <c r="D784" t="s">
        <v>1650</v>
      </c>
    </row>
    <row r="785" spans="1:4" x14ac:dyDescent="0.3">
      <c r="A785" t="s">
        <v>1516</v>
      </c>
      <c r="B785" t="s">
        <v>1517</v>
      </c>
      <c r="C785" t="s">
        <v>1651</v>
      </c>
      <c r="D785" t="s">
        <v>1652</v>
      </c>
    </row>
    <row r="786" spans="1:4" x14ac:dyDescent="0.3">
      <c r="A786" t="s">
        <v>1516</v>
      </c>
      <c r="B786" t="s">
        <v>1517</v>
      </c>
      <c r="C786" t="s">
        <v>1653</v>
      </c>
      <c r="D786" t="s">
        <v>1654</v>
      </c>
    </row>
    <row r="787" spans="1:4" x14ac:dyDescent="0.3">
      <c r="A787" t="s">
        <v>1516</v>
      </c>
      <c r="B787" t="s">
        <v>1517</v>
      </c>
      <c r="C787" t="s">
        <v>1655</v>
      </c>
      <c r="D787" t="s">
        <v>1656</v>
      </c>
    </row>
    <row r="788" spans="1:4" x14ac:dyDescent="0.3">
      <c r="A788" t="s">
        <v>1516</v>
      </c>
      <c r="B788" t="s">
        <v>1517</v>
      </c>
      <c r="C788" t="s">
        <v>1657</v>
      </c>
      <c r="D788" t="s">
        <v>1658</v>
      </c>
    </row>
    <row r="789" spans="1:4" x14ac:dyDescent="0.3">
      <c r="A789" t="s">
        <v>1516</v>
      </c>
      <c r="B789" t="s">
        <v>1517</v>
      </c>
      <c r="C789" t="s">
        <v>1659</v>
      </c>
      <c r="D789" t="s">
        <v>1660</v>
      </c>
    </row>
    <row r="790" spans="1:4" x14ac:dyDescent="0.3">
      <c r="A790" t="s">
        <v>1516</v>
      </c>
      <c r="B790" t="s">
        <v>1517</v>
      </c>
      <c r="C790" t="s">
        <v>1661</v>
      </c>
      <c r="D790" t="s">
        <v>1662</v>
      </c>
    </row>
    <row r="791" spans="1:4" x14ac:dyDescent="0.3">
      <c r="A791" t="s">
        <v>1516</v>
      </c>
      <c r="B791" t="s">
        <v>1517</v>
      </c>
      <c r="C791" t="s">
        <v>1663</v>
      </c>
      <c r="D791" t="s">
        <v>1664</v>
      </c>
    </row>
    <row r="792" spans="1:4" x14ac:dyDescent="0.3">
      <c r="A792" t="s">
        <v>1516</v>
      </c>
      <c r="B792" t="s">
        <v>1517</v>
      </c>
      <c r="C792" t="s">
        <v>1665</v>
      </c>
      <c r="D792" t="s">
        <v>1666</v>
      </c>
    </row>
    <row r="793" spans="1:4" x14ac:dyDescent="0.3">
      <c r="A793" t="s">
        <v>1516</v>
      </c>
      <c r="B793" t="s">
        <v>1517</v>
      </c>
      <c r="C793" t="s">
        <v>1667</v>
      </c>
      <c r="D793" t="s">
        <v>1668</v>
      </c>
    </row>
    <row r="794" spans="1:4" x14ac:dyDescent="0.3">
      <c r="A794" t="s">
        <v>1516</v>
      </c>
      <c r="B794" t="s">
        <v>1517</v>
      </c>
      <c r="C794" t="s">
        <v>1669</v>
      </c>
      <c r="D794" t="s">
        <v>1670</v>
      </c>
    </row>
    <row r="795" spans="1:4" x14ac:dyDescent="0.3">
      <c r="A795" t="s">
        <v>1516</v>
      </c>
      <c r="B795" t="s">
        <v>1517</v>
      </c>
      <c r="C795" t="s">
        <v>1671</v>
      </c>
      <c r="D795" t="s">
        <v>1672</v>
      </c>
    </row>
    <row r="796" spans="1:4" x14ac:dyDescent="0.3">
      <c r="A796" t="s">
        <v>1516</v>
      </c>
      <c r="B796" t="s">
        <v>1517</v>
      </c>
      <c r="C796" t="s">
        <v>1673</v>
      </c>
      <c r="D796" t="s">
        <v>1674</v>
      </c>
    </row>
    <row r="797" spans="1:4" x14ac:dyDescent="0.3">
      <c r="A797" t="s">
        <v>1516</v>
      </c>
      <c r="B797" t="s">
        <v>1517</v>
      </c>
      <c r="C797" t="s">
        <v>1675</v>
      </c>
      <c r="D797" t="s">
        <v>1676</v>
      </c>
    </row>
    <row r="798" spans="1:4" x14ac:dyDescent="0.3">
      <c r="A798" t="s">
        <v>1516</v>
      </c>
      <c r="B798" t="s">
        <v>1517</v>
      </c>
      <c r="C798" t="s">
        <v>1677</v>
      </c>
      <c r="D798" t="s">
        <v>1678</v>
      </c>
    </row>
    <row r="799" spans="1:4" x14ac:dyDescent="0.3">
      <c r="A799" t="s">
        <v>1516</v>
      </c>
      <c r="B799" t="s">
        <v>1517</v>
      </c>
      <c r="C799" t="s">
        <v>1679</v>
      </c>
      <c r="D799" t="s">
        <v>1680</v>
      </c>
    </row>
    <row r="800" spans="1:4" x14ac:dyDescent="0.3">
      <c r="A800" t="s">
        <v>1516</v>
      </c>
      <c r="B800" t="s">
        <v>1517</v>
      </c>
      <c r="C800" t="s">
        <v>1681</v>
      </c>
      <c r="D800" t="s">
        <v>1682</v>
      </c>
    </row>
    <row r="801" spans="1:4" x14ac:dyDescent="0.3">
      <c r="A801" t="s">
        <v>1516</v>
      </c>
      <c r="B801" t="s">
        <v>1517</v>
      </c>
      <c r="C801" t="s">
        <v>1683</v>
      </c>
      <c r="D801" t="s">
        <v>1684</v>
      </c>
    </row>
    <row r="802" spans="1:4" x14ac:dyDescent="0.3">
      <c r="A802" t="s">
        <v>1516</v>
      </c>
      <c r="B802" t="s">
        <v>1517</v>
      </c>
      <c r="C802" t="s">
        <v>1685</v>
      </c>
      <c r="D802" t="s">
        <v>1686</v>
      </c>
    </row>
    <row r="803" spans="1:4" x14ac:dyDescent="0.3">
      <c r="A803" t="s">
        <v>1516</v>
      </c>
      <c r="B803" t="s">
        <v>1517</v>
      </c>
      <c r="C803" t="s">
        <v>1687</v>
      </c>
      <c r="D803" t="s">
        <v>1688</v>
      </c>
    </row>
    <row r="804" spans="1:4" x14ac:dyDescent="0.3">
      <c r="A804" t="s">
        <v>1516</v>
      </c>
      <c r="B804" t="s">
        <v>1517</v>
      </c>
      <c r="C804" t="s">
        <v>1689</v>
      </c>
      <c r="D804" t="s">
        <v>1690</v>
      </c>
    </row>
    <row r="805" spans="1:4" x14ac:dyDescent="0.3">
      <c r="A805" t="s">
        <v>1516</v>
      </c>
      <c r="B805" t="s">
        <v>1517</v>
      </c>
      <c r="C805" t="s">
        <v>1691</v>
      </c>
      <c r="D805" t="s">
        <v>1692</v>
      </c>
    </row>
    <row r="806" spans="1:4" x14ac:dyDescent="0.3">
      <c r="A806" t="s">
        <v>1516</v>
      </c>
      <c r="B806" t="s">
        <v>1517</v>
      </c>
      <c r="C806" t="s">
        <v>1693</v>
      </c>
      <c r="D806" t="s">
        <v>1694</v>
      </c>
    </row>
    <row r="807" spans="1:4" x14ac:dyDescent="0.3">
      <c r="A807" t="s">
        <v>1516</v>
      </c>
      <c r="B807" t="s">
        <v>1517</v>
      </c>
      <c r="C807" t="s">
        <v>1695</v>
      </c>
      <c r="D807" t="s">
        <v>1696</v>
      </c>
    </row>
    <row r="808" spans="1:4" x14ac:dyDescent="0.3">
      <c r="A808" t="s">
        <v>1516</v>
      </c>
      <c r="B808" t="s">
        <v>1517</v>
      </c>
      <c r="C808" t="s">
        <v>1697</v>
      </c>
      <c r="D808" t="s">
        <v>1698</v>
      </c>
    </row>
    <row r="809" spans="1:4" x14ac:dyDescent="0.3">
      <c r="A809" t="s">
        <v>1516</v>
      </c>
      <c r="B809" t="s">
        <v>1517</v>
      </c>
      <c r="C809" t="s">
        <v>1699</v>
      </c>
      <c r="D809" t="s">
        <v>1700</v>
      </c>
    </row>
    <row r="810" spans="1:4" x14ac:dyDescent="0.3">
      <c r="A810" t="s">
        <v>1516</v>
      </c>
      <c r="B810" t="s">
        <v>1517</v>
      </c>
      <c r="C810" t="s">
        <v>1701</v>
      </c>
      <c r="D810" t="s">
        <v>1702</v>
      </c>
    </row>
    <row r="811" spans="1:4" x14ac:dyDescent="0.3">
      <c r="A811" t="s">
        <v>1516</v>
      </c>
      <c r="B811" t="s">
        <v>1517</v>
      </c>
      <c r="C811" t="s">
        <v>1703</v>
      </c>
      <c r="D811" t="s">
        <v>1704</v>
      </c>
    </row>
    <row r="812" spans="1:4" x14ac:dyDescent="0.3">
      <c r="A812" t="s">
        <v>1516</v>
      </c>
      <c r="B812" t="s">
        <v>1517</v>
      </c>
      <c r="C812" t="s">
        <v>1705</v>
      </c>
      <c r="D812" t="s">
        <v>1706</v>
      </c>
    </row>
    <row r="813" spans="1:4" x14ac:dyDescent="0.3">
      <c r="A813" t="s">
        <v>1516</v>
      </c>
      <c r="B813" t="s">
        <v>1517</v>
      </c>
      <c r="C813" t="s">
        <v>1707</v>
      </c>
      <c r="D813" t="s">
        <v>1708</v>
      </c>
    </row>
    <row r="814" spans="1:4" x14ac:dyDescent="0.3">
      <c r="A814" t="s">
        <v>1516</v>
      </c>
      <c r="B814" t="s">
        <v>1517</v>
      </c>
      <c r="C814" t="s">
        <v>1709</v>
      </c>
      <c r="D814" t="s">
        <v>1710</v>
      </c>
    </row>
    <row r="815" spans="1:4" x14ac:dyDescent="0.3">
      <c r="A815" t="s">
        <v>1516</v>
      </c>
      <c r="B815" t="s">
        <v>1517</v>
      </c>
      <c r="C815" t="s">
        <v>1711</v>
      </c>
      <c r="D815" t="s">
        <v>1712</v>
      </c>
    </row>
    <row r="816" spans="1:4" x14ac:dyDescent="0.3">
      <c r="A816" t="s">
        <v>1516</v>
      </c>
      <c r="B816" t="s">
        <v>1517</v>
      </c>
      <c r="C816" t="s">
        <v>1713</v>
      </c>
      <c r="D816" t="s">
        <v>1714</v>
      </c>
    </row>
    <row r="817" spans="1:4" x14ac:dyDescent="0.3">
      <c r="A817" t="s">
        <v>1516</v>
      </c>
      <c r="B817" t="s">
        <v>1517</v>
      </c>
      <c r="C817" t="s">
        <v>1715</v>
      </c>
      <c r="D817" t="s">
        <v>1716</v>
      </c>
    </row>
    <row r="818" spans="1:4" x14ac:dyDescent="0.3">
      <c r="A818" t="s">
        <v>1516</v>
      </c>
      <c r="B818" t="s">
        <v>1517</v>
      </c>
      <c r="C818" t="s">
        <v>1717</v>
      </c>
      <c r="D818" t="s">
        <v>1718</v>
      </c>
    </row>
    <row r="819" spans="1:4" x14ac:dyDescent="0.3">
      <c r="A819" t="s">
        <v>1516</v>
      </c>
      <c r="B819" t="s">
        <v>1517</v>
      </c>
      <c r="C819" t="s">
        <v>1719</v>
      </c>
      <c r="D819" t="s">
        <v>1720</v>
      </c>
    </row>
    <row r="820" spans="1:4" x14ac:dyDescent="0.3">
      <c r="A820" t="s">
        <v>1516</v>
      </c>
      <c r="B820" t="s">
        <v>1517</v>
      </c>
      <c r="C820" t="s">
        <v>1721</v>
      </c>
      <c r="D820" t="s">
        <v>1722</v>
      </c>
    </row>
    <row r="821" spans="1:4" x14ac:dyDescent="0.3">
      <c r="A821" t="s">
        <v>1516</v>
      </c>
      <c r="B821" t="s">
        <v>1517</v>
      </c>
      <c r="C821" t="s">
        <v>1723</v>
      </c>
      <c r="D821" t="s">
        <v>1724</v>
      </c>
    </row>
    <row r="822" spans="1:4" x14ac:dyDescent="0.3">
      <c r="A822" t="s">
        <v>1516</v>
      </c>
      <c r="B822" t="s">
        <v>1517</v>
      </c>
      <c r="C822" t="s">
        <v>1725</v>
      </c>
      <c r="D822" t="s">
        <v>1726</v>
      </c>
    </row>
    <row r="823" spans="1:4" x14ac:dyDescent="0.3">
      <c r="A823" t="s">
        <v>1516</v>
      </c>
      <c r="B823" t="s">
        <v>1517</v>
      </c>
      <c r="C823" t="s">
        <v>1727</v>
      </c>
      <c r="D823" t="s">
        <v>1728</v>
      </c>
    </row>
    <row r="824" spans="1:4" x14ac:dyDescent="0.3">
      <c r="A824" t="s">
        <v>1516</v>
      </c>
      <c r="B824" t="s">
        <v>1517</v>
      </c>
      <c r="C824" t="s">
        <v>1729</v>
      </c>
      <c r="D824" t="s">
        <v>1730</v>
      </c>
    </row>
    <row r="825" spans="1:4" x14ac:dyDescent="0.3">
      <c r="A825" t="s">
        <v>1516</v>
      </c>
      <c r="B825" t="s">
        <v>1517</v>
      </c>
      <c r="C825" t="s">
        <v>1731</v>
      </c>
      <c r="D825" t="s">
        <v>1732</v>
      </c>
    </row>
    <row r="826" spans="1:4" x14ac:dyDescent="0.3">
      <c r="A826" t="s">
        <v>1516</v>
      </c>
      <c r="B826" t="s">
        <v>1517</v>
      </c>
      <c r="C826" t="s">
        <v>1733</v>
      </c>
      <c r="D826" t="s">
        <v>1734</v>
      </c>
    </row>
    <row r="827" spans="1:4" x14ac:dyDescent="0.3">
      <c r="A827" t="s">
        <v>1516</v>
      </c>
      <c r="B827" t="s">
        <v>1517</v>
      </c>
      <c r="C827" t="s">
        <v>1735</v>
      </c>
      <c r="D827" t="s">
        <v>1736</v>
      </c>
    </row>
    <row r="828" spans="1:4" x14ac:dyDescent="0.3">
      <c r="A828" t="s">
        <v>1516</v>
      </c>
      <c r="B828" t="s">
        <v>1517</v>
      </c>
      <c r="C828" t="s">
        <v>1737</v>
      </c>
      <c r="D828" t="s">
        <v>1738</v>
      </c>
    </row>
    <row r="829" spans="1:4" x14ac:dyDescent="0.3">
      <c r="A829" t="s">
        <v>1516</v>
      </c>
      <c r="B829" t="s">
        <v>1517</v>
      </c>
      <c r="C829" t="s">
        <v>1739</v>
      </c>
      <c r="D829" t="s">
        <v>1740</v>
      </c>
    </row>
    <row r="830" spans="1:4" x14ac:dyDescent="0.3">
      <c r="A830" t="s">
        <v>1516</v>
      </c>
      <c r="B830" t="s">
        <v>1517</v>
      </c>
      <c r="C830" t="s">
        <v>1741</v>
      </c>
      <c r="D830" t="s">
        <v>1742</v>
      </c>
    </row>
    <row r="831" spans="1:4" x14ac:dyDescent="0.3">
      <c r="A831" t="s">
        <v>1516</v>
      </c>
      <c r="B831" t="s">
        <v>1517</v>
      </c>
      <c r="C831" t="s">
        <v>1743</v>
      </c>
      <c r="D831" t="s">
        <v>834</v>
      </c>
    </row>
    <row r="832" spans="1:4" x14ac:dyDescent="0.3">
      <c r="A832" t="s">
        <v>1516</v>
      </c>
      <c r="B832" t="s">
        <v>1517</v>
      </c>
      <c r="C832" t="s">
        <v>1744</v>
      </c>
      <c r="D832" t="s">
        <v>1745</v>
      </c>
    </row>
    <row r="833" spans="1:4" x14ac:dyDescent="0.3">
      <c r="A833" t="s">
        <v>1516</v>
      </c>
      <c r="B833" t="s">
        <v>1517</v>
      </c>
      <c r="C833" t="s">
        <v>1746</v>
      </c>
      <c r="D833" t="s">
        <v>1747</v>
      </c>
    </row>
    <row r="834" spans="1:4" x14ac:dyDescent="0.3">
      <c r="A834" t="s">
        <v>1516</v>
      </c>
      <c r="B834" t="s">
        <v>1517</v>
      </c>
      <c r="C834" t="s">
        <v>1748</v>
      </c>
      <c r="D834" t="s">
        <v>1749</v>
      </c>
    </row>
    <row r="835" spans="1:4" x14ac:dyDescent="0.3">
      <c r="A835" t="s">
        <v>1516</v>
      </c>
      <c r="B835" t="s">
        <v>1517</v>
      </c>
      <c r="C835" t="s">
        <v>1750</v>
      </c>
      <c r="D835" t="s">
        <v>1751</v>
      </c>
    </row>
    <row r="836" spans="1:4" x14ac:dyDescent="0.3">
      <c r="A836" t="s">
        <v>1516</v>
      </c>
      <c r="B836" t="s">
        <v>1517</v>
      </c>
      <c r="C836" t="s">
        <v>1752</v>
      </c>
      <c r="D836" t="s">
        <v>1753</v>
      </c>
    </row>
    <row r="837" spans="1:4" x14ac:dyDescent="0.3">
      <c r="A837" t="s">
        <v>1516</v>
      </c>
      <c r="B837" t="s">
        <v>1517</v>
      </c>
      <c r="C837" t="s">
        <v>1754</v>
      </c>
      <c r="D837" t="s">
        <v>1755</v>
      </c>
    </row>
    <row r="838" spans="1:4" x14ac:dyDescent="0.3">
      <c r="A838" t="s">
        <v>1516</v>
      </c>
      <c r="B838" t="s">
        <v>1517</v>
      </c>
      <c r="C838" t="s">
        <v>1756</v>
      </c>
      <c r="D838" t="s">
        <v>1757</v>
      </c>
    </row>
    <row r="839" spans="1:4" x14ac:dyDescent="0.3">
      <c r="A839" t="s">
        <v>1516</v>
      </c>
      <c r="B839" t="s">
        <v>1517</v>
      </c>
      <c r="C839" t="s">
        <v>1758</v>
      </c>
      <c r="D839" t="s">
        <v>1759</v>
      </c>
    </row>
    <row r="840" spans="1:4" x14ac:dyDescent="0.3">
      <c r="A840" t="s">
        <v>1516</v>
      </c>
      <c r="B840" t="s">
        <v>1517</v>
      </c>
      <c r="C840" t="s">
        <v>1760</v>
      </c>
      <c r="D840" t="s">
        <v>1761</v>
      </c>
    </row>
    <row r="841" spans="1:4" x14ac:dyDescent="0.3">
      <c r="A841" t="s">
        <v>1516</v>
      </c>
      <c r="B841" t="s">
        <v>1517</v>
      </c>
      <c r="C841" t="s">
        <v>1762</v>
      </c>
      <c r="D841" t="s">
        <v>1763</v>
      </c>
    </row>
    <row r="842" spans="1:4" x14ac:dyDescent="0.3">
      <c r="A842" t="s">
        <v>1516</v>
      </c>
      <c r="B842" t="s">
        <v>1517</v>
      </c>
      <c r="C842" t="s">
        <v>1764</v>
      </c>
      <c r="D842" t="s">
        <v>1765</v>
      </c>
    </row>
    <row r="843" spans="1:4" x14ac:dyDescent="0.3">
      <c r="A843" t="s">
        <v>1516</v>
      </c>
      <c r="B843" t="s">
        <v>1517</v>
      </c>
      <c r="C843" t="s">
        <v>1766</v>
      </c>
      <c r="D843" t="s">
        <v>1767</v>
      </c>
    </row>
    <row r="844" spans="1:4" x14ac:dyDescent="0.3">
      <c r="A844" t="s">
        <v>1516</v>
      </c>
      <c r="B844" t="s">
        <v>1517</v>
      </c>
      <c r="C844" t="s">
        <v>1768</v>
      </c>
      <c r="D844" t="s">
        <v>1769</v>
      </c>
    </row>
    <row r="845" spans="1:4" x14ac:dyDescent="0.3">
      <c r="A845" t="s">
        <v>1516</v>
      </c>
      <c r="B845" t="s">
        <v>1517</v>
      </c>
      <c r="C845" t="s">
        <v>1770</v>
      </c>
      <c r="D845" t="s">
        <v>1771</v>
      </c>
    </row>
    <row r="846" spans="1:4" x14ac:dyDescent="0.3">
      <c r="A846" t="s">
        <v>1516</v>
      </c>
      <c r="B846" t="s">
        <v>1517</v>
      </c>
      <c r="C846" t="s">
        <v>1772</v>
      </c>
      <c r="D846" t="s">
        <v>1773</v>
      </c>
    </row>
    <row r="847" spans="1:4" x14ac:dyDescent="0.3">
      <c r="A847" t="s">
        <v>1516</v>
      </c>
      <c r="B847" t="s">
        <v>1517</v>
      </c>
      <c r="C847" t="s">
        <v>1774</v>
      </c>
      <c r="D847" t="s">
        <v>1775</v>
      </c>
    </row>
    <row r="848" spans="1:4" x14ac:dyDescent="0.3">
      <c r="A848" t="s">
        <v>1516</v>
      </c>
      <c r="B848" t="s">
        <v>1517</v>
      </c>
      <c r="C848" t="s">
        <v>1776</v>
      </c>
      <c r="D848" t="s">
        <v>1777</v>
      </c>
    </row>
    <row r="849" spans="1:4" x14ac:dyDescent="0.3">
      <c r="A849" t="s">
        <v>1516</v>
      </c>
      <c r="B849" t="s">
        <v>1517</v>
      </c>
      <c r="C849" t="s">
        <v>1778</v>
      </c>
      <c r="D849" t="s">
        <v>1779</v>
      </c>
    </row>
    <row r="850" spans="1:4" x14ac:dyDescent="0.3">
      <c r="A850" t="s">
        <v>1516</v>
      </c>
      <c r="B850" t="s">
        <v>1517</v>
      </c>
      <c r="C850" t="s">
        <v>1780</v>
      </c>
      <c r="D850" t="s">
        <v>1781</v>
      </c>
    </row>
    <row r="851" spans="1:4" x14ac:dyDescent="0.3">
      <c r="A851" t="s">
        <v>1516</v>
      </c>
      <c r="B851" t="s">
        <v>1517</v>
      </c>
      <c r="C851" t="s">
        <v>1782</v>
      </c>
      <c r="D851" t="s">
        <v>1783</v>
      </c>
    </row>
    <row r="852" spans="1:4" x14ac:dyDescent="0.3">
      <c r="A852" t="s">
        <v>1516</v>
      </c>
      <c r="B852" t="s">
        <v>1517</v>
      </c>
      <c r="C852" t="s">
        <v>1784</v>
      </c>
      <c r="D852" t="s">
        <v>1785</v>
      </c>
    </row>
    <row r="853" spans="1:4" x14ac:dyDescent="0.3">
      <c r="A853" t="s">
        <v>1516</v>
      </c>
      <c r="B853" t="s">
        <v>1517</v>
      </c>
      <c r="C853" t="s">
        <v>1786</v>
      </c>
      <c r="D853" t="s">
        <v>1787</v>
      </c>
    </row>
    <row r="854" spans="1:4" x14ac:dyDescent="0.3">
      <c r="A854" t="s">
        <v>1516</v>
      </c>
      <c r="B854" t="s">
        <v>1517</v>
      </c>
      <c r="C854" t="s">
        <v>1788</v>
      </c>
      <c r="D854" t="s">
        <v>1789</v>
      </c>
    </row>
    <row r="855" spans="1:4" x14ac:dyDescent="0.3">
      <c r="A855" t="s">
        <v>1516</v>
      </c>
      <c r="B855" t="s">
        <v>1517</v>
      </c>
      <c r="C855" t="s">
        <v>1790</v>
      </c>
      <c r="D855" t="s">
        <v>1791</v>
      </c>
    </row>
    <row r="856" spans="1:4" x14ac:dyDescent="0.3">
      <c r="A856" t="s">
        <v>1516</v>
      </c>
      <c r="B856" t="s">
        <v>1517</v>
      </c>
      <c r="C856" t="s">
        <v>1792</v>
      </c>
      <c r="D856" t="s">
        <v>1793</v>
      </c>
    </row>
    <row r="857" spans="1:4" x14ac:dyDescent="0.3">
      <c r="A857" t="s">
        <v>1516</v>
      </c>
      <c r="B857" t="s">
        <v>1517</v>
      </c>
      <c r="C857" t="s">
        <v>1794</v>
      </c>
      <c r="D857" t="s">
        <v>1795</v>
      </c>
    </row>
    <row r="858" spans="1:4" x14ac:dyDescent="0.3">
      <c r="A858" t="s">
        <v>1516</v>
      </c>
      <c r="B858" t="s">
        <v>1517</v>
      </c>
      <c r="C858" t="s">
        <v>1796</v>
      </c>
      <c r="D858" t="s">
        <v>1797</v>
      </c>
    </row>
    <row r="859" spans="1:4" x14ac:dyDescent="0.3">
      <c r="A859" t="s">
        <v>1516</v>
      </c>
      <c r="B859" t="s">
        <v>1517</v>
      </c>
      <c r="C859" t="s">
        <v>1798</v>
      </c>
      <c r="D859" t="s">
        <v>1799</v>
      </c>
    </row>
    <row r="860" spans="1:4" x14ac:dyDescent="0.3">
      <c r="A860" t="s">
        <v>1516</v>
      </c>
      <c r="B860" t="s">
        <v>1517</v>
      </c>
      <c r="C860" t="s">
        <v>1800</v>
      </c>
      <c r="D860" t="s">
        <v>1801</v>
      </c>
    </row>
    <row r="861" spans="1:4" x14ac:dyDescent="0.3">
      <c r="A861" t="s">
        <v>1516</v>
      </c>
      <c r="B861" t="s">
        <v>1517</v>
      </c>
      <c r="C861" t="s">
        <v>1802</v>
      </c>
      <c r="D861" t="s">
        <v>1803</v>
      </c>
    </row>
    <row r="862" spans="1:4" x14ac:dyDescent="0.3">
      <c r="A862" t="s">
        <v>1516</v>
      </c>
      <c r="B862" t="s">
        <v>1517</v>
      </c>
      <c r="C862" t="s">
        <v>1804</v>
      </c>
      <c r="D862" t="s">
        <v>1805</v>
      </c>
    </row>
    <row r="863" spans="1:4" x14ac:dyDescent="0.3">
      <c r="A863" t="s">
        <v>1516</v>
      </c>
      <c r="B863" t="s">
        <v>1517</v>
      </c>
      <c r="C863" t="s">
        <v>1806</v>
      </c>
      <c r="D863" t="s">
        <v>1807</v>
      </c>
    </row>
    <row r="864" spans="1:4" x14ac:dyDescent="0.3">
      <c r="A864" t="s">
        <v>1516</v>
      </c>
      <c r="B864" t="s">
        <v>1517</v>
      </c>
      <c r="C864" t="s">
        <v>1808</v>
      </c>
      <c r="D864" t="s">
        <v>1809</v>
      </c>
    </row>
    <row r="865" spans="1:4" x14ac:dyDescent="0.3">
      <c r="A865" t="s">
        <v>1516</v>
      </c>
      <c r="B865" t="s">
        <v>1517</v>
      </c>
      <c r="C865" t="s">
        <v>1810</v>
      </c>
      <c r="D865" t="s">
        <v>1811</v>
      </c>
    </row>
    <row r="866" spans="1:4" x14ac:dyDescent="0.3">
      <c r="A866" t="s">
        <v>1516</v>
      </c>
      <c r="B866" t="s">
        <v>1517</v>
      </c>
      <c r="C866" t="s">
        <v>1812</v>
      </c>
      <c r="D866" t="s">
        <v>1813</v>
      </c>
    </row>
    <row r="867" spans="1:4" x14ac:dyDescent="0.3">
      <c r="A867" t="s">
        <v>1516</v>
      </c>
      <c r="B867" t="s">
        <v>1517</v>
      </c>
      <c r="C867" t="s">
        <v>1814</v>
      </c>
      <c r="D867" t="s">
        <v>1815</v>
      </c>
    </row>
    <row r="868" spans="1:4" x14ac:dyDescent="0.3">
      <c r="A868" t="s">
        <v>1516</v>
      </c>
      <c r="B868" t="s">
        <v>1517</v>
      </c>
      <c r="C868" t="s">
        <v>1816</v>
      </c>
      <c r="D868" t="s">
        <v>1817</v>
      </c>
    </row>
    <row r="869" spans="1:4" x14ac:dyDescent="0.3">
      <c r="A869" t="s">
        <v>1516</v>
      </c>
      <c r="B869" t="s">
        <v>1517</v>
      </c>
      <c r="C869" t="s">
        <v>1818</v>
      </c>
      <c r="D869" t="s">
        <v>1819</v>
      </c>
    </row>
    <row r="870" spans="1:4" x14ac:dyDescent="0.3">
      <c r="A870" t="s">
        <v>1516</v>
      </c>
      <c r="B870" t="s">
        <v>1517</v>
      </c>
      <c r="C870" t="s">
        <v>1820</v>
      </c>
      <c r="D870" t="s">
        <v>1821</v>
      </c>
    </row>
    <row r="871" spans="1:4" x14ac:dyDescent="0.3">
      <c r="A871" t="s">
        <v>1516</v>
      </c>
      <c r="B871" t="s">
        <v>1517</v>
      </c>
      <c r="C871" t="s">
        <v>1822</v>
      </c>
      <c r="D871" t="s">
        <v>1823</v>
      </c>
    </row>
    <row r="872" spans="1:4" x14ac:dyDescent="0.3">
      <c r="A872" t="s">
        <v>1516</v>
      </c>
      <c r="B872" t="s">
        <v>1517</v>
      </c>
      <c r="C872" t="s">
        <v>1824</v>
      </c>
      <c r="D872" t="s">
        <v>1825</v>
      </c>
    </row>
    <row r="873" spans="1:4" x14ac:dyDescent="0.3">
      <c r="A873" t="s">
        <v>1516</v>
      </c>
      <c r="B873" t="s">
        <v>1517</v>
      </c>
      <c r="C873" t="s">
        <v>1826</v>
      </c>
      <c r="D873" t="s">
        <v>1827</v>
      </c>
    </row>
    <row r="874" spans="1:4" x14ac:dyDescent="0.3">
      <c r="A874" t="s">
        <v>1516</v>
      </c>
      <c r="B874" t="s">
        <v>1517</v>
      </c>
      <c r="C874" t="s">
        <v>1828</v>
      </c>
      <c r="D874" t="s">
        <v>1829</v>
      </c>
    </row>
    <row r="875" spans="1:4" x14ac:dyDescent="0.3">
      <c r="A875" t="s">
        <v>1516</v>
      </c>
      <c r="B875" t="s">
        <v>1517</v>
      </c>
      <c r="C875" t="s">
        <v>1830</v>
      </c>
      <c r="D875" t="s">
        <v>1831</v>
      </c>
    </row>
    <row r="876" spans="1:4" x14ac:dyDescent="0.3">
      <c r="A876" t="s">
        <v>1516</v>
      </c>
      <c r="B876" t="s">
        <v>1517</v>
      </c>
      <c r="C876" t="s">
        <v>1832</v>
      </c>
      <c r="D876" t="s">
        <v>1833</v>
      </c>
    </row>
    <row r="877" spans="1:4" x14ac:dyDescent="0.3">
      <c r="A877" t="s">
        <v>1516</v>
      </c>
      <c r="B877" t="s">
        <v>1517</v>
      </c>
      <c r="C877" t="s">
        <v>1834</v>
      </c>
      <c r="D877" t="s">
        <v>1835</v>
      </c>
    </row>
    <row r="878" spans="1:4" x14ac:dyDescent="0.3">
      <c r="A878" t="s">
        <v>1516</v>
      </c>
      <c r="B878" t="s">
        <v>1517</v>
      </c>
      <c r="C878" t="s">
        <v>1836</v>
      </c>
      <c r="D878" t="s">
        <v>1837</v>
      </c>
    </row>
    <row r="879" spans="1:4" x14ac:dyDescent="0.3">
      <c r="A879" t="s">
        <v>1516</v>
      </c>
      <c r="B879" t="s">
        <v>1517</v>
      </c>
      <c r="C879" t="s">
        <v>1838</v>
      </c>
      <c r="D879" t="s">
        <v>1839</v>
      </c>
    </row>
    <row r="880" spans="1:4" x14ac:dyDescent="0.3">
      <c r="A880" t="s">
        <v>1516</v>
      </c>
      <c r="B880" t="s">
        <v>1517</v>
      </c>
      <c r="C880" t="s">
        <v>1840</v>
      </c>
      <c r="D880" t="s">
        <v>1841</v>
      </c>
    </row>
    <row r="881" spans="1:4" x14ac:dyDescent="0.3">
      <c r="A881" t="s">
        <v>1516</v>
      </c>
      <c r="B881" t="s">
        <v>1517</v>
      </c>
      <c r="C881" t="s">
        <v>1842</v>
      </c>
      <c r="D881" t="s">
        <v>1843</v>
      </c>
    </row>
    <row r="882" spans="1:4" x14ac:dyDescent="0.3">
      <c r="A882" t="s">
        <v>1516</v>
      </c>
      <c r="B882" t="s">
        <v>1517</v>
      </c>
      <c r="C882" t="s">
        <v>1844</v>
      </c>
      <c r="D882" t="s">
        <v>1845</v>
      </c>
    </row>
    <row r="883" spans="1:4" x14ac:dyDescent="0.3">
      <c r="A883" t="s">
        <v>1516</v>
      </c>
      <c r="B883" t="s">
        <v>1517</v>
      </c>
      <c r="C883" t="s">
        <v>1846</v>
      </c>
      <c r="D883" t="s">
        <v>1847</v>
      </c>
    </row>
    <row r="884" spans="1:4" x14ac:dyDescent="0.3">
      <c r="A884" t="s">
        <v>1516</v>
      </c>
      <c r="B884" t="s">
        <v>1517</v>
      </c>
      <c r="C884" t="s">
        <v>1848</v>
      </c>
      <c r="D884" t="s">
        <v>1849</v>
      </c>
    </row>
    <row r="885" spans="1:4" x14ac:dyDescent="0.3">
      <c r="A885" t="s">
        <v>1516</v>
      </c>
      <c r="B885" t="s">
        <v>1517</v>
      </c>
      <c r="C885" t="s">
        <v>1850</v>
      </c>
      <c r="D885" t="s">
        <v>1851</v>
      </c>
    </row>
    <row r="886" spans="1:4" x14ac:dyDescent="0.3">
      <c r="A886" t="s">
        <v>1516</v>
      </c>
      <c r="B886" t="s">
        <v>1517</v>
      </c>
      <c r="C886" t="s">
        <v>1852</v>
      </c>
      <c r="D886" t="s">
        <v>1853</v>
      </c>
    </row>
    <row r="887" spans="1:4" x14ac:dyDescent="0.3">
      <c r="A887" t="s">
        <v>1516</v>
      </c>
      <c r="B887" t="s">
        <v>1517</v>
      </c>
      <c r="C887" t="s">
        <v>1854</v>
      </c>
      <c r="D887" t="s">
        <v>1855</v>
      </c>
    </row>
    <row r="888" spans="1:4" x14ac:dyDescent="0.3">
      <c r="A888" t="s">
        <v>1516</v>
      </c>
      <c r="B888" t="s">
        <v>1517</v>
      </c>
      <c r="C888" t="s">
        <v>1856</v>
      </c>
      <c r="D888" t="s">
        <v>1857</v>
      </c>
    </row>
    <row r="889" spans="1:4" x14ac:dyDescent="0.3">
      <c r="A889" t="s">
        <v>1516</v>
      </c>
      <c r="B889" t="s">
        <v>1517</v>
      </c>
      <c r="C889" t="s">
        <v>1858</v>
      </c>
      <c r="D889" t="s">
        <v>1859</v>
      </c>
    </row>
    <row r="890" spans="1:4" x14ac:dyDescent="0.3">
      <c r="A890" t="s">
        <v>1516</v>
      </c>
      <c r="B890" t="s">
        <v>1517</v>
      </c>
      <c r="C890" t="s">
        <v>1860</v>
      </c>
      <c r="D890" t="s">
        <v>1861</v>
      </c>
    </row>
    <row r="891" spans="1:4" x14ac:dyDescent="0.3">
      <c r="A891" t="s">
        <v>1516</v>
      </c>
      <c r="B891" t="s">
        <v>1517</v>
      </c>
      <c r="C891" t="s">
        <v>1862</v>
      </c>
      <c r="D891" t="s">
        <v>1863</v>
      </c>
    </row>
    <row r="892" spans="1:4" x14ac:dyDescent="0.3">
      <c r="A892" t="s">
        <v>1516</v>
      </c>
      <c r="B892" t="s">
        <v>1517</v>
      </c>
      <c r="C892" t="s">
        <v>1864</v>
      </c>
      <c r="D892" t="s">
        <v>1865</v>
      </c>
    </row>
    <row r="893" spans="1:4" x14ac:dyDescent="0.3">
      <c r="A893" t="s">
        <v>1516</v>
      </c>
      <c r="B893" t="s">
        <v>1517</v>
      </c>
      <c r="C893" t="s">
        <v>1866</v>
      </c>
      <c r="D893" t="s">
        <v>1867</v>
      </c>
    </row>
    <row r="894" spans="1:4" x14ac:dyDescent="0.3">
      <c r="A894" t="s">
        <v>1516</v>
      </c>
      <c r="B894" t="s">
        <v>1517</v>
      </c>
      <c r="C894" t="s">
        <v>1868</v>
      </c>
      <c r="D894" t="s">
        <v>1869</v>
      </c>
    </row>
    <row r="895" spans="1:4" x14ac:dyDescent="0.3">
      <c r="A895" t="s">
        <v>1516</v>
      </c>
      <c r="B895" t="s">
        <v>1517</v>
      </c>
      <c r="C895" t="s">
        <v>1870</v>
      </c>
      <c r="D895" t="s">
        <v>926</v>
      </c>
    </row>
    <row r="896" spans="1:4" x14ac:dyDescent="0.3">
      <c r="A896" t="s">
        <v>1516</v>
      </c>
      <c r="B896" t="s">
        <v>1517</v>
      </c>
      <c r="C896" t="s">
        <v>1871</v>
      </c>
      <c r="D896" t="s">
        <v>1872</v>
      </c>
    </row>
    <row r="897" spans="1:4" x14ac:dyDescent="0.3">
      <c r="A897" t="s">
        <v>1516</v>
      </c>
      <c r="B897" t="s">
        <v>1517</v>
      </c>
      <c r="C897" t="s">
        <v>1873</v>
      </c>
      <c r="D897" t="s">
        <v>938</v>
      </c>
    </row>
    <row r="898" spans="1:4" x14ac:dyDescent="0.3">
      <c r="A898" t="s">
        <v>1516</v>
      </c>
      <c r="B898" t="s">
        <v>1517</v>
      </c>
      <c r="C898" t="s">
        <v>1874</v>
      </c>
      <c r="D898" t="s">
        <v>1875</v>
      </c>
    </row>
    <row r="899" spans="1:4" x14ac:dyDescent="0.3">
      <c r="A899" t="s">
        <v>1516</v>
      </c>
      <c r="B899" t="s">
        <v>1517</v>
      </c>
      <c r="C899" t="s">
        <v>1876</v>
      </c>
      <c r="D899" t="s">
        <v>940</v>
      </c>
    </row>
    <row r="900" spans="1:4" x14ac:dyDescent="0.3">
      <c r="A900" t="s">
        <v>1516</v>
      </c>
      <c r="B900" t="s">
        <v>1517</v>
      </c>
      <c r="C900" t="s">
        <v>1877</v>
      </c>
      <c r="D900" t="s">
        <v>1878</v>
      </c>
    </row>
    <row r="901" spans="1:4" x14ac:dyDescent="0.3">
      <c r="A901" t="s">
        <v>1516</v>
      </c>
      <c r="B901" t="s">
        <v>1517</v>
      </c>
      <c r="C901" t="s">
        <v>1879</v>
      </c>
      <c r="D901" t="s">
        <v>1880</v>
      </c>
    </row>
    <row r="902" spans="1:4" x14ac:dyDescent="0.3">
      <c r="A902" t="s">
        <v>1516</v>
      </c>
      <c r="B902" t="s">
        <v>1517</v>
      </c>
      <c r="C902" t="s">
        <v>1881</v>
      </c>
      <c r="D902" t="s">
        <v>1882</v>
      </c>
    </row>
    <row r="903" spans="1:4" x14ac:dyDescent="0.3">
      <c r="A903" t="s">
        <v>1516</v>
      </c>
      <c r="B903" t="s">
        <v>1517</v>
      </c>
      <c r="C903" t="s">
        <v>1883</v>
      </c>
      <c r="D903" t="s">
        <v>1884</v>
      </c>
    </row>
    <row r="904" spans="1:4" x14ac:dyDescent="0.3">
      <c r="A904" t="s">
        <v>1516</v>
      </c>
      <c r="B904" t="s">
        <v>1517</v>
      </c>
      <c r="C904" t="s">
        <v>1885</v>
      </c>
      <c r="D904" t="s">
        <v>1886</v>
      </c>
    </row>
    <row r="905" spans="1:4" x14ac:dyDescent="0.3">
      <c r="A905" t="s">
        <v>1516</v>
      </c>
      <c r="B905" t="s">
        <v>1517</v>
      </c>
      <c r="C905" t="s">
        <v>1887</v>
      </c>
      <c r="D905" t="s">
        <v>1888</v>
      </c>
    </row>
    <row r="906" spans="1:4" x14ac:dyDescent="0.3">
      <c r="A906" t="s">
        <v>1516</v>
      </c>
      <c r="B906" t="s">
        <v>1517</v>
      </c>
      <c r="C906" t="s">
        <v>1889</v>
      </c>
      <c r="D906" t="s">
        <v>1890</v>
      </c>
    </row>
    <row r="907" spans="1:4" x14ac:dyDescent="0.3">
      <c r="A907" t="s">
        <v>1516</v>
      </c>
      <c r="B907" t="s">
        <v>1517</v>
      </c>
      <c r="C907" t="s">
        <v>1891</v>
      </c>
      <c r="D907" t="s">
        <v>1892</v>
      </c>
    </row>
    <row r="908" spans="1:4" x14ac:dyDescent="0.3">
      <c r="A908" t="s">
        <v>1516</v>
      </c>
      <c r="B908" t="s">
        <v>1517</v>
      </c>
      <c r="C908" t="s">
        <v>1893</v>
      </c>
      <c r="D908" t="s">
        <v>1894</v>
      </c>
    </row>
    <row r="909" spans="1:4" x14ac:dyDescent="0.3">
      <c r="A909" t="s">
        <v>1516</v>
      </c>
      <c r="B909" t="s">
        <v>1517</v>
      </c>
      <c r="C909" t="s">
        <v>1895</v>
      </c>
      <c r="D909" t="s">
        <v>1896</v>
      </c>
    </row>
    <row r="910" spans="1:4" x14ac:dyDescent="0.3">
      <c r="A910" t="s">
        <v>1516</v>
      </c>
      <c r="B910" t="s">
        <v>1517</v>
      </c>
      <c r="C910" t="s">
        <v>1897</v>
      </c>
      <c r="D910" t="s">
        <v>1898</v>
      </c>
    </row>
    <row r="911" spans="1:4" x14ac:dyDescent="0.3">
      <c r="A911" t="s">
        <v>1516</v>
      </c>
      <c r="B911" t="s">
        <v>1517</v>
      </c>
      <c r="C911" t="s">
        <v>1899</v>
      </c>
      <c r="D911" t="s">
        <v>175</v>
      </c>
    </row>
    <row r="912" spans="1:4" x14ac:dyDescent="0.3">
      <c r="A912" t="s">
        <v>1516</v>
      </c>
      <c r="B912" t="s">
        <v>1517</v>
      </c>
      <c r="C912" t="s">
        <v>1900</v>
      </c>
      <c r="D912" t="s">
        <v>1901</v>
      </c>
    </row>
    <row r="913" spans="1:4" x14ac:dyDescent="0.3">
      <c r="A913" t="s">
        <v>1516</v>
      </c>
      <c r="B913" t="s">
        <v>1517</v>
      </c>
      <c r="C913" t="s">
        <v>1902</v>
      </c>
      <c r="D913" t="s">
        <v>1903</v>
      </c>
    </row>
    <row r="914" spans="1:4" x14ac:dyDescent="0.3">
      <c r="A914" t="s">
        <v>1516</v>
      </c>
      <c r="B914" t="s">
        <v>1517</v>
      </c>
      <c r="C914" t="s">
        <v>1904</v>
      </c>
      <c r="D914" t="s">
        <v>1905</v>
      </c>
    </row>
    <row r="915" spans="1:4" x14ac:dyDescent="0.3">
      <c r="A915" t="s">
        <v>1516</v>
      </c>
      <c r="B915" t="s">
        <v>1517</v>
      </c>
      <c r="C915" t="s">
        <v>1906</v>
      </c>
      <c r="D915" t="s">
        <v>1907</v>
      </c>
    </row>
    <row r="916" spans="1:4" x14ac:dyDescent="0.3">
      <c r="A916" t="s">
        <v>1516</v>
      </c>
      <c r="B916" t="s">
        <v>1517</v>
      </c>
      <c r="C916" t="s">
        <v>1908</v>
      </c>
      <c r="D916" t="s">
        <v>1909</v>
      </c>
    </row>
    <row r="917" spans="1:4" x14ac:dyDescent="0.3">
      <c r="A917" t="s">
        <v>1516</v>
      </c>
      <c r="B917" t="s">
        <v>1517</v>
      </c>
      <c r="C917" t="s">
        <v>1910</v>
      </c>
      <c r="D917" t="s">
        <v>1911</v>
      </c>
    </row>
    <row r="918" spans="1:4" x14ac:dyDescent="0.3">
      <c r="A918" t="s">
        <v>1516</v>
      </c>
      <c r="B918" t="s">
        <v>1517</v>
      </c>
      <c r="C918" t="s">
        <v>1912</v>
      </c>
      <c r="D918" t="s">
        <v>1913</v>
      </c>
    </row>
    <row r="919" spans="1:4" x14ac:dyDescent="0.3">
      <c r="A919" t="s">
        <v>1516</v>
      </c>
      <c r="B919" t="s">
        <v>1517</v>
      </c>
      <c r="C919" t="s">
        <v>1914</v>
      </c>
      <c r="D919" t="s">
        <v>1915</v>
      </c>
    </row>
    <row r="920" spans="1:4" x14ac:dyDescent="0.3">
      <c r="A920" t="s">
        <v>1516</v>
      </c>
      <c r="B920" t="s">
        <v>1517</v>
      </c>
      <c r="C920" t="s">
        <v>1916</v>
      </c>
      <c r="D920" t="s">
        <v>1917</v>
      </c>
    </row>
    <row r="921" spans="1:4" x14ac:dyDescent="0.3">
      <c r="A921" t="s">
        <v>1516</v>
      </c>
      <c r="B921" t="s">
        <v>1517</v>
      </c>
      <c r="C921" t="s">
        <v>1918</v>
      </c>
      <c r="D921" t="s">
        <v>1919</v>
      </c>
    </row>
    <row r="922" spans="1:4" x14ac:dyDescent="0.3">
      <c r="A922" t="s">
        <v>1516</v>
      </c>
      <c r="B922" t="s">
        <v>1517</v>
      </c>
      <c r="C922" t="s">
        <v>1920</v>
      </c>
      <c r="D922" t="s">
        <v>1921</v>
      </c>
    </row>
    <row r="923" spans="1:4" x14ac:dyDescent="0.3">
      <c r="A923" t="s">
        <v>1516</v>
      </c>
      <c r="B923" t="s">
        <v>1517</v>
      </c>
      <c r="C923" t="s">
        <v>1922</v>
      </c>
      <c r="D923" t="s">
        <v>1923</v>
      </c>
    </row>
    <row r="924" spans="1:4" x14ac:dyDescent="0.3">
      <c r="A924" t="s">
        <v>1516</v>
      </c>
      <c r="B924" t="s">
        <v>1517</v>
      </c>
      <c r="C924" t="s">
        <v>1924</v>
      </c>
      <c r="D924" t="s">
        <v>1925</v>
      </c>
    </row>
    <row r="925" spans="1:4" x14ac:dyDescent="0.3">
      <c r="A925" t="s">
        <v>1516</v>
      </c>
      <c r="B925" t="s">
        <v>1517</v>
      </c>
      <c r="C925" t="s">
        <v>1926</v>
      </c>
      <c r="D925" t="s">
        <v>1012</v>
      </c>
    </row>
    <row r="926" spans="1:4" x14ac:dyDescent="0.3">
      <c r="A926" t="s">
        <v>1516</v>
      </c>
      <c r="B926" t="s">
        <v>1517</v>
      </c>
      <c r="C926" t="s">
        <v>1927</v>
      </c>
      <c r="D926" t="s">
        <v>1928</v>
      </c>
    </row>
    <row r="927" spans="1:4" x14ac:dyDescent="0.3">
      <c r="A927" t="s">
        <v>1516</v>
      </c>
      <c r="B927" t="s">
        <v>1517</v>
      </c>
      <c r="C927" t="s">
        <v>1929</v>
      </c>
      <c r="D927" t="s">
        <v>1930</v>
      </c>
    </row>
    <row r="928" spans="1:4" x14ac:dyDescent="0.3">
      <c r="A928" t="s">
        <v>1516</v>
      </c>
      <c r="B928" t="s">
        <v>1517</v>
      </c>
      <c r="C928" t="s">
        <v>1931</v>
      </c>
      <c r="D928" t="s">
        <v>1932</v>
      </c>
    </row>
    <row r="929" spans="1:4" x14ac:dyDescent="0.3">
      <c r="A929" t="s">
        <v>1516</v>
      </c>
      <c r="B929" t="s">
        <v>1517</v>
      </c>
      <c r="C929" t="s">
        <v>1933</v>
      </c>
      <c r="D929" t="s">
        <v>1934</v>
      </c>
    </row>
    <row r="930" spans="1:4" x14ac:dyDescent="0.3">
      <c r="A930" t="s">
        <v>1516</v>
      </c>
      <c r="B930" t="s">
        <v>1517</v>
      </c>
      <c r="C930" t="s">
        <v>1935</v>
      </c>
      <c r="D930" t="s">
        <v>1936</v>
      </c>
    </row>
    <row r="931" spans="1:4" x14ac:dyDescent="0.3">
      <c r="A931" t="s">
        <v>1516</v>
      </c>
      <c r="B931" t="s">
        <v>1517</v>
      </c>
      <c r="C931" t="s">
        <v>1937</v>
      </c>
      <c r="D931" t="s">
        <v>1938</v>
      </c>
    </row>
    <row r="932" spans="1:4" x14ac:dyDescent="0.3">
      <c r="A932" t="s">
        <v>1516</v>
      </c>
      <c r="B932" t="s">
        <v>1517</v>
      </c>
      <c r="C932" t="s">
        <v>1939</v>
      </c>
      <c r="D932" t="s">
        <v>1940</v>
      </c>
    </row>
    <row r="933" spans="1:4" x14ac:dyDescent="0.3">
      <c r="A933" t="s">
        <v>1516</v>
      </c>
      <c r="B933" t="s">
        <v>1517</v>
      </c>
      <c r="C933" t="s">
        <v>1941</v>
      </c>
      <c r="D933" t="s">
        <v>1942</v>
      </c>
    </row>
    <row r="934" spans="1:4" x14ac:dyDescent="0.3">
      <c r="A934" t="s">
        <v>1516</v>
      </c>
      <c r="B934" t="s">
        <v>1517</v>
      </c>
      <c r="C934" t="s">
        <v>1943</v>
      </c>
      <c r="D934" t="s">
        <v>1944</v>
      </c>
    </row>
    <row r="935" spans="1:4" x14ac:dyDescent="0.3">
      <c r="A935" t="s">
        <v>1516</v>
      </c>
      <c r="B935" t="s">
        <v>1517</v>
      </c>
      <c r="C935" t="s">
        <v>1945</v>
      </c>
      <c r="D935" t="s">
        <v>1946</v>
      </c>
    </row>
    <row r="936" spans="1:4" x14ac:dyDescent="0.3">
      <c r="A936" t="s">
        <v>1516</v>
      </c>
      <c r="B936" t="s">
        <v>1517</v>
      </c>
      <c r="C936" t="s">
        <v>1947</v>
      </c>
      <c r="D936" t="s">
        <v>1948</v>
      </c>
    </row>
    <row r="937" spans="1:4" x14ac:dyDescent="0.3">
      <c r="A937" t="s">
        <v>1516</v>
      </c>
      <c r="B937" t="s">
        <v>1517</v>
      </c>
      <c r="C937" t="s">
        <v>1949</v>
      </c>
      <c r="D937" t="s">
        <v>1181</v>
      </c>
    </row>
    <row r="938" spans="1:4" x14ac:dyDescent="0.3">
      <c r="A938" t="s">
        <v>1516</v>
      </c>
      <c r="B938" t="s">
        <v>1517</v>
      </c>
      <c r="C938" t="s">
        <v>1950</v>
      </c>
      <c r="D938" t="s">
        <v>1951</v>
      </c>
    </row>
    <row r="939" spans="1:4" x14ac:dyDescent="0.3">
      <c r="A939" t="s">
        <v>1516</v>
      </c>
      <c r="B939" t="s">
        <v>1517</v>
      </c>
      <c r="C939" t="s">
        <v>1952</v>
      </c>
      <c r="D939" t="s">
        <v>1953</v>
      </c>
    </row>
    <row r="940" spans="1:4" x14ac:dyDescent="0.3">
      <c r="A940" t="s">
        <v>1516</v>
      </c>
      <c r="B940" t="s">
        <v>1517</v>
      </c>
      <c r="C940" t="s">
        <v>1954</v>
      </c>
      <c r="D940" t="s">
        <v>1955</v>
      </c>
    </row>
    <row r="941" spans="1:4" x14ac:dyDescent="0.3">
      <c r="A941" t="s">
        <v>1516</v>
      </c>
      <c r="B941" t="s">
        <v>1517</v>
      </c>
      <c r="C941" t="s">
        <v>1956</v>
      </c>
      <c r="D941" t="s">
        <v>1957</v>
      </c>
    </row>
    <row r="942" spans="1:4" x14ac:dyDescent="0.3">
      <c r="A942" t="s">
        <v>1516</v>
      </c>
      <c r="B942" t="s">
        <v>1517</v>
      </c>
      <c r="C942" t="s">
        <v>1958</v>
      </c>
      <c r="D942" t="s">
        <v>1959</v>
      </c>
    </row>
    <row r="943" spans="1:4" x14ac:dyDescent="0.3">
      <c r="A943" t="s">
        <v>1516</v>
      </c>
      <c r="B943" t="s">
        <v>1517</v>
      </c>
      <c r="C943" t="s">
        <v>1960</v>
      </c>
      <c r="D943" t="s">
        <v>1961</v>
      </c>
    </row>
    <row r="944" spans="1:4" x14ac:dyDescent="0.3">
      <c r="A944" t="s">
        <v>1516</v>
      </c>
      <c r="B944" t="s">
        <v>1517</v>
      </c>
      <c r="C944" t="s">
        <v>1962</v>
      </c>
      <c r="D944" t="s">
        <v>1963</v>
      </c>
    </row>
    <row r="945" spans="1:4" x14ac:dyDescent="0.3">
      <c r="A945" t="s">
        <v>1964</v>
      </c>
      <c r="B945" t="s">
        <v>1965</v>
      </c>
      <c r="C945" t="s">
        <v>1966</v>
      </c>
      <c r="D945" t="s">
        <v>1967</v>
      </c>
    </row>
    <row r="946" spans="1:4" x14ac:dyDescent="0.3">
      <c r="A946" t="s">
        <v>1964</v>
      </c>
      <c r="B946" t="s">
        <v>1965</v>
      </c>
      <c r="C946" t="s">
        <v>1968</v>
      </c>
      <c r="D946" t="s">
        <v>1969</v>
      </c>
    </row>
    <row r="947" spans="1:4" x14ac:dyDescent="0.3">
      <c r="A947" t="s">
        <v>1964</v>
      </c>
      <c r="B947" t="s">
        <v>1965</v>
      </c>
      <c r="C947" t="s">
        <v>1970</v>
      </c>
      <c r="D947" t="s">
        <v>1971</v>
      </c>
    </row>
    <row r="948" spans="1:4" x14ac:dyDescent="0.3">
      <c r="A948" t="s">
        <v>1964</v>
      </c>
      <c r="B948" t="s">
        <v>1965</v>
      </c>
      <c r="C948" t="s">
        <v>1972</v>
      </c>
      <c r="D948" t="s">
        <v>1973</v>
      </c>
    </row>
    <row r="949" spans="1:4" x14ac:dyDescent="0.3">
      <c r="A949" t="s">
        <v>1964</v>
      </c>
      <c r="B949" t="s">
        <v>1965</v>
      </c>
      <c r="C949" t="s">
        <v>1974</v>
      </c>
      <c r="D949" t="s">
        <v>1975</v>
      </c>
    </row>
    <row r="950" spans="1:4" x14ac:dyDescent="0.3">
      <c r="A950" t="s">
        <v>1964</v>
      </c>
      <c r="B950" t="s">
        <v>1965</v>
      </c>
      <c r="C950" t="s">
        <v>1976</v>
      </c>
      <c r="D950" t="s">
        <v>1977</v>
      </c>
    </row>
    <row r="951" spans="1:4" x14ac:dyDescent="0.3">
      <c r="A951" t="s">
        <v>1964</v>
      </c>
      <c r="B951" t="s">
        <v>1965</v>
      </c>
      <c r="C951" t="s">
        <v>1978</v>
      </c>
      <c r="D951" t="s">
        <v>1979</v>
      </c>
    </row>
    <row r="952" spans="1:4" x14ac:dyDescent="0.3">
      <c r="A952" t="s">
        <v>1964</v>
      </c>
      <c r="B952" t="s">
        <v>1965</v>
      </c>
      <c r="C952" t="s">
        <v>1980</v>
      </c>
      <c r="D952" t="s">
        <v>1981</v>
      </c>
    </row>
    <row r="953" spans="1:4" x14ac:dyDescent="0.3">
      <c r="A953" t="s">
        <v>1964</v>
      </c>
      <c r="B953" t="s">
        <v>1965</v>
      </c>
      <c r="C953" t="s">
        <v>1982</v>
      </c>
      <c r="D953" t="s">
        <v>1983</v>
      </c>
    </row>
    <row r="954" spans="1:4" x14ac:dyDescent="0.3">
      <c r="A954" t="s">
        <v>1964</v>
      </c>
      <c r="B954" t="s">
        <v>1965</v>
      </c>
      <c r="C954" t="s">
        <v>1984</v>
      </c>
      <c r="D954" t="s">
        <v>1985</v>
      </c>
    </row>
    <row r="955" spans="1:4" x14ac:dyDescent="0.3">
      <c r="A955" t="s">
        <v>1964</v>
      </c>
      <c r="B955" t="s">
        <v>1965</v>
      </c>
      <c r="C955" t="s">
        <v>1986</v>
      </c>
      <c r="D955" t="s">
        <v>1987</v>
      </c>
    </row>
    <row r="956" spans="1:4" x14ac:dyDescent="0.3">
      <c r="A956" t="s">
        <v>1964</v>
      </c>
      <c r="B956" t="s">
        <v>1965</v>
      </c>
      <c r="C956" t="s">
        <v>1988</v>
      </c>
      <c r="D956" t="s">
        <v>1989</v>
      </c>
    </row>
    <row r="957" spans="1:4" x14ac:dyDescent="0.3">
      <c r="A957" t="s">
        <v>1964</v>
      </c>
      <c r="B957" t="s">
        <v>1965</v>
      </c>
      <c r="C957" t="s">
        <v>1990</v>
      </c>
      <c r="D957" t="s">
        <v>1991</v>
      </c>
    </row>
    <row r="958" spans="1:4" x14ac:dyDescent="0.3">
      <c r="A958" t="s">
        <v>1964</v>
      </c>
      <c r="B958" t="s">
        <v>1965</v>
      </c>
      <c r="C958" t="s">
        <v>1992</v>
      </c>
      <c r="D958" t="s">
        <v>1993</v>
      </c>
    </row>
    <row r="959" spans="1:4" x14ac:dyDescent="0.3">
      <c r="A959" t="s">
        <v>1964</v>
      </c>
      <c r="B959" t="s">
        <v>1965</v>
      </c>
      <c r="C959" t="s">
        <v>1994</v>
      </c>
      <c r="D959" t="s">
        <v>1995</v>
      </c>
    </row>
    <row r="960" spans="1:4" x14ac:dyDescent="0.3">
      <c r="A960" t="s">
        <v>1964</v>
      </c>
      <c r="B960" t="s">
        <v>1965</v>
      </c>
      <c r="C960" t="s">
        <v>1996</v>
      </c>
      <c r="D960" t="s">
        <v>1997</v>
      </c>
    </row>
    <row r="961" spans="1:4" x14ac:dyDescent="0.3">
      <c r="A961" t="s">
        <v>1964</v>
      </c>
      <c r="B961" t="s">
        <v>1965</v>
      </c>
      <c r="C961" t="s">
        <v>1998</v>
      </c>
      <c r="D961" t="s">
        <v>1999</v>
      </c>
    </row>
    <row r="962" spans="1:4" x14ac:dyDescent="0.3">
      <c r="A962" t="s">
        <v>1964</v>
      </c>
      <c r="B962" t="s">
        <v>1965</v>
      </c>
      <c r="C962" t="s">
        <v>2000</v>
      </c>
      <c r="D962" t="s">
        <v>2001</v>
      </c>
    </row>
    <row r="963" spans="1:4" x14ac:dyDescent="0.3">
      <c r="A963" t="s">
        <v>326</v>
      </c>
      <c r="B963" t="s">
        <v>2002</v>
      </c>
      <c r="C963" t="s">
        <v>2003</v>
      </c>
      <c r="D963" t="s">
        <v>2004</v>
      </c>
    </row>
    <row r="964" spans="1:4" x14ac:dyDescent="0.3">
      <c r="A964" t="s">
        <v>326</v>
      </c>
      <c r="B964" t="s">
        <v>2002</v>
      </c>
      <c r="C964" t="s">
        <v>2005</v>
      </c>
      <c r="D964" t="s">
        <v>2006</v>
      </c>
    </row>
    <row r="965" spans="1:4" x14ac:dyDescent="0.3">
      <c r="A965" t="s">
        <v>326</v>
      </c>
      <c r="B965" t="s">
        <v>2002</v>
      </c>
      <c r="C965" t="s">
        <v>2007</v>
      </c>
      <c r="D965" t="s">
        <v>2008</v>
      </c>
    </row>
    <row r="966" spans="1:4" x14ac:dyDescent="0.3">
      <c r="A966" t="s">
        <v>326</v>
      </c>
      <c r="B966" t="s">
        <v>2002</v>
      </c>
      <c r="C966" t="s">
        <v>2009</v>
      </c>
      <c r="D966" t="s">
        <v>2010</v>
      </c>
    </row>
    <row r="967" spans="1:4" x14ac:dyDescent="0.3">
      <c r="A967" t="s">
        <v>326</v>
      </c>
      <c r="B967" t="s">
        <v>2002</v>
      </c>
      <c r="C967" t="s">
        <v>2011</v>
      </c>
      <c r="D967" t="s">
        <v>615</v>
      </c>
    </row>
    <row r="968" spans="1:4" x14ac:dyDescent="0.3">
      <c r="A968" t="s">
        <v>326</v>
      </c>
      <c r="B968" t="s">
        <v>2002</v>
      </c>
      <c r="C968" t="s">
        <v>2012</v>
      </c>
      <c r="D968" t="s">
        <v>2013</v>
      </c>
    </row>
    <row r="969" spans="1:4" x14ac:dyDescent="0.3">
      <c r="A969" t="s">
        <v>326</v>
      </c>
      <c r="B969" t="s">
        <v>2002</v>
      </c>
      <c r="C969" t="s">
        <v>2014</v>
      </c>
      <c r="D969" t="s">
        <v>2015</v>
      </c>
    </row>
    <row r="970" spans="1:4" x14ac:dyDescent="0.3">
      <c r="A970" t="s">
        <v>326</v>
      </c>
      <c r="B970" t="s">
        <v>2002</v>
      </c>
      <c r="C970" t="s">
        <v>2016</v>
      </c>
      <c r="D970" t="s">
        <v>2017</v>
      </c>
    </row>
    <row r="971" spans="1:4" x14ac:dyDescent="0.3">
      <c r="A971" t="s">
        <v>326</v>
      </c>
      <c r="B971" t="s">
        <v>2002</v>
      </c>
      <c r="C971" t="s">
        <v>2018</v>
      </c>
      <c r="D971" t="s">
        <v>2019</v>
      </c>
    </row>
    <row r="972" spans="1:4" x14ac:dyDescent="0.3">
      <c r="A972" t="s">
        <v>326</v>
      </c>
      <c r="B972" t="s">
        <v>2002</v>
      </c>
      <c r="C972" t="s">
        <v>2020</v>
      </c>
      <c r="D972" t="s">
        <v>2021</v>
      </c>
    </row>
    <row r="973" spans="1:4" x14ac:dyDescent="0.3">
      <c r="A973" t="s">
        <v>326</v>
      </c>
      <c r="B973" t="s">
        <v>2002</v>
      </c>
      <c r="C973" t="s">
        <v>2022</v>
      </c>
      <c r="D973" t="s">
        <v>2023</v>
      </c>
    </row>
    <row r="974" spans="1:4" x14ac:dyDescent="0.3">
      <c r="A974" t="s">
        <v>326</v>
      </c>
      <c r="B974" t="s">
        <v>2002</v>
      </c>
      <c r="C974" t="s">
        <v>2024</v>
      </c>
      <c r="D974" t="s">
        <v>2025</v>
      </c>
    </row>
    <row r="975" spans="1:4" x14ac:dyDescent="0.3">
      <c r="A975" t="s">
        <v>326</v>
      </c>
      <c r="B975" t="s">
        <v>2002</v>
      </c>
      <c r="C975" t="s">
        <v>2026</v>
      </c>
      <c r="D975" t="s">
        <v>2027</v>
      </c>
    </row>
    <row r="976" spans="1:4" x14ac:dyDescent="0.3">
      <c r="A976" t="s">
        <v>326</v>
      </c>
      <c r="B976" t="s">
        <v>2002</v>
      </c>
      <c r="C976" t="s">
        <v>2028</v>
      </c>
      <c r="D976" t="s">
        <v>2029</v>
      </c>
    </row>
    <row r="977" spans="1:4" x14ac:dyDescent="0.3">
      <c r="A977" t="s">
        <v>326</v>
      </c>
      <c r="B977" t="s">
        <v>2002</v>
      </c>
      <c r="C977" t="s">
        <v>2030</v>
      </c>
      <c r="D977" t="s">
        <v>2031</v>
      </c>
    </row>
    <row r="978" spans="1:4" x14ac:dyDescent="0.3">
      <c r="A978" t="s">
        <v>326</v>
      </c>
      <c r="B978" t="s">
        <v>2002</v>
      </c>
      <c r="C978" t="s">
        <v>2032</v>
      </c>
      <c r="D978" t="s">
        <v>2033</v>
      </c>
    </row>
    <row r="979" spans="1:4" x14ac:dyDescent="0.3">
      <c r="A979" t="s">
        <v>326</v>
      </c>
      <c r="B979" t="s">
        <v>2002</v>
      </c>
      <c r="C979" t="s">
        <v>2034</v>
      </c>
      <c r="D979" t="s">
        <v>2035</v>
      </c>
    </row>
    <row r="980" spans="1:4" x14ac:dyDescent="0.3">
      <c r="A980" t="s">
        <v>326</v>
      </c>
      <c r="B980" t="s">
        <v>2002</v>
      </c>
      <c r="C980" t="s">
        <v>2036</v>
      </c>
      <c r="D980" t="s">
        <v>2037</v>
      </c>
    </row>
    <row r="981" spans="1:4" x14ac:dyDescent="0.3">
      <c r="A981" t="s">
        <v>326</v>
      </c>
      <c r="B981" t="s">
        <v>2002</v>
      </c>
      <c r="C981" t="s">
        <v>2038</v>
      </c>
      <c r="D981" t="s">
        <v>2039</v>
      </c>
    </row>
    <row r="982" spans="1:4" x14ac:dyDescent="0.3">
      <c r="A982" t="s">
        <v>326</v>
      </c>
      <c r="B982" t="s">
        <v>2002</v>
      </c>
      <c r="C982" t="s">
        <v>2040</v>
      </c>
      <c r="D982" t="s">
        <v>2041</v>
      </c>
    </row>
    <row r="983" spans="1:4" x14ac:dyDescent="0.3">
      <c r="A983" t="s">
        <v>326</v>
      </c>
      <c r="B983" t="s">
        <v>2002</v>
      </c>
      <c r="C983" t="s">
        <v>2042</v>
      </c>
      <c r="D983" t="s">
        <v>2043</v>
      </c>
    </row>
    <row r="984" spans="1:4" x14ac:dyDescent="0.3">
      <c r="A984" t="s">
        <v>326</v>
      </c>
      <c r="B984" t="s">
        <v>2002</v>
      </c>
      <c r="C984" t="s">
        <v>2044</v>
      </c>
      <c r="D984" t="s">
        <v>2045</v>
      </c>
    </row>
    <row r="985" spans="1:4" x14ac:dyDescent="0.3">
      <c r="A985" t="s">
        <v>326</v>
      </c>
      <c r="B985" t="s">
        <v>2002</v>
      </c>
      <c r="C985" t="s">
        <v>2046</v>
      </c>
      <c r="D985" t="s">
        <v>2047</v>
      </c>
    </row>
    <row r="986" spans="1:4" x14ac:dyDescent="0.3">
      <c r="A986" t="s">
        <v>326</v>
      </c>
      <c r="B986" t="s">
        <v>2002</v>
      </c>
      <c r="C986" t="s">
        <v>2048</v>
      </c>
      <c r="D986" t="s">
        <v>2049</v>
      </c>
    </row>
    <row r="987" spans="1:4" x14ac:dyDescent="0.3">
      <c r="A987" t="s">
        <v>326</v>
      </c>
      <c r="B987" t="s">
        <v>2002</v>
      </c>
      <c r="C987" t="s">
        <v>2050</v>
      </c>
      <c r="D987" t="s">
        <v>2051</v>
      </c>
    </row>
    <row r="988" spans="1:4" x14ac:dyDescent="0.3">
      <c r="A988" t="s">
        <v>326</v>
      </c>
      <c r="B988" t="s">
        <v>2002</v>
      </c>
      <c r="C988" t="s">
        <v>2052</v>
      </c>
      <c r="D988" t="s">
        <v>2053</v>
      </c>
    </row>
    <row r="989" spans="1:4" x14ac:dyDescent="0.3">
      <c r="A989" t="s">
        <v>326</v>
      </c>
      <c r="B989" t="s">
        <v>2002</v>
      </c>
      <c r="C989" t="s">
        <v>2054</v>
      </c>
      <c r="D989" t="s">
        <v>2055</v>
      </c>
    </row>
    <row r="990" spans="1:4" x14ac:dyDescent="0.3">
      <c r="A990" t="s">
        <v>326</v>
      </c>
      <c r="B990" t="s">
        <v>2002</v>
      </c>
      <c r="C990" t="s">
        <v>2056</v>
      </c>
      <c r="D990" t="s">
        <v>2057</v>
      </c>
    </row>
    <row r="991" spans="1:4" x14ac:dyDescent="0.3">
      <c r="A991" t="s">
        <v>326</v>
      </c>
      <c r="B991" t="s">
        <v>2002</v>
      </c>
      <c r="C991" t="s">
        <v>2058</v>
      </c>
      <c r="D991" t="s">
        <v>2059</v>
      </c>
    </row>
    <row r="992" spans="1:4" x14ac:dyDescent="0.3">
      <c r="A992" t="s">
        <v>326</v>
      </c>
      <c r="B992" t="s">
        <v>2002</v>
      </c>
      <c r="C992" t="s">
        <v>2060</v>
      </c>
      <c r="D992" t="s">
        <v>2061</v>
      </c>
    </row>
    <row r="993" spans="1:4" x14ac:dyDescent="0.3">
      <c r="A993" t="s">
        <v>326</v>
      </c>
      <c r="B993" t="s">
        <v>2002</v>
      </c>
      <c r="C993" t="s">
        <v>2062</v>
      </c>
      <c r="D993" t="s">
        <v>2063</v>
      </c>
    </row>
    <row r="994" spans="1:4" x14ac:dyDescent="0.3">
      <c r="A994" t="s">
        <v>326</v>
      </c>
      <c r="B994" t="s">
        <v>2002</v>
      </c>
      <c r="C994" t="s">
        <v>2064</v>
      </c>
      <c r="D994" t="s">
        <v>2065</v>
      </c>
    </row>
    <row r="995" spans="1:4" x14ac:dyDescent="0.3">
      <c r="A995" t="s">
        <v>326</v>
      </c>
      <c r="B995" t="s">
        <v>2002</v>
      </c>
      <c r="C995" t="s">
        <v>2066</v>
      </c>
      <c r="D995" t="s">
        <v>2067</v>
      </c>
    </row>
    <row r="996" spans="1:4" x14ac:dyDescent="0.3">
      <c r="A996" t="s">
        <v>326</v>
      </c>
      <c r="B996" t="s">
        <v>2002</v>
      </c>
      <c r="C996" t="s">
        <v>2068</v>
      </c>
      <c r="D996" t="s">
        <v>2069</v>
      </c>
    </row>
    <row r="997" spans="1:4" x14ac:dyDescent="0.3">
      <c r="A997" t="s">
        <v>326</v>
      </c>
      <c r="B997" t="s">
        <v>2002</v>
      </c>
      <c r="C997" t="s">
        <v>2070</v>
      </c>
      <c r="D997" t="s">
        <v>2071</v>
      </c>
    </row>
    <row r="998" spans="1:4" x14ac:dyDescent="0.3">
      <c r="A998" t="s">
        <v>326</v>
      </c>
      <c r="B998" t="s">
        <v>2002</v>
      </c>
      <c r="C998" t="s">
        <v>2072</v>
      </c>
      <c r="D998" t="s">
        <v>2073</v>
      </c>
    </row>
    <row r="999" spans="1:4" x14ac:dyDescent="0.3">
      <c r="A999" t="s">
        <v>326</v>
      </c>
      <c r="B999" t="s">
        <v>2002</v>
      </c>
      <c r="C999" t="s">
        <v>2074</v>
      </c>
      <c r="D999" t="s">
        <v>2075</v>
      </c>
    </row>
    <row r="1000" spans="1:4" x14ac:dyDescent="0.3">
      <c r="A1000" t="s">
        <v>326</v>
      </c>
      <c r="B1000" t="s">
        <v>2002</v>
      </c>
      <c r="C1000" t="s">
        <v>2076</v>
      </c>
      <c r="D1000" t="s">
        <v>2077</v>
      </c>
    </row>
    <row r="1001" spans="1:4" x14ac:dyDescent="0.3">
      <c r="A1001" t="s">
        <v>326</v>
      </c>
      <c r="B1001" t="s">
        <v>2002</v>
      </c>
      <c r="C1001" t="s">
        <v>2078</v>
      </c>
      <c r="D1001" t="s">
        <v>2079</v>
      </c>
    </row>
    <row r="1002" spans="1:4" x14ac:dyDescent="0.3">
      <c r="A1002" t="s">
        <v>326</v>
      </c>
      <c r="B1002" t="s">
        <v>2002</v>
      </c>
      <c r="C1002" t="s">
        <v>2080</v>
      </c>
      <c r="D1002" t="s">
        <v>2081</v>
      </c>
    </row>
    <row r="1003" spans="1:4" x14ac:dyDescent="0.3">
      <c r="A1003" t="s">
        <v>326</v>
      </c>
      <c r="B1003" t="s">
        <v>2002</v>
      </c>
      <c r="C1003" t="s">
        <v>2082</v>
      </c>
      <c r="D1003" t="s">
        <v>2083</v>
      </c>
    </row>
    <row r="1004" spans="1:4" x14ac:dyDescent="0.3">
      <c r="A1004" t="s">
        <v>326</v>
      </c>
      <c r="B1004" t="s">
        <v>2002</v>
      </c>
      <c r="C1004" t="s">
        <v>2084</v>
      </c>
      <c r="D1004" t="s">
        <v>2085</v>
      </c>
    </row>
    <row r="1005" spans="1:4" x14ac:dyDescent="0.3">
      <c r="A1005" t="s">
        <v>326</v>
      </c>
      <c r="B1005" t="s">
        <v>2002</v>
      </c>
      <c r="C1005" t="s">
        <v>2086</v>
      </c>
      <c r="D1005" t="s">
        <v>2087</v>
      </c>
    </row>
    <row r="1006" spans="1:4" x14ac:dyDescent="0.3">
      <c r="A1006" t="s">
        <v>326</v>
      </c>
      <c r="B1006" t="s">
        <v>2002</v>
      </c>
      <c r="C1006" t="s">
        <v>2088</v>
      </c>
      <c r="D1006" t="s">
        <v>2089</v>
      </c>
    </row>
    <row r="1007" spans="1:4" x14ac:dyDescent="0.3">
      <c r="A1007" t="s">
        <v>326</v>
      </c>
      <c r="B1007" t="s">
        <v>2002</v>
      </c>
      <c r="C1007" t="s">
        <v>2090</v>
      </c>
      <c r="D1007" t="s">
        <v>2091</v>
      </c>
    </row>
    <row r="1008" spans="1:4" x14ac:dyDescent="0.3">
      <c r="A1008" t="s">
        <v>326</v>
      </c>
      <c r="B1008" t="s">
        <v>2002</v>
      </c>
      <c r="C1008" t="s">
        <v>2092</v>
      </c>
      <c r="D1008" t="s">
        <v>2093</v>
      </c>
    </row>
    <row r="1009" spans="1:4" x14ac:dyDescent="0.3">
      <c r="A1009" t="s">
        <v>326</v>
      </c>
      <c r="B1009" t="s">
        <v>2002</v>
      </c>
      <c r="C1009" t="s">
        <v>2094</v>
      </c>
      <c r="D1009" t="s">
        <v>2095</v>
      </c>
    </row>
    <row r="1010" spans="1:4" x14ac:dyDescent="0.3">
      <c r="A1010" t="s">
        <v>326</v>
      </c>
      <c r="B1010" t="s">
        <v>2002</v>
      </c>
      <c r="C1010" t="s">
        <v>2096</v>
      </c>
      <c r="D1010" t="s">
        <v>2097</v>
      </c>
    </row>
    <row r="1011" spans="1:4" x14ac:dyDescent="0.3">
      <c r="A1011" t="s">
        <v>2098</v>
      </c>
      <c r="B1011" t="s">
        <v>2099</v>
      </c>
      <c r="C1011" t="s">
        <v>2100</v>
      </c>
      <c r="D1011" t="s">
        <v>2101</v>
      </c>
    </row>
    <row r="1012" spans="1:4" x14ac:dyDescent="0.3">
      <c r="A1012" t="s">
        <v>2098</v>
      </c>
      <c r="B1012" t="s">
        <v>2099</v>
      </c>
      <c r="C1012" t="s">
        <v>2102</v>
      </c>
      <c r="D1012" t="s">
        <v>1973</v>
      </c>
    </row>
    <row r="1013" spans="1:4" x14ac:dyDescent="0.3">
      <c r="A1013" t="s">
        <v>2098</v>
      </c>
      <c r="B1013" t="s">
        <v>2099</v>
      </c>
      <c r="C1013" t="s">
        <v>2103</v>
      </c>
      <c r="D1013" t="s">
        <v>2104</v>
      </c>
    </row>
    <row r="1014" spans="1:4" x14ac:dyDescent="0.3">
      <c r="A1014" t="s">
        <v>2098</v>
      </c>
      <c r="B1014" t="s">
        <v>2099</v>
      </c>
      <c r="C1014" t="s">
        <v>2105</v>
      </c>
      <c r="D1014" t="s">
        <v>1987</v>
      </c>
    </row>
    <row r="1015" spans="1:4" x14ac:dyDescent="0.3">
      <c r="A1015" t="s">
        <v>2098</v>
      </c>
      <c r="B1015" t="s">
        <v>2099</v>
      </c>
      <c r="C1015" t="s">
        <v>2106</v>
      </c>
      <c r="D1015" t="s">
        <v>2107</v>
      </c>
    </row>
    <row r="1016" spans="1:4" x14ac:dyDescent="0.3">
      <c r="A1016" t="s">
        <v>2098</v>
      </c>
      <c r="B1016" t="s">
        <v>2099</v>
      </c>
      <c r="C1016" t="s">
        <v>2108</v>
      </c>
      <c r="D1016" t="s">
        <v>2109</v>
      </c>
    </row>
    <row r="1017" spans="1:4" x14ac:dyDescent="0.3">
      <c r="A1017" t="s">
        <v>2098</v>
      </c>
      <c r="B1017" t="s">
        <v>2099</v>
      </c>
      <c r="C1017" t="s">
        <v>2110</v>
      </c>
      <c r="D1017" t="s">
        <v>2111</v>
      </c>
    </row>
    <row r="1018" spans="1:4" x14ac:dyDescent="0.3">
      <c r="A1018" t="s">
        <v>2098</v>
      </c>
      <c r="B1018" t="s">
        <v>2099</v>
      </c>
      <c r="C1018" t="s">
        <v>2112</v>
      </c>
      <c r="D1018" t="s">
        <v>2113</v>
      </c>
    </row>
    <row r="1019" spans="1:4" x14ac:dyDescent="0.3">
      <c r="A1019" t="s">
        <v>2098</v>
      </c>
      <c r="B1019" t="s">
        <v>2099</v>
      </c>
      <c r="C1019" t="s">
        <v>2114</v>
      </c>
      <c r="D1019" t="s">
        <v>2115</v>
      </c>
    </row>
    <row r="1020" spans="1:4" x14ac:dyDescent="0.3">
      <c r="A1020" t="s">
        <v>2098</v>
      </c>
      <c r="B1020" t="s">
        <v>2099</v>
      </c>
      <c r="C1020" t="s">
        <v>2116</v>
      </c>
      <c r="D1020" t="s">
        <v>2117</v>
      </c>
    </row>
    <row r="1021" spans="1:4" x14ac:dyDescent="0.3">
      <c r="A1021" t="s">
        <v>2098</v>
      </c>
      <c r="B1021" t="s">
        <v>2099</v>
      </c>
      <c r="C1021" t="s">
        <v>2118</v>
      </c>
      <c r="D1021" t="s">
        <v>2119</v>
      </c>
    </row>
    <row r="1022" spans="1:4" x14ac:dyDescent="0.3">
      <c r="A1022" t="s">
        <v>2120</v>
      </c>
      <c r="B1022" t="s">
        <v>2121</v>
      </c>
      <c r="C1022" t="s">
        <v>2122</v>
      </c>
      <c r="D1022" t="s">
        <v>2123</v>
      </c>
    </row>
    <row r="1023" spans="1:4" x14ac:dyDescent="0.3">
      <c r="A1023" t="s">
        <v>2120</v>
      </c>
      <c r="B1023" t="s">
        <v>2121</v>
      </c>
      <c r="C1023" t="s">
        <v>2124</v>
      </c>
      <c r="D1023" t="s">
        <v>2125</v>
      </c>
    </row>
    <row r="1024" spans="1:4" x14ac:dyDescent="0.3">
      <c r="A1024" t="s">
        <v>2120</v>
      </c>
      <c r="B1024" t="s">
        <v>2121</v>
      </c>
      <c r="C1024" t="s">
        <v>2126</v>
      </c>
      <c r="D1024" t="s">
        <v>2127</v>
      </c>
    </row>
    <row r="1025" spans="1:4" x14ac:dyDescent="0.3">
      <c r="A1025" t="s">
        <v>2120</v>
      </c>
      <c r="B1025" t="s">
        <v>2121</v>
      </c>
      <c r="C1025" t="s">
        <v>2128</v>
      </c>
      <c r="D1025" t="s">
        <v>2129</v>
      </c>
    </row>
    <row r="1026" spans="1:4" x14ac:dyDescent="0.3">
      <c r="A1026" t="s">
        <v>2120</v>
      </c>
      <c r="B1026" t="s">
        <v>2121</v>
      </c>
      <c r="C1026" t="s">
        <v>2130</v>
      </c>
      <c r="D1026" t="s">
        <v>2131</v>
      </c>
    </row>
    <row r="1027" spans="1:4" x14ac:dyDescent="0.3">
      <c r="A1027" t="s">
        <v>2120</v>
      </c>
      <c r="B1027" t="s">
        <v>2121</v>
      </c>
      <c r="C1027" t="s">
        <v>2132</v>
      </c>
      <c r="D1027" t="s">
        <v>2133</v>
      </c>
    </row>
    <row r="1028" spans="1:4" x14ac:dyDescent="0.3">
      <c r="A1028" t="s">
        <v>2120</v>
      </c>
      <c r="B1028" t="s">
        <v>2121</v>
      </c>
      <c r="C1028" t="s">
        <v>2134</v>
      </c>
      <c r="D1028" t="s">
        <v>2135</v>
      </c>
    </row>
    <row r="1029" spans="1:4" x14ac:dyDescent="0.3">
      <c r="A1029" t="s">
        <v>2120</v>
      </c>
      <c r="B1029" t="s">
        <v>2121</v>
      </c>
      <c r="C1029" t="s">
        <v>2136</v>
      </c>
      <c r="D1029" t="s">
        <v>2137</v>
      </c>
    </row>
    <row r="1030" spans="1:4" x14ac:dyDescent="0.3">
      <c r="A1030" t="s">
        <v>2120</v>
      </c>
      <c r="B1030" t="s">
        <v>2121</v>
      </c>
      <c r="C1030" t="s">
        <v>2138</v>
      </c>
      <c r="D1030" t="s">
        <v>2139</v>
      </c>
    </row>
    <row r="1031" spans="1:4" x14ac:dyDescent="0.3">
      <c r="A1031" t="s">
        <v>2120</v>
      </c>
      <c r="B1031" t="s">
        <v>2121</v>
      </c>
      <c r="C1031" t="s">
        <v>2140</v>
      </c>
      <c r="D1031" t="s">
        <v>2141</v>
      </c>
    </row>
    <row r="1032" spans="1:4" x14ac:dyDescent="0.3">
      <c r="A1032" t="s">
        <v>2120</v>
      </c>
      <c r="B1032" t="s">
        <v>2121</v>
      </c>
      <c r="C1032" t="s">
        <v>2142</v>
      </c>
      <c r="D1032" t="s">
        <v>2143</v>
      </c>
    </row>
    <row r="1033" spans="1:4" x14ac:dyDescent="0.3">
      <c r="A1033" t="s">
        <v>2120</v>
      </c>
      <c r="B1033" t="s">
        <v>2121</v>
      </c>
      <c r="C1033" t="s">
        <v>2144</v>
      </c>
      <c r="D1033" t="s">
        <v>2145</v>
      </c>
    </row>
    <row r="1034" spans="1:4" x14ac:dyDescent="0.3">
      <c r="A1034" t="s">
        <v>2120</v>
      </c>
      <c r="B1034" t="s">
        <v>2121</v>
      </c>
      <c r="C1034" t="s">
        <v>2146</v>
      </c>
      <c r="D1034" t="s">
        <v>2147</v>
      </c>
    </row>
    <row r="1035" spans="1:4" x14ac:dyDescent="0.3">
      <c r="A1035" t="s">
        <v>2120</v>
      </c>
      <c r="B1035" t="s">
        <v>2121</v>
      </c>
      <c r="C1035" t="s">
        <v>2148</v>
      </c>
      <c r="D1035" t="s">
        <v>2149</v>
      </c>
    </row>
    <row r="1036" spans="1:4" x14ac:dyDescent="0.3">
      <c r="A1036" t="s">
        <v>2120</v>
      </c>
      <c r="B1036" t="s">
        <v>2121</v>
      </c>
      <c r="C1036" t="s">
        <v>2150</v>
      </c>
      <c r="D1036" t="s">
        <v>2151</v>
      </c>
    </row>
    <row r="1037" spans="1:4" x14ac:dyDescent="0.3">
      <c r="A1037" t="s">
        <v>2120</v>
      </c>
      <c r="B1037" t="s">
        <v>2121</v>
      </c>
      <c r="C1037" t="s">
        <v>2152</v>
      </c>
      <c r="D1037" t="s">
        <v>2153</v>
      </c>
    </row>
    <row r="1038" spans="1:4" x14ac:dyDescent="0.3">
      <c r="A1038" t="s">
        <v>2120</v>
      </c>
      <c r="B1038" t="s">
        <v>2121</v>
      </c>
      <c r="C1038" t="s">
        <v>2154</v>
      </c>
      <c r="D1038" t="s">
        <v>2155</v>
      </c>
    </row>
    <row r="1039" spans="1:4" x14ac:dyDescent="0.3">
      <c r="A1039" t="s">
        <v>2120</v>
      </c>
      <c r="B1039" t="s">
        <v>2121</v>
      </c>
      <c r="C1039" t="s">
        <v>2156</v>
      </c>
      <c r="D1039" t="s">
        <v>2157</v>
      </c>
    </row>
    <row r="1040" spans="1:4" x14ac:dyDescent="0.3">
      <c r="A1040" t="s">
        <v>2120</v>
      </c>
      <c r="B1040" t="s">
        <v>2121</v>
      </c>
      <c r="C1040" t="s">
        <v>2158</v>
      </c>
      <c r="D1040" t="s">
        <v>2159</v>
      </c>
    </row>
    <row r="1041" spans="1:4" x14ac:dyDescent="0.3">
      <c r="A1041" t="s">
        <v>2120</v>
      </c>
      <c r="B1041" t="s">
        <v>2121</v>
      </c>
      <c r="C1041" t="s">
        <v>2160</v>
      </c>
      <c r="D1041" t="s">
        <v>2161</v>
      </c>
    </row>
    <row r="1042" spans="1:4" x14ac:dyDescent="0.3">
      <c r="A1042" t="s">
        <v>2120</v>
      </c>
      <c r="B1042" t="s">
        <v>2121</v>
      </c>
      <c r="C1042" t="s">
        <v>2162</v>
      </c>
      <c r="D1042" t="s">
        <v>2163</v>
      </c>
    </row>
    <row r="1043" spans="1:4" x14ac:dyDescent="0.3">
      <c r="A1043" t="s">
        <v>2120</v>
      </c>
      <c r="B1043" t="s">
        <v>2121</v>
      </c>
      <c r="C1043" t="s">
        <v>2164</v>
      </c>
      <c r="D1043" t="s">
        <v>2165</v>
      </c>
    </row>
    <row r="1044" spans="1:4" x14ac:dyDescent="0.3">
      <c r="A1044" t="s">
        <v>2120</v>
      </c>
      <c r="B1044" t="s">
        <v>2121</v>
      </c>
      <c r="C1044" t="s">
        <v>2166</v>
      </c>
      <c r="D1044" t="s">
        <v>2167</v>
      </c>
    </row>
    <row r="1045" spans="1:4" x14ac:dyDescent="0.3">
      <c r="A1045" t="s">
        <v>2120</v>
      </c>
      <c r="B1045" t="s">
        <v>2121</v>
      </c>
      <c r="C1045" t="s">
        <v>2168</v>
      </c>
      <c r="D1045" t="s">
        <v>2169</v>
      </c>
    </row>
    <row r="1046" spans="1:4" x14ac:dyDescent="0.3">
      <c r="A1046" t="s">
        <v>2120</v>
      </c>
      <c r="B1046" t="s">
        <v>2121</v>
      </c>
      <c r="C1046" t="s">
        <v>2170</v>
      </c>
      <c r="D1046" t="s">
        <v>2171</v>
      </c>
    </row>
    <row r="1047" spans="1:4" x14ac:dyDescent="0.3">
      <c r="A1047" t="s">
        <v>2120</v>
      </c>
      <c r="B1047" t="s">
        <v>2121</v>
      </c>
      <c r="C1047" t="s">
        <v>2172</v>
      </c>
      <c r="D1047" t="s">
        <v>2173</v>
      </c>
    </row>
    <row r="1048" spans="1:4" x14ac:dyDescent="0.3">
      <c r="A1048" t="s">
        <v>2120</v>
      </c>
      <c r="B1048" t="s">
        <v>2121</v>
      </c>
      <c r="C1048" t="s">
        <v>2174</v>
      </c>
      <c r="D1048" t="s">
        <v>1953</v>
      </c>
    </row>
    <row r="1049" spans="1:4" x14ac:dyDescent="0.3">
      <c r="A1049" t="s">
        <v>2175</v>
      </c>
      <c r="B1049" t="s">
        <v>2176</v>
      </c>
      <c r="C1049" t="s">
        <v>2177</v>
      </c>
      <c r="D1049" t="s">
        <v>2178</v>
      </c>
    </row>
    <row r="1050" spans="1:4" x14ac:dyDescent="0.3">
      <c r="A1050" t="s">
        <v>2175</v>
      </c>
      <c r="B1050" t="s">
        <v>2176</v>
      </c>
      <c r="C1050" t="s">
        <v>2179</v>
      </c>
      <c r="D1050" t="s">
        <v>2180</v>
      </c>
    </row>
    <row r="1051" spans="1:4" x14ac:dyDescent="0.3">
      <c r="A1051" t="s">
        <v>2175</v>
      </c>
      <c r="B1051" t="s">
        <v>2176</v>
      </c>
      <c r="C1051" t="s">
        <v>2181</v>
      </c>
      <c r="D1051" t="s">
        <v>2182</v>
      </c>
    </row>
    <row r="1052" spans="1:4" x14ac:dyDescent="0.3">
      <c r="A1052" t="s">
        <v>2175</v>
      </c>
      <c r="B1052" t="s">
        <v>2176</v>
      </c>
      <c r="C1052" t="s">
        <v>2183</v>
      </c>
      <c r="D1052" t="s">
        <v>2184</v>
      </c>
    </row>
    <row r="1053" spans="1:4" x14ac:dyDescent="0.3">
      <c r="A1053" t="s">
        <v>2175</v>
      </c>
      <c r="B1053" t="s">
        <v>2176</v>
      </c>
      <c r="C1053" t="s">
        <v>2185</v>
      </c>
      <c r="D1053" t="s">
        <v>2186</v>
      </c>
    </row>
    <row r="1054" spans="1:4" x14ac:dyDescent="0.3">
      <c r="A1054" t="s">
        <v>2175</v>
      </c>
      <c r="B1054" t="s">
        <v>2176</v>
      </c>
      <c r="C1054" t="s">
        <v>2187</v>
      </c>
      <c r="D1054" t="s">
        <v>2188</v>
      </c>
    </row>
    <row r="1055" spans="1:4" x14ac:dyDescent="0.3">
      <c r="A1055" t="s">
        <v>2175</v>
      </c>
      <c r="B1055" t="s">
        <v>2176</v>
      </c>
      <c r="C1055" t="s">
        <v>2189</v>
      </c>
      <c r="D1055" t="s">
        <v>2190</v>
      </c>
    </row>
    <row r="1056" spans="1:4" x14ac:dyDescent="0.3">
      <c r="A1056" t="s">
        <v>2175</v>
      </c>
      <c r="B1056" t="s">
        <v>2176</v>
      </c>
      <c r="C1056" t="s">
        <v>2191</v>
      </c>
      <c r="D1056" t="s">
        <v>2192</v>
      </c>
    </row>
    <row r="1057" spans="1:4" x14ac:dyDescent="0.3">
      <c r="A1057" t="s">
        <v>2175</v>
      </c>
      <c r="B1057" t="s">
        <v>2176</v>
      </c>
      <c r="C1057" t="s">
        <v>2193</v>
      </c>
      <c r="D1057" t="s">
        <v>2194</v>
      </c>
    </row>
    <row r="1058" spans="1:4" x14ac:dyDescent="0.3">
      <c r="A1058" t="s">
        <v>2175</v>
      </c>
      <c r="B1058" t="s">
        <v>2176</v>
      </c>
      <c r="C1058" t="s">
        <v>2195</v>
      </c>
      <c r="D1058" t="s">
        <v>2196</v>
      </c>
    </row>
    <row r="1059" spans="1:4" x14ac:dyDescent="0.3">
      <c r="A1059" t="s">
        <v>2175</v>
      </c>
      <c r="B1059" t="s">
        <v>2176</v>
      </c>
      <c r="C1059" t="s">
        <v>2197</v>
      </c>
      <c r="D1059" t="s">
        <v>2198</v>
      </c>
    </row>
    <row r="1060" spans="1:4" x14ac:dyDescent="0.3">
      <c r="A1060" t="s">
        <v>2175</v>
      </c>
      <c r="B1060" t="s">
        <v>2176</v>
      </c>
      <c r="C1060" t="s">
        <v>2199</v>
      </c>
      <c r="D1060" t="s">
        <v>2200</v>
      </c>
    </row>
    <row r="1061" spans="1:4" x14ac:dyDescent="0.3">
      <c r="A1061" t="s">
        <v>2175</v>
      </c>
      <c r="B1061" t="s">
        <v>2176</v>
      </c>
      <c r="C1061" t="s">
        <v>2201</v>
      </c>
      <c r="D1061" t="s">
        <v>2202</v>
      </c>
    </row>
    <row r="1062" spans="1:4" x14ac:dyDescent="0.3">
      <c r="A1062" t="s">
        <v>2203</v>
      </c>
      <c r="B1062" t="s">
        <v>2204</v>
      </c>
      <c r="C1062" t="s">
        <v>2205</v>
      </c>
      <c r="D1062" t="s">
        <v>2206</v>
      </c>
    </row>
    <row r="1063" spans="1:4" x14ac:dyDescent="0.3">
      <c r="A1063" t="s">
        <v>2203</v>
      </c>
      <c r="B1063" t="s">
        <v>2204</v>
      </c>
      <c r="C1063" t="s">
        <v>2207</v>
      </c>
      <c r="D1063" t="s">
        <v>2208</v>
      </c>
    </row>
    <row r="1064" spans="1:4" x14ac:dyDescent="0.3">
      <c r="A1064" t="s">
        <v>2203</v>
      </c>
      <c r="B1064" t="s">
        <v>2204</v>
      </c>
      <c r="C1064" t="s">
        <v>2209</v>
      </c>
      <c r="D1064" t="s">
        <v>2210</v>
      </c>
    </row>
    <row r="1065" spans="1:4" x14ac:dyDescent="0.3">
      <c r="A1065" t="s">
        <v>2203</v>
      </c>
      <c r="B1065" t="s">
        <v>2204</v>
      </c>
      <c r="C1065" t="s">
        <v>2211</v>
      </c>
      <c r="D1065" t="s">
        <v>2212</v>
      </c>
    </row>
    <row r="1066" spans="1:4" x14ac:dyDescent="0.3">
      <c r="A1066" t="s">
        <v>2203</v>
      </c>
      <c r="B1066" t="s">
        <v>2204</v>
      </c>
      <c r="C1066" t="s">
        <v>2213</v>
      </c>
      <c r="D1066" t="s">
        <v>2214</v>
      </c>
    </row>
    <row r="1067" spans="1:4" x14ac:dyDescent="0.3">
      <c r="A1067" t="s">
        <v>2203</v>
      </c>
      <c r="B1067" t="s">
        <v>2204</v>
      </c>
      <c r="C1067" t="s">
        <v>2215</v>
      </c>
      <c r="D1067" t="s">
        <v>2216</v>
      </c>
    </row>
    <row r="1068" spans="1:4" x14ac:dyDescent="0.3">
      <c r="A1068" t="s">
        <v>2203</v>
      </c>
      <c r="B1068" t="s">
        <v>2204</v>
      </c>
      <c r="C1068" t="s">
        <v>2217</v>
      </c>
      <c r="D1068" t="s">
        <v>2218</v>
      </c>
    </row>
    <row r="1069" spans="1:4" x14ac:dyDescent="0.3">
      <c r="A1069" t="s">
        <v>2203</v>
      </c>
      <c r="B1069" t="s">
        <v>2204</v>
      </c>
      <c r="C1069" t="s">
        <v>2219</v>
      </c>
      <c r="D1069" t="s">
        <v>2220</v>
      </c>
    </row>
    <row r="1070" spans="1:4" x14ac:dyDescent="0.3">
      <c r="A1070" t="s">
        <v>2203</v>
      </c>
      <c r="B1070" t="s">
        <v>2204</v>
      </c>
      <c r="C1070" t="s">
        <v>2221</v>
      </c>
      <c r="D1070" t="s">
        <v>2222</v>
      </c>
    </row>
    <row r="1071" spans="1:4" x14ac:dyDescent="0.3">
      <c r="A1071" t="s">
        <v>2203</v>
      </c>
      <c r="B1071" t="s">
        <v>2204</v>
      </c>
      <c r="C1071" t="s">
        <v>2223</v>
      </c>
      <c r="D1071" t="s">
        <v>2224</v>
      </c>
    </row>
    <row r="1072" spans="1:4" x14ac:dyDescent="0.3">
      <c r="A1072" t="s">
        <v>2203</v>
      </c>
      <c r="B1072" t="s">
        <v>2204</v>
      </c>
      <c r="C1072" t="s">
        <v>2225</v>
      </c>
      <c r="D1072" t="s">
        <v>2226</v>
      </c>
    </row>
    <row r="1073" spans="1:4" x14ac:dyDescent="0.3">
      <c r="A1073" t="s">
        <v>2203</v>
      </c>
      <c r="B1073" t="s">
        <v>2204</v>
      </c>
      <c r="C1073" t="s">
        <v>2227</v>
      </c>
      <c r="D1073" t="s">
        <v>2228</v>
      </c>
    </row>
    <row r="1074" spans="1:4" x14ac:dyDescent="0.3">
      <c r="A1074" t="s">
        <v>2203</v>
      </c>
      <c r="B1074" t="s">
        <v>2204</v>
      </c>
      <c r="C1074" t="s">
        <v>2229</v>
      </c>
      <c r="D1074" t="s">
        <v>2230</v>
      </c>
    </row>
    <row r="1075" spans="1:4" x14ac:dyDescent="0.3">
      <c r="A1075" t="s">
        <v>2203</v>
      </c>
      <c r="B1075" t="s">
        <v>2204</v>
      </c>
      <c r="C1075" t="s">
        <v>2231</v>
      </c>
      <c r="D1075" t="s">
        <v>2232</v>
      </c>
    </row>
    <row r="1076" spans="1:4" x14ac:dyDescent="0.3">
      <c r="A1076" t="s">
        <v>2203</v>
      </c>
      <c r="B1076" t="s">
        <v>2204</v>
      </c>
      <c r="C1076" t="s">
        <v>2233</v>
      </c>
      <c r="D1076" t="s">
        <v>2234</v>
      </c>
    </row>
    <row r="1077" spans="1:4" x14ac:dyDescent="0.3">
      <c r="A1077" t="s">
        <v>2203</v>
      </c>
      <c r="B1077" t="s">
        <v>2204</v>
      </c>
      <c r="C1077" t="s">
        <v>2235</v>
      </c>
      <c r="D1077" t="s">
        <v>2236</v>
      </c>
    </row>
    <row r="1078" spans="1:4" x14ac:dyDescent="0.3">
      <c r="A1078" t="s">
        <v>2237</v>
      </c>
      <c r="B1078" t="s">
        <v>2238</v>
      </c>
      <c r="C1078" t="s">
        <v>2239</v>
      </c>
      <c r="D1078" t="s">
        <v>2240</v>
      </c>
    </row>
    <row r="1079" spans="1:4" x14ac:dyDescent="0.3">
      <c r="A1079" t="s">
        <v>2237</v>
      </c>
      <c r="B1079" t="s">
        <v>2238</v>
      </c>
      <c r="C1079" t="s">
        <v>2241</v>
      </c>
      <c r="D1079" t="s">
        <v>2242</v>
      </c>
    </row>
    <row r="1080" spans="1:4" x14ac:dyDescent="0.3">
      <c r="A1080" t="s">
        <v>2237</v>
      </c>
      <c r="B1080" t="s">
        <v>2238</v>
      </c>
      <c r="C1080" t="s">
        <v>2243</v>
      </c>
      <c r="D1080" t="s">
        <v>2244</v>
      </c>
    </row>
    <row r="1081" spans="1:4" x14ac:dyDescent="0.3">
      <c r="A1081" t="s">
        <v>2237</v>
      </c>
      <c r="B1081" t="s">
        <v>2238</v>
      </c>
      <c r="C1081" t="s">
        <v>2245</v>
      </c>
      <c r="D1081" t="s">
        <v>2246</v>
      </c>
    </row>
    <row r="1082" spans="1:4" x14ac:dyDescent="0.3">
      <c r="A1082" t="s">
        <v>2237</v>
      </c>
      <c r="B1082" t="s">
        <v>2238</v>
      </c>
      <c r="C1082" t="s">
        <v>2247</v>
      </c>
      <c r="D1082" t="s">
        <v>2248</v>
      </c>
    </row>
    <row r="1083" spans="1:4" x14ac:dyDescent="0.3">
      <c r="A1083" t="s">
        <v>2237</v>
      </c>
      <c r="B1083" t="s">
        <v>2238</v>
      </c>
      <c r="C1083" t="s">
        <v>2249</v>
      </c>
      <c r="D1083" t="s">
        <v>2250</v>
      </c>
    </row>
    <row r="1084" spans="1:4" x14ac:dyDescent="0.3">
      <c r="A1084" t="s">
        <v>2237</v>
      </c>
      <c r="B1084" t="s">
        <v>2238</v>
      </c>
      <c r="C1084" t="s">
        <v>2251</v>
      </c>
      <c r="D1084" t="s">
        <v>2252</v>
      </c>
    </row>
    <row r="1085" spans="1:4" x14ac:dyDescent="0.3">
      <c r="A1085" t="s">
        <v>2237</v>
      </c>
      <c r="B1085" t="s">
        <v>2238</v>
      </c>
      <c r="C1085" t="s">
        <v>2253</v>
      </c>
      <c r="D1085" t="s">
        <v>2254</v>
      </c>
    </row>
    <row r="1086" spans="1:4" x14ac:dyDescent="0.3">
      <c r="A1086" t="s">
        <v>2237</v>
      </c>
      <c r="B1086" t="s">
        <v>2238</v>
      </c>
      <c r="C1086" t="s">
        <v>2255</v>
      </c>
      <c r="D1086" t="s">
        <v>2256</v>
      </c>
    </row>
    <row r="1087" spans="1:4" x14ac:dyDescent="0.3">
      <c r="A1087" t="s">
        <v>2237</v>
      </c>
      <c r="B1087" t="s">
        <v>2238</v>
      </c>
      <c r="C1087" t="s">
        <v>2257</v>
      </c>
      <c r="D1087" t="s">
        <v>2258</v>
      </c>
    </row>
    <row r="1088" spans="1:4" x14ac:dyDescent="0.3">
      <c r="A1088" t="s">
        <v>2237</v>
      </c>
      <c r="B1088" t="s">
        <v>2238</v>
      </c>
      <c r="C1088" t="s">
        <v>2259</v>
      </c>
      <c r="D1088" t="s">
        <v>2260</v>
      </c>
    </row>
    <row r="1089" spans="1:4" x14ac:dyDescent="0.3">
      <c r="A1089" t="s">
        <v>2237</v>
      </c>
      <c r="B1089" t="s">
        <v>2238</v>
      </c>
      <c r="C1089" t="s">
        <v>2261</v>
      </c>
      <c r="D1089" t="s">
        <v>2262</v>
      </c>
    </row>
    <row r="1090" spans="1:4" x14ac:dyDescent="0.3">
      <c r="A1090" t="s">
        <v>2237</v>
      </c>
      <c r="B1090" t="s">
        <v>2238</v>
      </c>
      <c r="C1090" t="s">
        <v>2263</v>
      </c>
      <c r="D1090" t="s">
        <v>2264</v>
      </c>
    </row>
    <row r="1091" spans="1:4" x14ac:dyDescent="0.3">
      <c r="A1091" t="s">
        <v>2237</v>
      </c>
      <c r="B1091" t="s">
        <v>2238</v>
      </c>
      <c r="C1091" t="s">
        <v>2265</v>
      </c>
      <c r="D1091" t="s">
        <v>2266</v>
      </c>
    </row>
    <row r="1092" spans="1:4" x14ac:dyDescent="0.3">
      <c r="A1092" t="s">
        <v>2237</v>
      </c>
      <c r="B1092" t="s">
        <v>2238</v>
      </c>
      <c r="C1092" t="s">
        <v>2267</v>
      </c>
      <c r="D1092" t="s">
        <v>2268</v>
      </c>
    </row>
    <row r="1093" spans="1:4" x14ac:dyDescent="0.3">
      <c r="A1093" t="s">
        <v>2237</v>
      </c>
      <c r="B1093" t="s">
        <v>2238</v>
      </c>
      <c r="C1093" t="s">
        <v>2269</v>
      </c>
      <c r="D1093" t="s">
        <v>2270</v>
      </c>
    </row>
    <row r="1094" spans="1:4" x14ac:dyDescent="0.3">
      <c r="A1094" t="s">
        <v>2237</v>
      </c>
      <c r="B1094" t="s">
        <v>2238</v>
      </c>
      <c r="C1094" t="s">
        <v>2271</v>
      </c>
      <c r="D1094" t="s">
        <v>2272</v>
      </c>
    </row>
    <row r="1095" spans="1:4" x14ac:dyDescent="0.3">
      <c r="A1095" t="s">
        <v>2237</v>
      </c>
      <c r="B1095" t="s">
        <v>2238</v>
      </c>
      <c r="C1095" t="s">
        <v>2273</v>
      </c>
      <c r="D1095" t="s">
        <v>2274</v>
      </c>
    </row>
    <row r="1096" spans="1:4" x14ac:dyDescent="0.3">
      <c r="A1096" t="s">
        <v>2237</v>
      </c>
      <c r="B1096" t="s">
        <v>2238</v>
      </c>
      <c r="C1096" t="s">
        <v>2275</v>
      </c>
      <c r="D1096" t="s">
        <v>2276</v>
      </c>
    </row>
    <row r="1097" spans="1:4" x14ac:dyDescent="0.3">
      <c r="A1097" t="s">
        <v>2237</v>
      </c>
      <c r="B1097" t="s">
        <v>2238</v>
      </c>
      <c r="C1097" t="s">
        <v>2277</v>
      </c>
      <c r="D1097" t="s">
        <v>2278</v>
      </c>
    </row>
    <row r="1098" spans="1:4" x14ac:dyDescent="0.3">
      <c r="A1098" t="s">
        <v>2237</v>
      </c>
      <c r="B1098" t="s">
        <v>2238</v>
      </c>
      <c r="C1098" t="s">
        <v>2279</v>
      </c>
      <c r="D1098" t="s">
        <v>2280</v>
      </c>
    </row>
    <row r="1099" spans="1:4" x14ac:dyDescent="0.3">
      <c r="A1099" t="s">
        <v>314</v>
      </c>
      <c r="B1099" t="s">
        <v>2281</v>
      </c>
      <c r="C1099" t="s">
        <v>2282</v>
      </c>
      <c r="D1099" t="s">
        <v>2283</v>
      </c>
    </row>
    <row r="1100" spans="1:4" x14ac:dyDescent="0.3">
      <c r="A1100" t="s">
        <v>314</v>
      </c>
      <c r="B1100" t="s">
        <v>2281</v>
      </c>
      <c r="C1100" t="s">
        <v>2284</v>
      </c>
      <c r="D1100" t="s">
        <v>2285</v>
      </c>
    </row>
    <row r="1101" spans="1:4" x14ac:dyDescent="0.3">
      <c r="A1101" t="s">
        <v>314</v>
      </c>
      <c r="B1101" t="s">
        <v>2281</v>
      </c>
      <c r="C1101" t="s">
        <v>2286</v>
      </c>
      <c r="D1101" t="s">
        <v>2287</v>
      </c>
    </row>
    <row r="1102" spans="1:4" x14ac:dyDescent="0.3">
      <c r="A1102" t="s">
        <v>314</v>
      </c>
      <c r="B1102" t="s">
        <v>2281</v>
      </c>
      <c r="C1102" t="s">
        <v>2288</v>
      </c>
      <c r="D1102" t="s">
        <v>2289</v>
      </c>
    </row>
    <row r="1103" spans="1:4" x14ac:dyDescent="0.3">
      <c r="A1103" t="s">
        <v>314</v>
      </c>
      <c r="B1103" t="s">
        <v>2281</v>
      </c>
      <c r="C1103" t="s">
        <v>2290</v>
      </c>
      <c r="D1103" t="s">
        <v>2291</v>
      </c>
    </row>
    <row r="1104" spans="1:4" x14ac:dyDescent="0.3">
      <c r="A1104" t="s">
        <v>314</v>
      </c>
      <c r="B1104" t="s">
        <v>2281</v>
      </c>
      <c r="C1104" t="s">
        <v>2292</v>
      </c>
      <c r="D1104" t="s">
        <v>2293</v>
      </c>
    </row>
    <row r="1105" spans="1:4" x14ac:dyDescent="0.3">
      <c r="A1105" t="s">
        <v>314</v>
      </c>
      <c r="B1105" t="s">
        <v>2281</v>
      </c>
      <c r="C1105" t="s">
        <v>2294</v>
      </c>
      <c r="D1105" t="s">
        <v>2295</v>
      </c>
    </row>
    <row r="1106" spans="1:4" x14ac:dyDescent="0.3">
      <c r="A1106" t="s">
        <v>314</v>
      </c>
      <c r="B1106" t="s">
        <v>2281</v>
      </c>
      <c r="C1106" t="s">
        <v>2296</v>
      </c>
      <c r="D1106" t="s">
        <v>2297</v>
      </c>
    </row>
    <row r="1107" spans="1:4" x14ac:dyDescent="0.3">
      <c r="A1107" t="s">
        <v>314</v>
      </c>
      <c r="B1107" t="s">
        <v>2281</v>
      </c>
      <c r="C1107" t="s">
        <v>2298</v>
      </c>
      <c r="D1107" t="s">
        <v>2299</v>
      </c>
    </row>
    <row r="1108" spans="1:4" x14ac:dyDescent="0.3">
      <c r="A1108" t="s">
        <v>314</v>
      </c>
      <c r="B1108" t="s">
        <v>2281</v>
      </c>
      <c r="C1108" t="s">
        <v>2300</v>
      </c>
      <c r="D1108" t="s">
        <v>2301</v>
      </c>
    </row>
    <row r="1109" spans="1:4" x14ac:dyDescent="0.3">
      <c r="A1109" t="s">
        <v>314</v>
      </c>
      <c r="B1109" t="s">
        <v>2281</v>
      </c>
      <c r="C1109" t="s">
        <v>2302</v>
      </c>
      <c r="D1109" t="s">
        <v>2303</v>
      </c>
    </row>
    <row r="1110" spans="1:4" x14ac:dyDescent="0.3">
      <c r="A1110" t="s">
        <v>314</v>
      </c>
      <c r="B1110" t="s">
        <v>2281</v>
      </c>
      <c r="C1110" t="s">
        <v>2304</v>
      </c>
      <c r="D1110" t="s">
        <v>2305</v>
      </c>
    </row>
    <row r="1111" spans="1:4" x14ac:dyDescent="0.3">
      <c r="A1111" t="s">
        <v>314</v>
      </c>
      <c r="B1111" t="s">
        <v>2281</v>
      </c>
      <c r="C1111" t="s">
        <v>2306</v>
      </c>
      <c r="D1111" t="s">
        <v>2307</v>
      </c>
    </row>
    <row r="1112" spans="1:4" x14ac:dyDescent="0.3">
      <c r="A1112" t="s">
        <v>314</v>
      </c>
      <c r="B1112" t="s">
        <v>2281</v>
      </c>
      <c r="C1112" t="s">
        <v>2308</v>
      </c>
      <c r="D1112" t="s">
        <v>2309</v>
      </c>
    </row>
    <row r="1113" spans="1:4" x14ac:dyDescent="0.3">
      <c r="A1113" t="s">
        <v>314</v>
      </c>
      <c r="B1113" t="s">
        <v>2281</v>
      </c>
      <c r="C1113" t="s">
        <v>2310</v>
      </c>
      <c r="D1113" t="s">
        <v>2311</v>
      </c>
    </row>
    <row r="1114" spans="1:4" x14ac:dyDescent="0.3">
      <c r="A1114" t="s">
        <v>314</v>
      </c>
      <c r="B1114" t="s">
        <v>2281</v>
      </c>
      <c r="C1114" t="s">
        <v>2312</v>
      </c>
      <c r="D1114" t="s">
        <v>2313</v>
      </c>
    </row>
    <row r="1115" spans="1:4" x14ac:dyDescent="0.3">
      <c r="A1115" t="s">
        <v>314</v>
      </c>
      <c r="B1115" t="s">
        <v>2281</v>
      </c>
      <c r="C1115" t="s">
        <v>2314</v>
      </c>
      <c r="D1115" t="s">
        <v>2315</v>
      </c>
    </row>
    <row r="1116" spans="1:4" x14ac:dyDescent="0.3">
      <c r="A1116" t="s">
        <v>314</v>
      </c>
      <c r="B1116" t="s">
        <v>2281</v>
      </c>
      <c r="C1116" t="s">
        <v>2316</v>
      </c>
      <c r="D1116" t="s">
        <v>2317</v>
      </c>
    </row>
    <row r="1117" spans="1:4" x14ac:dyDescent="0.3">
      <c r="A1117" t="s">
        <v>314</v>
      </c>
      <c r="B1117" t="s">
        <v>2281</v>
      </c>
      <c r="C1117" t="s">
        <v>2318</v>
      </c>
      <c r="D1117" t="s">
        <v>2319</v>
      </c>
    </row>
    <row r="1118" spans="1:4" x14ac:dyDescent="0.3">
      <c r="A1118" t="s">
        <v>314</v>
      </c>
      <c r="B1118" t="s">
        <v>2281</v>
      </c>
      <c r="C1118" t="s">
        <v>2320</v>
      </c>
      <c r="D1118" t="s">
        <v>2321</v>
      </c>
    </row>
    <row r="1119" spans="1:4" x14ac:dyDescent="0.3">
      <c r="A1119" t="s">
        <v>314</v>
      </c>
      <c r="B1119" t="s">
        <v>2281</v>
      </c>
      <c r="C1119" t="s">
        <v>2322</v>
      </c>
      <c r="D1119" t="s">
        <v>2323</v>
      </c>
    </row>
    <row r="1120" spans="1:4" x14ac:dyDescent="0.3">
      <c r="A1120" t="s">
        <v>314</v>
      </c>
      <c r="B1120" t="s">
        <v>2281</v>
      </c>
      <c r="C1120" t="s">
        <v>2324</v>
      </c>
      <c r="D1120" t="s">
        <v>2325</v>
      </c>
    </row>
    <row r="1121" spans="1:4" x14ac:dyDescent="0.3">
      <c r="A1121" t="s">
        <v>314</v>
      </c>
      <c r="B1121" t="s">
        <v>2281</v>
      </c>
      <c r="C1121" t="s">
        <v>2326</v>
      </c>
      <c r="D1121" t="s">
        <v>2327</v>
      </c>
    </row>
    <row r="1122" spans="1:4" x14ac:dyDescent="0.3">
      <c r="A1122" t="s">
        <v>314</v>
      </c>
      <c r="B1122" t="s">
        <v>2281</v>
      </c>
      <c r="C1122" t="s">
        <v>2328</v>
      </c>
      <c r="D1122" t="s">
        <v>2329</v>
      </c>
    </row>
    <row r="1123" spans="1:4" x14ac:dyDescent="0.3">
      <c r="A1123" t="s">
        <v>314</v>
      </c>
      <c r="B1123" t="s">
        <v>2281</v>
      </c>
      <c r="C1123" t="s">
        <v>2330</v>
      </c>
      <c r="D1123" t="s">
        <v>2331</v>
      </c>
    </row>
    <row r="1124" spans="1:4" x14ac:dyDescent="0.3">
      <c r="A1124" t="s">
        <v>314</v>
      </c>
      <c r="B1124" t="s">
        <v>2281</v>
      </c>
      <c r="C1124" t="s">
        <v>2332</v>
      </c>
      <c r="D1124" t="s">
        <v>2333</v>
      </c>
    </row>
    <row r="1125" spans="1:4" x14ac:dyDescent="0.3">
      <c r="A1125" t="s">
        <v>314</v>
      </c>
      <c r="B1125" t="s">
        <v>2281</v>
      </c>
      <c r="C1125" t="s">
        <v>2334</v>
      </c>
      <c r="D1125" t="s">
        <v>2335</v>
      </c>
    </row>
    <row r="1126" spans="1:4" x14ac:dyDescent="0.3">
      <c r="A1126" t="s">
        <v>314</v>
      </c>
      <c r="B1126" t="s">
        <v>2281</v>
      </c>
      <c r="C1126" t="s">
        <v>2336</v>
      </c>
      <c r="D1126" t="s">
        <v>2337</v>
      </c>
    </row>
    <row r="1127" spans="1:4" x14ac:dyDescent="0.3">
      <c r="A1127" t="s">
        <v>314</v>
      </c>
      <c r="B1127" t="s">
        <v>2281</v>
      </c>
      <c r="C1127" t="s">
        <v>2338</v>
      </c>
      <c r="D1127" t="s">
        <v>2339</v>
      </c>
    </row>
    <row r="1128" spans="1:4" x14ac:dyDescent="0.3">
      <c r="A1128" t="s">
        <v>314</v>
      </c>
      <c r="B1128" t="s">
        <v>2281</v>
      </c>
      <c r="C1128" t="s">
        <v>2340</v>
      </c>
      <c r="D1128" t="s">
        <v>2341</v>
      </c>
    </row>
    <row r="1129" spans="1:4" x14ac:dyDescent="0.3">
      <c r="A1129" t="s">
        <v>314</v>
      </c>
      <c r="B1129" t="s">
        <v>2281</v>
      </c>
      <c r="C1129" t="s">
        <v>2342</v>
      </c>
      <c r="D1129" t="s">
        <v>2343</v>
      </c>
    </row>
    <row r="1130" spans="1:4" x14ac:dyDescent="0.3">
      <c r="A1130" t="s">
        <v>314</v>
      </c>
      <c r="B1130" t="s">
        <v>2281</v>
      </c>
      <c r="C1130" t="s">
        <v>2344</v>
      </c>
      <c r="D1130" t="s">
        <v>2345</v>
      </c>
    </row>
    <row r="1131" spans="1:4" x14ac:dyDescent="0.3">
      <c r="A1131" t="s">
        <v>314</v>
      </c>
      <c r="B1131" t="s">
        <v>2281</v>
      </c>
      <c r="C1131" t="s">
        <v>2346</v>
      </c>
      <c r="D1131" t="s">
        <v>2347</v>
      </c>
    </row>
    <row r="1132" spans="1:4" x14ac:dyDescent="0.3">
      <c r="A1132" t="s">
        <v>314</v>
      </c>
      <c r="B1132" t="s">
        <v>2281</v>
      </c>
      <c r="C1132" t="s">
        <v>2348</v>
      </c>
      <c r="D1132" t="s">
        <v>2349</v>
      </c>
    </row>
    <row r="1133" spans="1:4" x14ac:dyDescent="0.3">
      <c r="A1133" t="s">
        <v>314</v>
      </c>
      <c r="B1133" t="s">
        <v>2281</v>
      </c>
      <c r="C1133" t="s">
        <v>2350</v>
      </c>
      <c r="D1133" t="s">
        <v>2351</v>
      </c>
    </row>
    <row r="1134" spans="1:4" x14ac:dyDescent="0.3">
      <c r="A1134" t="s">
        <v>314</v>
      </c>
      <c r="B1134" t="s">
        <v>2281</v>
      </c>
      <c r="C1134" t="s">
        <v>2352</v>
      </c>
      <c r="D1134" t="s">
        <v>2353</v>
      </c>
    </row>
    <row r="1135" spans="1:4" x14ac:dyDescent="0.3">
      <c r="A1135" t="s">
        <v>314</v>
      </c>
      <c r="B1135" t="s">
        <v>2281</v>
      </c>
      <c r="C1135" t="s">
        <v>2354</v>
      </c>
      <c r="D1135" t="s">
        <v>2355</v>
      </c>
    </row>
    <row r="1136" spans="1:4" x14ac:dyDescent="0.3">
      <c r="A1136" t="s">
        <v>314</v>
      </c>
      <c r="B1136" t="s">
        <v>2281</v>
      </c>
      <c r="C1136" t="s">
        <v>2356</v>
      </c>
      <c r="D1136" t="s">
        <v>1953</v>
      </c>
    </row>
    <row r="1137" spans="1:4" x14ac:dyDescent="0.3">
      <c r="A1137" t="s">
        <v>314</v>
      </c>
      <c r="B1137" t="s">
        <v>2281</v>
      </c>
      <c r="C1137" t="s">
        <v>2357</v>
      </c>
      <c r="D1137" t="s">
        <v>2358</v>
      </c>
    </row>
    <row r="1138" spans="1:4" x14ac:dyDescent="0.3">
      <c r="A1138" t="s">
        <v>314</v>
      </c>
      <c r="B1138" t="s">
        <v>2281</v>
      </c>
      <c r="C1138" t="s">
        <v>2359</v>
      </c>
      <c r="D1138" t="s">
        <v>2360</v>
      </c>
    </row>
    <row r="1139" spans="1:4" x14ac:dyDescent="0.3">
      <c r="A1139" t="s">
        <v>314</v>
      </c>
      <c r="B1139" t="s">
        <v>2281</v>
      </c>
      <c r="C1139" t="s">
        <v>2361</v>
      </c>
      <c r="D1139" t="s">
        <v>2362</v>
      </c>
    </row>
    <row r="1140" spans="1:4" x14ac:dyDescent="0.3">
      <c r="A1140" t="s">
        <v>2363</v>
      </c>
      <c r="B1140" t="s">
        <v>2364</v>
      </c>
      <c r="C1140" t="s">
        <v>2365</v>
      </c>
      <c r="D1140" t="s">
        <v>2366</v>
      </c>
    </row>
    <row r="1141" spans="1:4" x14ac:dyDescent="0.3">
      <c r="A1141" t="s">
        <v>2363</v>
      </c>
      <c r="B1141" t="s">
        <v>2364</v>
      </c>
      <c r="C1141" t="s">
        <v>2120</v>
      </c>
      <c r="D1141" t="s">
        <v>2367</v>
      </c>
    </row>
    <row r="1142" spans="1:4" x14ac:dyDescent="0.3">
      <c r="A1142" t="s">
        <v>2363</v>
      </c>
      <c r="B1142" t="s">
        <v>2364</v>
      </c>
      <c r="C1142" t="s">
        <v>2368</v>
      </c>
      <c r="D1142" t="s">
        <v>2369</v>
      </c>
    </row>
    <row r="1143" spans="1:4" x14ac:dyDescent="0.3">
      <c r="A1143" t="s">
        <v>2363</v>
      </c>
      <c r="B1143" t="s">
        <v>2364</v>
      </c>
      <c r="C1143" t="s">
        <v>2370</v>
      </c>
      <c r="D1143" t="s">
        <v>2371</v>
      </c>
    </row>
    <row r="1144" spans="1:4" x14ac:dyDescent="0.3">
      <c r="A1144" t="s">
        <v>2363</v>
      </c>
      <c r="B1144" t="s">
        <v>2364</v>
      </c>
      <c r="C1144" t="s">
        <v>2372</v>
      </c>
      <c r="D1144" t="s">
        <v>2373</v>
      </c>
    </row>
    <row r="1145" spans="1:4" x14ac:dyDescent="0.3">
      <c r="A1145" t="s">
        <v>2363</v>
      </c>
      <c r="B1145" t="s">
        <v>2364</v>
      </c>
      <c r="C1145" t="s">
        <v>2374</v>
      </c>
      <c r="D1145" t="s">
        <v>2375</v>
      </c>
    </row>
    <row r="1146" spans="1:4" x14ac:dyDescent="0.3">
      <c r="A1146" t="s">
        <v>2363</v>
      </c>
      <c r="B1146" t="s">
        <v>2364</v>
      </c>
      <c r="C1146" t="s">
        <v>2376</v>
      </c>
      <c r="D1146" t="s">
        <v>2377</v>
      </c>
    </row>
    <row r="1147" spans="1:4" x14ac:dyDescent="0.3">
      <c r="A1147" t="s">
        <v>2363</v>
      </c>
      <c r="B1147" t="s">
        <v>2364</v>
      </c>
      <c r="C1147" t="s">
        <v>2378</v>
      </c>
      <c r="D1147" t="s">
        <v>2379</v>
      </c>
    </row>
    <row r="1148" spans="1:4" x14ac:dyDescent="0.3">
      <c r="A1148" t="s">
        <v>2363</v>
      </c>
      <c r="B1148" t="s">
        <v>2364</v>
      </c>
      <c r="C1148" t="s">
        <v>2380</v>
      </c>
      <c r="D1148" t="s">
        <v>2381</v>
      </c>
    </row>
    <row r="1149" spans="1:4" x14ac:dyDescent="0.3">
      <c r="A1149" t="s">
        <v>2363</v>
      </c>
      <c r="B1149" t="s">
        <v>2364</v>
      </c>
      <c r="C1149" t="s">
        <v>2382</v>
      </c>
      <c r="D1149" t="s">
        <v>1468</v>
      </c>
    </row>
    <row r="1150" spans="1:4" x14ac:dyDescent="0.3">
      <c r="A1150" t="s">
        <v>2363</v>
      </c>
      <c r="B1150" t="s">
        <v>2364</v>
      </c>
      <c r="C1150" t="s">
        <v>2383</v>
      </c>
      <c r="D1150" t="s">
        <v>2111</v>
      </c>
    </row>
    <row r="1151" spans="1:4" x14ac:dyDescent="0.3">
      <c r="A1151" t="s">
        <v>2363</v>
      </c>
      <c r="B1151" t="s">
        <v>2364</v>
      </c>
      <c r="C1151" t="s">
        <v>2384</v>
      </c>
      <c r="D1151" t="s">
        <v>2385</v>
      </c>
    </row>
    <row r="1152" spans="1:4" x14ac:dyDescent="0.3">
      <c r="A1152" t="s">
        <v>2363</v>
      </c>
      <c r="B1152" t="s">
        <v>2364</v>
      </c>
      <c r="C1152" t="s">
        <v>2386</v>
      </c>
      <c r="D1152" t="s">
        <v>2387</v>
      </c>
    </row>
    <row r="1153" spans="1:4" x14ac:dyDescent="0.3">
      <c r="A1153" t="s">
        <v>2363</v>
      </c>
      <c r="B1153" t="s">
        <v>2364</v>
      </c>
      <c r="C1153" t="s">
        <v>2388</v>
      </c>
      <c r="D1153" t="s">
        <v>2389</v>
      </c>
    </row>
    <row r="1154" spans="1:4" x14ac:dyDescent="0.3">
      <c r="A1154" t="s">
        <v>2390</v>
      </c>
      <c r="B1154" t="s">
        <v>2391</v>
      </c>
      <c r="C1154" t="s">
        <v>2392</v>
      </c>
      <c r="D1154" t="s">
        <v>2393</v>
      </c>
    </row>
    <row r="1155" spans="1:4" x14ac:dyDescent="0.3">
      <c r="A1155" t="s">
        <v>2390</v>
      </c>
      <c r="B1155" t="s">
        <v>2391</v>
      </c>
      <c r="C1155" t="s">
        <v>2394</v>
      </c>
      <c r="D1155" t="s">
        <v>2395</v>
      </c>
    </row>
    <row r="1156" spans="1:4" x14ac:dyDescent="0.3">
      <c r="A1156" t="s">
        <v>2390</v>
      </c>
      <c r="B1156" t="s">
        <v>2391</v>
      </c>
      <c r="C1156" t="s">
        <v>2396</v>
      </c>
      <c r="D1156" t="s">
        <v>2397</v>
      </c>
    </row>
    <row r="1157" spans="1:4" x14ac:dyDescent="0.3">
      <c r="A1157" t="s">
        <v>2390</v>
      </c>
      <c r="B1157" t="s">
        <v>2391</v>
      </c>
      <c r="C1157" t="s">
        <v>2398</v>
      </c>
      <c r="D1157" t="s">
        <v>2399</v>
      </c>
    </row>
    <row r="1158" spans="1:4" x14ac:dyDescent="0.3">
      <c r="A1158" t="s">
        <v>2390</v>
      </c>
      <c r="B1158" t="s">
        <v>2391</v>
      </c>
      <c r="C1158" t="s">
        <v>2400</v>
      </c>
      <c r="D1158" t="s">
        <v>2401</v>
      </c>
    </row>
    <row r="1159" spans="1:4" x14ac:dyDescent="0.3">
      <c r="A1159" t="s">
        <v>2390</v>
      </c>
      <c r="B1159" t="s">
        <v>2391</v>
      </c>
      <c r="C1159" t="s">
        <v>2402</v>
      </c>
      <c r="D1159" t="s">
        <v>2403</v>
      </c>
    </row>
    <row r="1160" spans="1:4" x14ac:dyDescent="0.3">
      <c r="A1160" t="s">
        <v>2390</v>
      </c>
      <c r="B1160" t="s">
        <v>2391</v>
      </c>
      <c r="C1160" t="s">
        <v>2404</v>
      </c>
      <c r="D1160" t="s">
        <v>2405</v>
      </c>
    </row>
    <row r="1161" spans="1:4" x14ac:dyDescent="0.3">
      <c r="A1161" t="s">
        <v>2390</v>
      </c>
      <c r="B1161" t="s">
        <v>2391</v>
      </c>
      <c r="C1161" t="s">
        <v>2406</v>
      </c>
      <c r="D1161" t="s">
        <v>2407</v>
      </c>
    </row>
    <row r="1162" spans="1:4" x14ac:dyDescent="0.3">
      <c r="A1162" t="s">
        <v>2390</v>
      </c>
      <c r="B1162" t="s">
        <v>2391</v>
      </c>
      <c r="C1162" t="s">
        <v>2408</v>
      </c>
      <c r="D1162" t="s">
        <v>2409</v>
      </c>
    </row>
    <row r="1163" spans="1:4" x14ac:dyDescent="0.3">
      <c r="A1163" t="s">
        <v>2390</v>
      </c>
      <c r="B1163" t="s">
        <v>2391</v>
      </c>
      <c r="C1163" t="s">
        <v>2410</v>
      </c>
      <c r="D1163" t="s">
        <v>2411</v>
      </c>
    </row>
    <row r="1164" spans="1:4" x14ac:dyDescent="0.3">
      <c r="A1164" t="s">
        <v>2390</v>
      </c>
      <c r="B1164" t="s">
        <v>2391</v>
      </c>
      <c r="C1164" t="s">
        <v>2412</v>
      </c>
      <c r="D1164" t="s">
        <v>2413</v>
      </c>
    </row>
    <row r="1165" spans="1:4" x14ac:dyDescent="0.3">
      <c r="A1165" t="s">
        <v>2390</v>
      </c>
      <c r="B1165" t="s">
        <v>2391</v>
      </c>
      <c r="C1165" t="s">
        <v>2414</v>
      </c>
      <c r="D1165" t="s">
        <v>2415</v>
      </c>
    </row>
    <row r="1166" spans="1:4" x14ac:dyDescent="0.3">
      <c r="A1166" t="s">
        <v>2390</v>
      </c>
      <c r="B1166" t="s">
        <v>2391</v>
      </c>
      <c r="C1166" t="s">
        <v>2416</v>
      </c>
      <c r="D1166" t="s">
        <v>2417</v>
      </c>
    </row>
    <row r="1167" spans="1:4" x14ac:dyDescent="0.3">
      <c r="A1167" t="s">
        <v>2390</v>
      </c>
      <c r="B1167" t="s">
        <v>2391</v>
      </c>
      <c r="C1167" t="s">
        <v>2418</v>
      </c>
      <c r="D1167" t="s">
        <v>2419</v>
      </c>
    </row>
    <row r="1168" spans="1:4" x14ac:dyDescent="0.3">
      <c r="A1168" t="s">
        <v>2390</v>
      </c>
      <c r="B1168" t="s">
        <v>2391</v>
      </c>
      <c r="C1168" t="s">
        <v>2420</v>
      </c>
      <c r="D1168" t="s">
        <v>2421</v>
      </c>
    </row>
    <row r="1169" spans="1:4" x14ac:dyDescent="0.3">
      <c r="A1169" t="s">
        <v>2390</v>
      </c>
      <c r="B1169" t="s">
        <v>2391</v>
      </c>
      <c r="C1169" t="s">
        <v>2422</v>
      </c>
      <c r="D1169" t="s">
        <v>2423</v>
      </c>
    </row>
    <row r="1170" spans="1:4" x14ac:dyDescent="0.3">
      <c r="A1170" t="s">
        <v>2390</v>
      </c>
      <c r="B1170" t="s">
        <v>2391</v>
      </c>
      <c r="C1170" t="s">
        <v>2424</v>
      </c>
      <c r="D1170" t="s">
        <v>2425</v>
      </c>
    </row>
    <row r="1171" spans="1:4" x14ac:dyDescent="0.3">
      <c r="A1171" t="s">
        <v>2390</v>
      </c>
      <c r="B1171" t="s">
        <v>2391</v>
      </c>
      <c r="C1171" t="s">
        <v>2426</v>
      </c>
      <c r="D1171" t="s">
        <v>2427</v>
      </c>
    </row>
    <row r="1172" spans="1:4" x14ac:dyDescent="0.3">
      <c r="A1172" t="s">
        <v>2390</v>
      </c>
      <c r="B1172" t="s">
        <v>2391</v>
      </c>
      <c r="C1172" t="s">
        <v>2428</v>
      </c>
      <c r="D1172" t="s">
        <v>2429</v>
      </c>
    </row>
    <row r="1173" spans="1:4" x14ac:dyDescent="0.3">
      <c r="A1173" t="s">
        <v>2390</v>
      </c>
      <c r="B1173" t="s">
        <v>2391</v>
      </c>
      <c r="C1173" t="s">
        <v>2430</v>
      </c>
      <c r="D1173" t="s">
        <v>2431</v>
      </c>
    </row>
    <row r="1174" spans="1:4" x14ac:dyDescent="0.3">
      <c r="A1174" t="s">
        <v>2432</v>
      </c>
      <c r="B1174" t="s">
        <v>2433</v>
      </c>
      <c r="C1174" t="s">
        <v>2434</v>
      </c>
      <c r="D1174" t="s">
        <v>2435</v>
      </c>
    </row>
    <row r="1175" spans="1:4" x14ac:dyDescent="0.3">
      <c r="A1175" t="s">
        <v>2432</v>
      </c>
      <c r="B1175" t="s">
        <v>2433</v>
      </c>
      <c r="C1175" t="s">
        <v>2436</v>
      </c>
      <c r="D1175" t="s">
        <v>2437</v>
      </c>
    </row>
    <row r="1176" spans="1:4" x14ac:dyDescent="0.3">
      <c r="A1176" t="s">
        <v>2432</v>
      </c>
      <c r="B1176" t="s">
        <v>2433</v>
      </c>
      <c r="C1176" t="s">
        <v>2438</v>
      </c>
      <c r="D1176" t="s">
        <v>2439</v>
      </c>
    </row>
    <row r="1177" spans="1:4" x14ac:dyDescent="0.3">
      <c r="A1177" t="s">
        <v>2432</v>
      </c>
      <c r="B1177" t="s">
        <v>2433</v>
      </c>
      <c r="C1177" t="s">
        <v>2440</v>
      </c>
      <c r="D1177" t="s">
        <v>2441</v>
      </c>
    </row>
    <row r="1178" spans="1:4" x14ac:dyDescent="0.3">
      <c r="A1178" t="s">
        <v>2432</v>
      </c>
      <c r="B1178" t="s">
        <v>2433</v>
      </c>
      <c r="C1178" t="s">
        <v>2442</v>
      </c>
      <c r="D1178" t="s">
        <v>758</v>
      </c>
    </row>
    <row r="1179" spans="1:4" x14ac:dyDescent="0.3">
      <c r="A1179" t="s">
        <v>2432</v>
      </c>
      <c r="B1179" t="s">
        <v>2433</v>
      </c>
      <c r="C1179" t="s">
        <v>2443</v>
      </c>
      <c r="D1179" t="s">
        <v>2444</v>
      </c>
    </row>
    <row r="1180" spans="1:4" x14ac:dyDescent="0.3">
      <c r="A1180" t="s">
        <v>2432</v>
      </c>
      <c r="B1180" t="s">
        <v>2433</v>
      </c>
      <c r="C1180" t="s">
        <v>2445</v>
      </c>
      <c r="D1180" t="s">
        <v>2446</v>
      </c>
    </row>
    <row r="1181" spans="1:4" x14ac:dyDescent="0.3">
      <c r="A1181" t="s">
        <v>2432</v>
      </c>
      <c r="B1181" t="s">
        <v>2433</v>
      </c>
      <c r="C1181" t="s">
        <v>2447</v>
      </c>
      <c r="D1181" t="s">
        <v>2448</v>
      </c>
    </row>
    <row r="1182" spans="1:4" x14ac:dyDescent="0.3">
      <c r="A1182" t="s">
        <v>2432</v>
      </c>
      <c r="B1182" t="s">
        <v>2433</v>
      </c>
      <c r="C1182" t="s">
        <v>2449</v>
      </c>
      <c r="D1182" t="s">
        <v>2450</v>
      </c>
    </row>
    <row r="1183" spans="1:4" x14ac:dyDescent="0.3">
      <c r="A1183" t="s">
        <v>2432</v>
      </c>
      <c r="B1183" t="s">
        <v>2433</v>
      </c>
      <c r="C1183" t="s">
        <v>2451</v>
      </c>
      <c r="D1183" t="s">
        <v>2452</v>
      </c>
    </row>
    <row r="1184" spans="1:4" x14ac:dyDescent="0.3">
      <c r="A1184" t="s">
        <v>2432</v>
      </c>
      <c r="B1184" t="s">
        <v>2433</v>
      </c>
      <c r="C1184" t="s">
        <v>2453</v>
      </c>
      <c r="D1184" t="s">
        <v>2454</v>
      </c>
    </row>
    <row r="1185" spans="1:4" x14ac:dyDescent="0.3">
      <c r="A1185" t="s">
        <v>2432</v>
      </c>
      <c r="B1185" t="s">
        <v>2433</v>
      </c>
      <c r="C1185" t="s">
        <v>2455</v>
      </c>
      <c r="D1185" t="s">
        <v>2456</v>
      </c>
    </row>
    <row r="1186" spans="1:4" x14ac:dyDescent="0.3">
      <c r="A1186" t="s">
        <v>2432</v>
      </c>
      <c r="B1186" t="s">
        <v>2433</v>
      </c>
      <c r="C1186" t="s">
        <v>2457</v>
      </c>
      <c r="D1186" t="s">
        <v>2458</v>
      </c>
    </row>
    <row r="1187" spans="1:4" x14ac:dyDescent="0.3">
      <c r="A1187" t="s">
        <v>2432</v>
      </c>
      <c r="B1187" t="s">
        <v>2433</v>
      </c>
      <c r="C1187" t="s">
        <v>2459</v>
      </c>
      <c r="D1187" t="s">
        <v>2460</v>
      </c>
    </row>
    <row r="1188" spans="1:4" x14ac:dyDescent="0.3">
      <c r="A1188" t="s">
        <v>2432</v>
      </c>
      <c r="B1188" t="s">
        <v>2433</v>
      </c>
      <c r="C1188" t="s">
        <v>2461</v>
      </c>
      <c r="D1188" t="s">
        <v>2462</v>
      </c>
    </row>
    <row r="1189" spans="1:4" x14ac:dyDescent="0.3">
      <c r="A1189" t="s">
        <v>2432</v>
      </c>
      <c r="B1189" t="s">
        <v>2433</v>
      </c>
      <c r="C1189" t="s">
        <v>2463</v>
      </c>
      <c r="D1189" t="s">
        <v>2464</v>
      </c>
    </row>
    <row r="1190" spans="1:4" x14ac:dyDescent="0.3">
      <c r="A1190" t="s">
        <v>2432</v>
      </c>
      <c r="B1190" t="s">
        <v>2433</v>
      </c>
      <c r="C1190" t="s">
        <v>2465</v>
      </c>
      <c r="D1190" t="s">
        <v>2466</v>
      </c>
    </row>
    <row r="1191" spans="1:4" x14ac:dyDescent="0.3">
      <c r="A1191" t="s">
        <v>2432</v>
      </c>
      <c r="B1191" t="s">
        <v>2433</v>
      </c>
      <c r="C1191" t="s">
        <v>2467</v>
      </c>
      <c r="D1191" t="s">
        <v>2468</v>
      </c>
    </row>
    <row r="1192" spans="1:4" x14ac:dyDescent="0.3">
      <c r="A1192" t="s">
        <v>2432</v>
      </c>
      <c r="B1192" t="s">
        <v>2433</v>
      </c>
      <c r="C1192" t="s">
        <v>2469</v>
      </c>
      <c r="D1192" t="s">
        <v>2470</v>
      </c>
    </row>
    <row r="1193" spans="1:4" x14ac:dyDescent="0.3">
      <c r="A1193" t="s">
        <v>2432</v>
      </c>
      <c r="B1193" t="s">
        <v>2433</v>
      </c>
      <c r="C1193" t="s">
        <v>2471</v>
      </c>
      <c r="D1193" t="s">
        <v>2472</v>
      </c>
    </row>
    <row r="1194" spans="1:4" x14ac:dyDescent="0.3">
      <c r="A1194" t="s">
        <v>2432</v>
      </c>
      <c r="B1194" t="s">
        <v>2433</v>
      </c>
      <c r="C1194" t="s">
        <v>2473</v>
      </c>
      <c r="D1194" t="s">
        <v>2474</v>
      </c>
    </row>
    <row r="1195" spans="1:4" x14ac:dyDescent="0.3">
      <c r="A1195" t="s">
        <v>2432</v>
      </c>
      <c r="B1195" t="s">
        <v>2433</v>
      </c>
      <c r="C1195" t="s">
        <v>2475</v>
      </c>
      <c r="D1195" t="s">
        <v>2476</v>
      </c>
    </row>
    <row r="1196" spans="1:4" x14ac:dyDescent="0.3">
      <c r="A1196" t="s">
        <v>2432</v>
      </c>
      <c r="B1196" t="s">
        <v>2433</v>
      </c>
      <c r="C1196" t="s">
        <v>2477</v>
      </c>
      <c r="D1196" t="s">
        <v>2478</v>
      </c>
    </row>
    <row r="1197" spans="1:4" x14ac:dyDescent="0.3">
      <c r="A1197" t="s">
        <v>2432</v>
      </c>
      <c r="B1197" t="s">
        <v>2433</v>
      </c>
      <c r="C1197" t="s">
        <v>2479</v>
      </c>
      <c r="D1197" t="s">
        <v>1052</v>
      </c>
    </row>
    <row r="1198" spans="1:4" x14ac:dyDescent="0.3">
      <c r="A1198" t="s">
        <v>1996</v>
      </c>
      <c r="B1198" t="s">
        <v>2480</v>
      </c>
      <c r="C1198" t="s">
        <v>2481</v>
      </c>
      <c r="D1198" t="s">
        <v>2482</v>
      </c>
    </row>
    <row r="1199" spans="1:4" x14ac:dyDescent="0.3">
      <c r="A1199" t="s">
        <v>1996</v>
      </c>
      <c r="B1199" t="s">
        <v>2480</v>
      </c>
      <c r="C1199" t="s">
        <v>2483</v>
      </c>
      <c r="D1199" t="s">
        <v>2484</v>
      </c>
    </row>
    <row r="1200" spans="1:4" x14ac:dyDescent="0.3">
      <c r="A1200" t="s">
        <v>1996</v>
      </c>
      <c r="B1200" t="s">
        <v>2480</v>
      </c>
      <c r="C1200" t="s">
        <v>2485</v>
      </c>
      <c r="D1200" t="s">
        <v>2486</v>
      </c>
    </row>
    <row r="1201" spans="1:4" x14ac:dyDescent="0.3">
      <c r="A1201" t="s">
        <v>1996</v>
      </c>
      <c r="B1201" t="s">
        <v>2480</v>
      </c>
      <c r="C1201" t="s">
        <v>2487</v>
      </c>
      <c r="D1201" t="s">
        <v>2488</v>
      </c>
    </row>
    <row r="1202" spans="1:4" x14ac:dyDescent="0.3">
      <c r="A1202" t="s">
        <v>1996</v>
      </c>
      <c r="B1202" t="s">
        <v>2480</v>
      </c>
      <c r="C1202" t="s">
        <v>2489</v>
      </c>
      <c r="D1202" t="s">
        <v>2490</v>
      </c>
    </row>
    <row r="1203" spans="1:4" x14ac:dyDescent="0.3">
      <c r="A1203" t="s">
        <v>1996</v>
      </c>
      <c r="B1203" t="s">
        <v>2480</v>
      </c>
      <c r="C1203" t="s">
        <v>2491</v>
      </c>
      <c r="D1203" t="s">
        <v>2492</v>
      </c>
    </row>
    <row r="1204" spans="1:4" x14ac:dyDescent="0.3">
      <c r="A1204" t="s">
        <v>1996</v>
      </c>
      <c r="B1204" t="s">
        <v>2480</v>
      </c>
      <c r="C1204" t="s">
        <v>2493</v>
      </c>
      <c r="D1204" t="s">
        <v>2494</v>
      </c>
    </row>
    <row r="1205" spans="1:4" x14ac:dyDescent="0.3">
      <c r="A1205" t="s">
        <v>1996</v>
      </c>
      <c r="B1205" t="s">
        <v>2480</v>
      </c>
      <c r="C1205" t="s">
        <v>2495</v>
      </c>
      <c r="D1205" t="s">
        <v>2496</v>
      </c>
    </row>
    <row r="1206" spans="1:4" x14ac:dyDescent="0.3">
      <c r="A1206" t="s">
        <v>1996</v>
      </c>
      <c r="B1206" t="s">
        <v>2480</v>
      </c>
      <c r="C1206" t="s">
        <v>2497</v>
      </c>
      <c r="D1206" t="s">
        <v>2498</v>
      </c>
    </row>
    <row r="1207" spans="1:4" x14ac:dyDescent="0.3">
      <c r="A1207" t="s">
        <v>1996</v>
      </c>
      <c r="B1207" t="s">
        <v>2480</v>
      </c>
      <c r="C1207" t="s">
        <v>2499</v>
      </c>
      <c r="D1207" t="s">
        <v>2500</v>
      </c>
    </row>
    <row r="1208" spans="1:4" x14ac:dyDescent="0.3">
      <c r="A1208" t="s">
        <v>1996</v>
      </c>
      <c r="B1208" t="s">
        <v>2480</v>
      </c>
      <c r="C1208" t="s">
        <v>2501</v>
      </c>
      <c r="D1208" t="s">
        <v>2502</v>
      </c>
    </row>
    <row r="1209" spans="1:4" x14ac:dyDescent="0.3">
      <c r="A1209" t="s">
        <v>1996</v>
      </c>
      <c r="B1209" t="s">
        <v>2480</v>
      </c>
      <c r="C1209" t="s">
        <v>2503</v>
      </c>
      <c r="D1209" t="s">
        <v>2504</v>
      </c>
    </row>
    <row r="1210" spans="1:4" x14ac:dyDescent="0.3">
      <c r="A1210" t="s">
        <v>1996</v>
      </c>
      <c r="B1210" t="s">
        <v>2480</v>
      </c>
      <c r="C1210" t="s">
        <v>2505</v>
      </c>
      <c r="D1210" t="s">
        <v>2506</v>
      </c>
    </row>
    <row r="1211" spans="1:4" x14ac:dyDescent="0.3">
      <c r="A1211" t="s">
        <v>1996</v>
      </c>
      <c r="B1211" t="s">
        <v>2480</v>
      </c>
      <c r="C1211" t="s">
        <v>2507</v>
      </c>
      <c r="D1211" t="s">
        <v>2508</v>
      </c>
    </row>
    <row r="1212" spans="1:4" x14ac:dyDescent="0.3">
      <c r="A1212" t="s">
        <v>1996</v>
      </c>
      <c r="B1212" t="s">
        <v>2480</v>
      </c>
      <c r="C1212" t="s">
        <v>2509</v>
      </c>
      <c r="D1212" t="s">
        <v>2510</v>
      </c>
    </row>
    <row r="1213" spans="1:4" x14ac:dyDescent="0.3">
      <c r="A1213" t="s">
        <v>1996</v>
      </c>
      <c r="B1213" t="s">
        <v>2480</v>
      </c>
      <c r="C1213" t="s">
        <v>2511</v>
      </c>
      <c r="D1213" t="s">
        <v>2512</v>
      </c>
    </row>
    <row r="1214" spans="1:4" x14ac:dyDescent="0.3">
      <c r="A1214" t="s">
        <v>1996</v>
      </c>
      <c r="B1214" t="s">
        <v>2480</v>
      </c>
      <c r="C1214" t="s">
        <v>2513</v>
      </c>
      <c r="D1214" t="s">
        <v>2514</v>
      </c>
    </row>
    <row r="1215" spans="1:4" x14ac:dyDescent="0.3">
      <c r="A1215" t="s">
        <v>1996</v>
      </c>
      <c r="B1215" t="s">
        <v>2480</v>
      </c>
      <c r="C1215" t="s">
        <v>2515</v>
      </c>
      <c r="D1215" t="s">
        <v>2516</v>
      </c>
    </row>
    <row r="1216" spans="1:4" x14ac:dyDescent="0.3">
      <c r="A1216" t="s">
        <v>1996</v>
      </c>
      <c r="B1216" t="s">
        <v>2480</v>
      </c>
      <c r="C1216" t="s">
        <v>2517</v>
      </c>
      <c r="D1216" t="s">
        <v>2518</v>
      </c>
    </row>
    <row r="1217" spans="1:4" x14ac:dyDescent="0.3">
      <c r="A1217" t="s">
        <v>1996</v>
      </c>
      <c r="B1217" t="s">
        <v>2480</v>
      </c>
      <c r="C1217" t="s">
        <v>2519</v>
      </c>
      <c r="D1217" t="s">
        <v>2520</v>
      </c>
    </row>
    <row r="1218" spans="1:4" x14ac:dyDescent="0.3">
      <c r="A1218" t="s">
        <v>1465</v>
      </c>
      <c r="B1218" t="s">
        <v>2521</v>
      </c>
      <c r="C1218" t="s">
        <v>2522</v>
      </c>
      <c r="D1218" t="s">
        <v>2523</v>
      </c>
    </row>
    <row r="1219" spans="1:4" x14ac:dyDescent="0.3">
      <c r="A1219" t="s">
        <v>1465</v>
      </c>
      <c r="B1219" t="s">
        <v>2521</v>
      </c>
      <c r="C1219" t="s">
        <v>2524</v>
      </c>
      <c r="D1219" t="s">
        <v>2525</v>
      </c>
    </row>
    <row r="1220" spans="1:4" x14ac:dyDescent="0.3">
      <c r="A1220" t="s">
        <v>1465</v>
      </c>
      <c r="B1220" t="s">
        <v>2521</v>
      </c>
      <c r="C1220" t="s">
        <v>2526</v>
      </c>
      <c r="D1220" t="s">
        <v>2527</v>
      </c>
    </row>
    <row r="1221" spans="1:4" x14ac:dyDescent="0.3">
      <c r="A1221" t="s">
        <v>1465</v>
      </c>
      <c r="B1221" t="s">
        <v>2521</v>
      </c>
      <c r="C1221" t="s">
        <v>2528</v>
      </c>
      <c r="D1221" t="s">
        <v>2529</v>
      </c>
    </row>
    <row r="1222" spans="1:4" x14ac:dyDescent="0.3">
      <c r="A1222" t="s">
        <v>1465</v>
      </c>
      <c r="B1222" t="s">
        <v>2521</v>
      </c>
      <c r="C1222" t="s">
        <v>2530</v>
      </c>
      <c r="D1222" t="s">
        <v>2531</v>
      </c>
    </row>
    <row r="1223" spans="1:4" x14ac:dyDescent="0.3">
      <c r="A1223" t="s">
        <v>1465</v>
      </c>
      <c r="B1223" t="s">
        <v>2521</v>
      </c>
      <c r="C1223" t="s">
        <v>2532</v>
      </c>
      <c r="D1223" t="s">
        <v>2533</v>
      </c>
    </row>
    <row r="1224" spans="1:4" x14ac:dyDescent="0.3">
      <c r="A1224" t="s">
        <v>1465</v>
      </c>
      <c r="B1224" t="s">
        <v>2521</v>
      </c>
      <c r="C1224" t="s">
        <v>2534</v>
      </c>
      <c r="D1224" t="s">
        <v>2535</v>
      </c>
    </row>
    <row r="1225" spans="1:4" x14ac:dyDescent="0.3">
      <c r="A1225" t="s">
        <v>1465</v>
      </c>
      <c r="B1225" t="s">
        <v>2521</v>
      </c>
      <c r="C1225" t="s">
        <v>2536</v>
      </c>
      <c r="D1225" t="s">
        <v>2537</v>
      </c>
    </row>
    <row r="1226" spans="1:4" x14ac:dyDescent="0.3">
      <c r="A1226" t="s">
        <v>1465</v>
      </c>
      <c r="B1226" t="s">
        <v>2521</v>
      </c>
      <c r="C1226" t="s">
        <v>2538</v>
      </c>
      <c r="D1226" t="s">
        <v>2539</v>
      </c>
    </row>
    <row r="1227" spans="1:4" x14ac:dyDescent="0.3">
      <c r="A1227" t="s">
        <v>1465</v>
      </c>
      <c r="B1227" t="s">
        <v>2521</v>
      </c>
      <c r="C1227" t="s">
        <v>2540</v>
      </c>
      <c r="D1227" t="s">
        <v>2541</v>
      </c>
    </row>
    <row r="1228" spans="1:4" x14ac:dyDescent="0.3">
      <c r="A1228" t="s">
        <v>1465</v>
      </c>
      <c r="B1228" t="s">
        <v>2521</v>
      </c>
      <c r="C1228" t="s">
        <v>2542</v>
      </c>
      <c r="D1228" t="s">
        <v>2543</v>
      </c>
    </row>
    <row r="1229" spans="1:4" x14ac:dyDescent="0.3">
      <c r="A1229" t="s">
        <v>1465</v>
      </c>
      <c r="B1229" t="s">
        <v>2521</v>
      </c>
      <c r="C1229" t="s">
        <v>2544</v>
      </c>
      <c r="D1229" t="s">
        <v>2545</v>
      </c>
    </row>
    <row r="1230" spans="1:4" x14ac:dyDescent="0.3">
      <c r="A1230" t="s">
        <v>1465</v>
      </c>
      <c r="B1230" t="s">
        <v>2521</v>
      </c>
      <c r="C1230" t="s">
        <v>80</v>
      </c>
      <c r="D1230" t="s">
        <v>2546</v>
      </c>
    </row>
    <row r="1231" spans="1:4" x14ac:dyDescent="0.3">
      <c r="A1231" t="s">
        <v>1465</v>
      </c>
      <c r="B1231" t="s">
        <v>2521</v>
      </c>
      <c r="C1231" t="s">
        <v>2547</v>
      </c>
      <c r="D1231" t="s">
        <v>2548</v>
      </c>
    </row>
    <row r="1232" spans="1:4" x14ac:dyDescent="0.3">
      <c r="A1232" t="s">
        <v>1465</v>
      </c>
      <c r="B1232" t="s">
        <v>2521</v>
      </c>
      <c r="C1232" t="s">
        <v>2549</v>
      </c>
      <c r="D1232" t="s">
        <v>2550</v>
      </c>
    </row>
    <row r="1233" spans="1:4" x14ac:dyDescent="0.3">
      <c r="A1233" t="s">
        <v>1465</v>
      </c>
      <c r="B1233" t="s">
        <v>2521</v>
      </c>
      <c r="C1233" t="s">
        <v>2551</v>
      </c>
      <c r="D1233" t="s">
        <v>2552</v>
      </c>
    </row>
    <row r="1234" spans="1:4" x14ac:dyDescent="0.3">
      <c r="A1234" t="s">
        <v>1465</v>
      </c>
      <c r="B1234" t="s">
        <v>2521</v>
      </c>
      <c r="C1234" t="s">
        <v>2553</v>
      </c>
      <c r="D1234" t="s">
        <v>2554</v>
      </c>
    </row>
    <row r="1235" spans="1:4" x14ac:dyDescent="0.3">
      <c r="A1235" t="s">
        <v>1465</v>
      </c>
      <c r="B1235" t="s">
        <v>2521</v>
      </c>
      <c r="C1235" t="s">
        <v>2555</v>
      </c>
      <c r="D1235" t="s">
        <v>2556</v>
      </c>
    </row>
    <row r="1236" spans="1:4" x14ac:dyDescent="0.3">
      <c r="A1236" t="s">
        <v>1465</v>
      </c>
      <c r="B1236" t="s">
        <v>2521</v>
      </c>
      <c r="C1236" t="s">
        <v>2557</v>
      </c>
      <c r="D1236" t="s">
        <v>2558</v>
      </c>
    </row>
    <row r="1237" spans="1:4" x14ac:dyDescent="0.3">
      <c r="A1237" t="s">
        <v>1465</v>
      </c>
      <c r="B1237" t="s">
        <v>2521</v>
      </c>
      <c r="C1237" t="s">
        <v>2559</v>
      </c>
      <c r="D1237" t="s">
        <v>2560</v>
      </c>
    </row>
    <row r="1238" spans="1:4" x14ac:dyDescent="0.3">
      <c r="A1238" t="s">
        <v>2561</v>
      </c>
      <c r="B1238" t="s">
        <v>2562</v>
      </c>
      <c r="C1238" t="s">
        <v>2563</v>
      </c>
      <c r="D1238" t="s">
        <v>2564</v>
      </c>
    </row>
    <row r="1239" spans="1:4" x14ac:dyDescent="0.3">
      <c r="A1239" t="s">
        <v>2561</v>
      </c>
      <c r="B1239" t="s">
        <v>2562</v>
      </c>
      <c r="C1239" t="s">
        <v>2565</v>
      </c>
      <c r="D1239" t="s">
        <v>2566</v>
      </c>
    </row>
    <row r="1240" spans="1:4" x14ac:dyDescent="0.3">
      <c r="A1240" t="s">
        <v>2561</v>
      </c>
      <c r="B1240" t="s">
        <v>2562</v>
      </c>
      <c r="C1240" t="s">
        <v>2567</v>
      </c>
      <c r="D1240" t="s">
        <v>2568</v>
      </c>
    </row>
    <row r="1241" spans="1:4" x14ac:dyDescent="0.3">
      <c r="A1241" t="s">
        <v>2561</v>
      </c>
      <c r="B1241" t="s">
        <v>2562</v>
      </c>
      <c r="C1241" t="s">
        <v>2569</v>
      </c>
      <c r="D1241" t="s">
        <v>2570</v>
      </c>
    </row>
    <row r="1242" spans="1:4" x14ac:dyDescent="0.3">
      <c r="A1242" t="s">
        <v>2561</v>
      </c>
      <c r="B1242" t="s">
        <v>2562</v>
      </c>
      <c r="C1242" t="s">
        <v>2571</v>
      </c>
      <c r="D1242" t="s">
        <v>2572</v>
      </c>
    </row>
    <row r="1243" spans="1:4" x14ac:dyDescent="0.3">
      <c r="A1243" t="s">
        <v>2561</v>
      </c>
      <c r="B1243" t="s">
        <v>2562</v>
      </c>
      <c r="C1243" t="s">
        <v>2573</v>
      </c>
      <c r="D1243" t="s">
        <v>2574</v>
      </c>
    </row>
    <row r="1244" spans="1:4" x14ac:dyDescent="0.3">
      <c r="A1244" t="s">
        <v>2561</v>
      </c>
      <c r="B1244" t="s">
        <v>2562</v>
      </c>
      <c r="C1244" t="s">
        <v>2575</v>
      </c>
      <c r="D1244" t="s">
        <v>2576</v>
      </c>
    </row>
    <row r="1245" spans="1:4" x14ac:dyDescent="0.3">
      <c r="A1245" t="s">
        <v>2561</v>
      </c>
      <c r="B1245" t="s">
        <v>2562</v>
      </c>
      <c r="C1245" t="s">
        <v>2577</v>
      </c>
      <c r="D1245" t="s">
        <v>2578</v>
      </c>
    </row>
    <row r="1246" spans="1:4" x14ac:dyDescent="0.3">
      <c r="A1246" t="s">
        <v>2561</v>
      </c>
      <c r="B1246" t="s">
        <v>2562</v>
      </c>
      <c r="C1246" t="s">
        <v>2579</v>
      </c>
      <c r="D1246" t="s">
        <v>2580</v>
      </c>
    </row>
    <row r="1247" spans="1:4" x14ac:dyDescent="0.3">
      <c r="A1247" t="s">
        <v>2561</v>
      </c>
      <c r="B1247" t="s">
        <v>2562</v>
      </c>
      <c r="C1247" t="s">
        <v>2581</v>
      </c>
      <c r="D1247" t="s">
        <v>2582</v>
      </c>
    </row>
    <row r="1248" spans="1:4" x14ac:dyDescent="0.3">
      <c r="A1248" t="s">
        <v>2561</v>
      </c>
      <c r="B1248" t="s">
        <v>2562</v>
      </c>
      <c r="C1248" t="s">
        <v>2583</v>
      </c>
      <c r="D1248" t="s">
        <v>2584</v>
      </c>
    </row>
    <row r="1249" spans="1:4" x14ac:dyDescent="0.3">
      <c r="A1249" t="s">
        <v>2561</v>
      </c>
      <c r="B1249" t="s">
        <v>2562</v>
      </c>
      <c r="C1249" t="s">
        <v>2585</v>
      </c>
      <c r="D1249" t="s">
        <v>2586</v>
      </c>
    </row>
    <row r="1250" spans="1:4" x14ac:dyDescent="0.3">
      <c r="A1250" t="s">
        <v>2561</v>
      </c>
      <c r="B1250" t="s">
        <v>2562</v>
      </c>
      <c r="C1250" t="s">
        <v>2587</v>
      </c>
      <c r="D1250" t="s">
        <v>2588</v>
      </c>
    </row>
    <row r="1251" spans="1:4" x14ac:dyDescent="0.3">
      <c r="A1251" t="s">
        <v>2561</v>
      </c>
      <c r="B1251" t="s">
        <v>2562</v>
      </c>
      <c r="C1251" t="s">
        <v>2589</v>
      </c>
      <c r="D1251" t="s">
        <v>2590</v>
      </c>
    </row>
    <row r="1252" spans="1:4" x14ac:dyDescent="0.3">
      <c r="A1252" t="s">
        <v>2561</v>
      </c>
      <c r="B1252" t="s">
        <v>2562</v>
      </c>
      <c r="C1252" t="s">
        <v>2591</v>
      </c>
      <c r="D1252" t="s">
        <v>2592</v>
      </c>
    </row>
    <row r="1253" spans="1:4" x14ac:dyDescent="0.3">
      <c r="A1253" t="s">
        <v>2561</v>
      </c>
      <c r="B1253" t="s">
        <v>2562</v>
      </c>
      <c r="C1253" t="s">
        <v>2593</v>
      </c>
      <c r="D1253" t="s">
        <v>2594</v>
      </c>
    </row>
    <row r="1254" spans="1:4" x14ac:dyDescent="0.3">
      <c r="A1254" t="s">
        <v>2561</v>
      </c>
      <c r="B1254" t="s">
        <v>2562</v>
      </c>
      <c r="C1254" t="s">
        <v>2595</v>
      </c>
      <c r="D1254" t="s">
        <v>2596</v>
      </c>
    </row>
    <row r="1255" spans="1:4" x14ac:dyDescent="0.3">
      <c r="A1255" t="s">
        <v>2561</v>
      </c>
      <c r="B1255" t="s">
        <v>2562</v>
      </c>
      <c r="C1255" t="s">
        <v>2597</v>
      </c>
      <c r="D1255" t="s">
        <v>2598</v>
      </c>
    </row>
    <row r="1256" spans="1:4" x14ac:dyDescent="0.3">
      <c r="A1256" t="s">
        <v>2561</v>
      </c>
      <c r="B1256" t="s">
        <v>2562</v>
      </c>
      <c r="C1256" t="s">
        <v>2599</v>
      </c>
      <c r="D1256" t="s">
        <v>2600</v>
      </c>
    </row>
    <row r="1257" spans="1:4" x14ac:dyDescent="0.3">
      <c r="A1257" t="s">
        <v>1283</v>
      </c>
      <c r="B1257" t="s">
        <v>2601</v>
      </c>
      <c r="C1257" t="s">
        <v>2602</v>
      </c>
      <c r="D1257" t="s">
        <v>2603</v>
      </c>
    </row>
    <row r="1258" spans="1:4" x14ac:dyDescent="0.3">
      <c r="A1258" t="s">
        <v>1283</v>
      </c>
      <c r="B1258" t="s">
        <v>2601</v>
      </c>
      <c r="C1258" t="s">
        <v>2604</v>
      </c>
      <c r="D1258" t="s">
        <v>2605</v>
      </c>
    </row>
    <row r="1259" spans="1:4" x14ac:dyDescent="0.3">
      <c r="A1259" t="s">
        <v>1283</v>
      </c>
      <c r="B1259" t="s">
        <v>2601</v>
      </c>
      <c r="C1259" t="s">
        <v>2606</v>
      </c>
      <c r="D1259" t="s">
        <v>2607</v>
      </c>
    </row>
    <row r="1260" spans="1:4" x14ac:dyDescent="0.3">
      <c r="A1260" t="s">
        <v>1283</v>
      </c>
      <c r="B1260" t="s">
        <v>2601</v>
      </c>
      <c r="C1260" t="s">
        <v>2608</v>
      </c>
      <c r="D1260" t="s">
        <v>2609</v>
      </c>
    </row>
    <row r="1261" spans="1:4" x14ac:dyDescent="0.3">
      <c r="A1261" t="s">
        <v>1283</v>
      </c>
      <c r="B1261" t="s">
        <v>2601</v>
      </c>
      <c r="C1261" t="s">
        <v>2610</v>
      </c>
      <c r="D1261" t="s">
        <v>2611</v>
      </c>
    </row>
    <row r="1262" spans="1:4" x14ac:dyDescent="0.3">
      <c r="A1262" t="s">
        <v>1283</v>
      </c>
      <c r="B1262" t="s">
        <v>2601</v>
      </c>
      <c r="C1262" t="s">
        <v>2612</v>
      </c>
      <c r="D1262" t="s">
        <v>2613</v>
      </c>
    </row>
    <row r="1263" spans="1:4" x14ac:dyDescent="0.3">
      <c r="A1263" t="s">
        <v>1283</v>
      </c>
      <c r="B1263" t="s">
        <v>2601</v>
      </c>
      <c r="C1263" t="s">
        <v>2614</v>
      </c>
      <c r="D1263" t="s">
        <v>2615</v>
      </c>
    </row>
    <row r="1264" spans="1:4" x14ac:dyDescent="0.3">
      <c r="A1264" t="s">
        <v>1283</v>
      </c>
      <c r="B1264" t="s">
        <v>2601</v>
      </c>
      <c r="C1264" t="s">
        <v>2616</v>
      </c>
      <c r="D1264" t="s">
        <v>2617</v>
      </c>
    </row>
    <row r="1265" spans="1:4" x14ac:dyDescent="0.3">
      <c r="A1265" t="s">
        <v>1283</v>
      </c>
      <c r="B1265" t="s">
        <v>2601</v>
      </c>
      <c r="C1265" t="s">
        <v>2618</v>
      </c>
      <c r="D1265" t="s">
        <v>2619</v>
      </c>
    </row>
    <row r="1266" spans="1:4" x14ac:dyDescent="0.3">
      <c r="A1266" t="s">
        <v>1283</v>
      </c>
      <c r="B1266" t="s">
        <v>2601</v>
      </c>
      <c r="C1266" t="s">
        <v>2620</v>
      </c>
      <c r="D1266" t="s">
        <v>2621</v>
      </c>
    </row>
    <row r="1267" spans="1:4" x14ac:dyDescent="0.3">
      <c r="A1267" t="s">
        <v>1283</v>
      </c>
      <c r="B1267" t="s">
        <v>2601</v>
      </c>
      <c r="C1267" t="s">
        <v>2622</v>
      </c>
      <c r="D1267" t="s">
        <v>2623</v>
      </c>
    </row>
    <row r="1268" spans="1:4" x14ac:dyDescent="0.3">
      <c r="A1268" t="s">
        <v>1283</v>
      </c>
      <c r="B1268" t="s">
        <v>2601</v>
      </c>
      <c r="C1268" t="s">
        <v>2624</v>
      </c>
      <c r="D1268" t="s">
        <v>2625</v>
      </c>
    </row>
    <row r="1269" spans="1:4" x14ac:dyDescent="0.3">
      <c r="A1269" t="s">
        <v>1283</v>
      </c>
      <c r="B1269" t="s">
        <v>2601</v>
      </c>
      <c r="C1269" t="s">
        <v>2626</v>
      </c>
      <c r="D1269" t="s">
        <v>2627</v>
      </c>
    </row>
    <row r="1270" spans="1:4" x14ac:dyDescent="0.3">
      <c r="A1270" t="s">
        <v>2628</v>
      </c>
      <c r="B1270" t="s">
        <v>2629</v>
      </c>
      <c r="C1270" t="s">
        <v>2630</v>
      </c>
      <c r="D1270" t="s">
        <v>2631</v>
      </c>
    </row>
    <row r="1271" spans="1:4" x14ac:dyDescent="0.3">
      <c r="A1271" t="s">
        <v>2628</v>
      </c>
      <c r="B1271" t="s">
        <v>2629</v>
      </c>
      <c r="C1271" t="s">
        <v>2632</v>
      </c>
      <c r="D1271" t="s">
        <v>2633</v>
      </c>
    </row>
    <row r="1272" spans="1:4" x14ac:dyDescent="0.3">
      <c r="A1272" t="s">
        <v>2628</v>
      </c>
      <c r="B1272" t="s">
        <v>2629</v>
      </c>
      <c r="C1272" t="s">
        <v>2634</v>
      </c>
      <c r="D1272" t="s">
        <v>349</v>
      </c>
    </row>
    <row r="1273" spans="1:4" x14ac:dyDescent="0.3">
      <c r="A1273" t="s">
        <v>2628</v>
      </c>
      <c r="B1273" t="s">
        <v>2629</v>
      </c>
      <c r="C1273" t="s">
        <v>2635</v>
      </c>
      <c r="D1273" t="s">
        <v>2636</v>
      </c>
    </row>
    <row r="1274" spans="1:4" x14ac:dyDescent="0.3">
      <c r="A1274" t="s">
        <v>2628</v>
      </c>
      <c r="B1274" t="s">
        <v>2629</v>
      </c>
      <c r="C1274" t="s">
        <v>2637</v>
      </c>
      <c r="D1274" t="s">
        <v>359</v>
      </c>
    </row>
    <row r="1275" spans="1:4" x14ac:dyDescent="0.3">
      <c r="A1275" t="s">
        <v>2628</v>
      </c>
      <c r="B1275" t="s">
        <v>2629</v>
      </c>
      <c r="C1275" t="s">
        <v>2638</v>
      </c>
      <c r="D1275" t="s">
        <v>2639</v>
      </c>
    </row>
    <row r="1276" spans="1:4" x14ac:dyDescent="0.3">
      <c r="A1276" t="s">
        <v>2628</v>
      </c>
      <c r="B1276" t="s">
        <v>2629</v>
      </c>
      <c r="C1276" t="s">
        <v>2640</v>
      </c>
      <c r="D1276" t="s">
        <v>2641</v>
      </c>
    </row>
    <row r="1277" spans="1:4" x14ac:dyDescent="0.3">
      <c r="A1277" t="s">
        <v>2628</v>
      </c>
      <c r="B1277" t="s">
        <v>2629</v>
      </c>
      <c r="C1277" t="s">
        <v>2642</v>
      </c>
      <c r="D1277" t="s">
        <v>2643</v>
      </c>
    </row>
    <row r="1278" spans="1:4" x14ac:dyDescent="0.3">
      <c r="A1278" t="s">
        <v>2628</v>
      </c>
      <c r="B1278" t="s">
        <v>2629</v>
      </c>
      <c r="C1278" t="s">
        <v>2644</v>
      </c>
      <c r="D1278" t="s">
        <v>2645</v>
      </c>
    </row>
    <row r="1279" spans="1:4" x14ac:dyDescent="0.3">
      <c r="A1279" t="s">
        <v>2646</v>
      </c>
      <c r="B1279" t="s">
        <v>2647</v>
      </c>
      <c r="C1279" t="s">
        <v>2648</v>
      </c>
      <c r="D1279" t="s">
        <v>2649</v>
      </c>
    </row>
    <row r="1280" spans="1:4" x14ac:dyDescent="0.3">
      <c r="A1280" t="s">
        <v>2646</v>
      </c>
      <c r="B1280" t="s">
        <v>2647</v>
      </c>
      <c r="C1280" t="s">
        <v>2650</v>
      </c>
      <c r="D1280" t="s">
        <v>2651</v>
      </c>
    </row>
    <row r="1281" spans="1:4" x14ac:dyDescent="0.3">
      <c r="A1281" t="s">
        <v>2646</v>
      </c>
      <c r="B1281" t="s">
        <v>2647</v>
      </c>
      <c r="C1281" t="s">
        <v>2652</v>
      </c>
      <c r="D1281" t="s">
        <v>2653</v>
      </c>
    </row>
    <row r="1282" spans="1:4" x14ac:dyDescent="0.3">
      <c r="A1282" t="s">
        <v>2646</v>
      </c>
      <c r="B1282" t="s">
        <v>2647</v>
      </c>
      <c r="C1282" t="s">
        <v>2654</v>
      </c>
      <c r="D1282" t="s">
        <v>2655</v>
      </c>
    </row>
    <row r="1283" spans="1:4" x14ac:dyDescent="0.3">
      <c r="A1283" t="s">
        <v>2646</v>
      </c>
      <c r="B1283" t="s">
        <v>2647</v>
      </c>
      <c r="C1283" t="s">
        <v>2656</v>
      </c>
      <c r="D1283" t="s">
        <v>2657</v>
      </c>
    </row>
    <row r="1284" spans="1:4" x14ac:dyDescent="0.3">
      <c r="A1284" t="s">
        <v>2646</v>
      </c>
      <c r="B1284" t="s">
        <v>2647</v>
      </c>
      <c r="C1284" t="s">
        <v>2658</v>
      </c>
      <c r="D1284" t="s">
        <v>2659</v>
      </c>
    </row>
    <row r="1285" spans="1:4" x14ac:dyDescent="0.3">
      <c r="A1285" t="s">
        <v>2646</v>
      </c>
      <c r="B1285" t="s">
        <v>2647</v>
      </c>
      <c r="C1285" t="s">
        <v>2660</v>
      </c>
      <c r="D1285" t="s">
        <v>2661</v>
      </c>
    </row>
    <row r="1286" spans="1:4" x14ac:dyDescent="0.3">
      <c r="A1286" t="s">
        <v>2646</v>
      </c>
      <c r="B1286" t="s">
        <v>2647</v>
      </c>
      <c r="C1286" t="s">
        <v>2662</v>
      </c>
      <c r="D1286" t="s">
        <v>2663</v>
      </c>
    </row>
    <row r="1287" spans="1:4" x14ac:dyDescent="0.3">
      <c r="A1287" t="s">
        <v>2646</v>
      </c>
      <c r="B1287" t="s">
        <v>2647</v>
      </c>
      <c r="C1287" t="s">
        <v>2664</v>
      </c>
      <c r="D1287" t="s">
        <v>2665</v>
      </c>
    </row>
    <row r="1288" spans="1:4" x14ac:dyDescent="0.3">
      <c r="A1288" t="s">
        <v>2646</v>
      </c>
      <c r="B1288" t="s">
        <v>2647</v>
      </c>
      <c r="C1288" t="s">
        <v>2666</v>
      </c>
      <c r="D1288" t="s">
        <v>2667</v>
      </c>
    </row>
    <row r="1289" spans="1:4" x14ac:dyDescent="0.3">
      <c r="A1289" t="s">
        <v>2646</v>
      </c>
      <c r="B1289" t="s">
        <v>2647</v>
      </c>
      <c r="C1289" t="s">
        <v>2668</v>
      </c>
      <c r="D1289" t="s">
        <v>2669</v>
      </c>
    </row>
    <row r="1290" spans="1:4" x14ac:dyDescent="0.3">
      <c r="A1290" t="s">
        <v>2646</v>
      </c>
      <c r="B1290" t="s">
        <v>2647</v>
      </c>
      <c r="C1290" t="s">
        <v>2670</v>
      </c>
      <c r="D1290" t="s">
        <v>2671</v>
      </c>
    </row>
    <row r="1291" spans="1:4" x14ac:dyDescent="0.3">
      <c r="A1291" t="s">
        <v>2646</v>
      </c>
      <c r="B1291" t="s">
        <v>2647</v>
      </c>
      <c r="C1291" t="s">
        <v>2672</v>
      </c>
      <c r="D1291" t="s">
        <v>2673</v>
      </c>
    </row>
    <row r="1292" spans="1:4" x14ac:dyDescent="0.3">
      <c r="A1292" t="s">
        <v>2646</v>
      </c>
      <c r="B1292" t="s">
        <v>2647</v>
      </c>
      <c r="C1292" t="s">
        <v>2674</v>
      </c>
      <c r="D1292" t="s">
        <v>2675</v>
      </c>
    </row>
    <row r="1293" spans="1:4" x14ac:dyDescent="0.3">
      <c r="A1293" t="s">
        <v>2646</v>
      </c>
      <c r="B1293" t="s">
        <v>2647</v>
      </c>
      <c r="C1293" t="s">
        <v>2676</v>
      </c>
      <c r="D1293" t="s">
        <v>2677</v>
      </c>
    </row>
    <row r="1294" spans="1:4" x14ac:dyDescent="0.3">
      <c r="A1294" t="s">
        <v>2646</v>
      </c>
      <c r="B1294" t="s">
        <v>2647</v>
      </c>
      <c r="C1294" t="s">
        <v>2678</v>
      </c>
      <c r="D1294" t="s">
        <v>537</v>
      </c>
    </row>
    <row r="1295" spans="1:4" x14ac:dyDescent="0.3">
      <c r="A1295" t="s">
        <v>2646</v>
      </c>
      <c r="B1295" t="s">
        <v>2647</v>
      </c>
      <c r="C1295" t="s">
        <v>2679</v>
      </c>
      <c r="D1295" t="s">
        <v>2680</v>
      </c>
    </row>
    <row r="1296" spans="1:4" x14ac:dyDescent="0.3">
      <c r="A1296" t="s">
        <v>2681</v>
      </c>
      <c r="B1296" t="s">
        <v>2682</v>
      </c>
      <c r="C1296" t="s">
        <v>2683</v>
      </c>
      <c r="D1296" t="s">
        <v>2684</v>
      </c>
    </row>
    <row r="1297" spans="1:4" x14ac:dyDescent="0.3">
      <c r="A1297" t="s">
        <v>2681</v>
      </c>
      <c r="B1297" t="s">
        <v>2682</v>
      </c>
      <c r="C1297" t="s">
        <v>2685</v>
      </c>
      <c r="D1297" t="s">
        <v>2686</v>
      </c>
    </row>
    <row r="1298" spans="1:4" x14ac:dyDescent="0.3">
      <c r="A1298" t="s">
        <v>2681</v>
      </c>
      <c r="B1298" t="s">
        <v>2682</v>
      </c>
      <c r="C1298" t="s">
        <v>2687</v>
      </c>
      <c r="D1298" t="s">
        <v>2688</v>
      </c>
    </row>
    <row r="1299" spans="1:4" x14ac:dyDescent="0.3">
      <c r="A1299" t="s">
        <v>2681</v>
      </c>
      <c r="B1299" t="s">
        <v>2682</v>
      </c>
      <c r="C1299" t="s">
        <v>2689</v>
      </c>
      <c r="D1299" t="s">
        <v>2690</v>
      </c>
    </row>
    <row r="1300" spans="1:4" x14ac:dyDescent="0.3">
      <c r="A1300" t="s">
        <v>2681</v>
      </c>
      <c r="B1300" t="s">
        <v>2682</v>
      </c>
      <c r="C1300" t="s">
        <v>2691</v>
      </c>
      <c r="D1300" t="s">
        <v>2692</v>
      </c>
    </row>
    <row r="1301" spans="1:4" x14ac:dyDescent="0.3">
      <c r="A1301" t="s">
        <v>2681</v>
      </c>
      <c r="B1301" t="s">
        <v>2682</v>
      </c>
      <c r="C1301" t="s">
        <v>2693</v>
      </c>
      <c r="D1301" t="s">
        <v>2694</v>
      </c>
    </row>
    <row r="1302" spans="1:4" x14ac:dyDescent="0.3">
      <c r="A1302" t="s">
        <v>2681</v>
      </c>
      <c r="B1302" t="s">
        <v>2682</v>
      </c>
      <c r="C1302" t="s">
        <v>2695</v>
      </c>
      <c r="D1302" t="s">
        <v>2696</v>
      </c>
    </row>
    <row r="1303" spans="1:4" x14ac:dyDescent="0.3">
      <c r="A1303" t="s">
        <v>2681</v>
      </c>
      <c r="B1303" t="s">
        <v>2682</v>
      </c>
      <c r="C1303" t="s">
        <v>2697</v>
      </c>
      <c r="D1303" t="s">
        <v>2698</v>
      </c>
    </row>
    <row r="1304" spans="1:4" x14ac:dyDescent="0.3">
      <c r="A1304" t="s">
        <v>2681</v>
      </c>
      <c r="B1304" t="s">
        <v>2682</v>
      </c>
      <c r="C1304" t="s">
        <v>2699</v>
      </c>
      <c r="D1304" t="s">
        <v>2700</v>
      </c>
    </row>
    <row r="1305" spans="1:4" x14ac:dyDescent="0.3">
      <c r="A1305" t="s">
        <v>2681</v>
      </c>
      <c r="B1305" t="s">
        <v>2682</v>
      </c>
      <c r="C1305" t="s">
        <v>2701</v>
      </c>
      <c r="D1305" t="s">
        <v>2702</v>
      </c>
    </row>
    <row r="1306" spans="1:4" x14ac:dyDescent="0.3">
      <c r="A1306" t="s">
        <v>2681</v>
      </c>
      <c r="B1306" t="s">
        <v>2682</v>
      </c>
      <c r="C1306" t="s">
        <v>2703</v>
      </c>
      <c r="D1306" t="s">
        <v>2704</v>
      </c>
    </row>
    <row r="1307" spans="1:4" x14ac:dyDescent="0.3">
      <c r="A1307" t="s">
        <v>2681</v>
      </c>
      <c r="B1307" t="s">
        <v>2682</v>
      </c>
      <c r="C1307" t="s">
        <v>2705</v>
      </c>
      <c r="D1307" t="s">
        <v>2706</v>
      </c>
    </row>
    <row r="1308" spans="1:4" x14ac:dyDescent="0.3">
      <c r="A1308" t="s">
        <v>2681</v>
      </c>
      <c r="B1308" t="s">
        <v>2682</v>
      </c>
      <c r="C1308" t="s">
        <v>2707</v>
      </c>
      <c r="D1308" t="s">
        <v>2708</v>
      </c>
    </row>
    <row r="1309" spans="1:4" x14ac:dyDescent="0.3">
      <c r="A1309" t="s">
        <v>2681</v>
      </c>
      <c r="B1309" t="s">
        <v>2682</v>
      </c>
      <c r="C1309" t="s">
        <v>2709</v>
      </c>
      <c r="D1309" t="s">
        <v>2710</v>
      </c>
    </row>
    <row r="1310" spans="1:4" x14ac:dyDescent="0.3">
      <c r="A1310" t="s">
        <v>2681</v>
      </c>
      <c r="B1310" t="s">
        <v>2682</v>
      </c>
      <c r="C1310" t="s">
        <v>2711</v>
      </c>
      <c r="D1310" t="s">
        <v>2712</v>
      </c>
    </row>
    <row r="1311" spans="1:4" x14ac:dyDescent="0.3">
      <c r="A1311" t="s">
        <v>2681</v>
      </c>
      <c r="B1311" t="s">
        <v>2682</v>
      </c>
      <c r="C1311" t="s">
        <v>2713</v>
      </c>
      <c r="D1311" t="s">
        <v>2714</v>
      </c>
    </row>
    <row r="1312" spans="1:4" x14ac:dyDescent="0.3">
      <c r="A1312" t="s">
        <v>2681</v>
      </c>
      <c r="B1312" t="s">
        <v>2682</v>
      </c>
      <c r="C1312" t="s">
        <v>2715</v>
      </c>
      <c r="D1312" t="s">
        <v>2716</v>
      </c>
    </row>
    <row r="1313" spans="1:4" x14ac:dyDescent="0.3">
      <c r="A1313" t="s">
        <v>2681</v>
      </c>
      <c r="B1313" t="s">
        <v>2682</v>
      </c>
      <c r="C1313" t="s">
        <v>2717</v>
      </c>
      <c r="D1313" t="s">
        <v>2718</v>
      </c>
    </row>
    <row r="1314" spans="1:4" x14ac:dyDescent="0.3">
      <c r="A1314" t="s">
        <v>2681</v>
      </c>
      <c r="B1314" t="s">
        <v>2682</v>
      </c>
      <c r="C1314" t="s">
        <v>2719</v>
      </c>
      <c r="D1314" t="s">
        <v>2720</v>
      </c>
    </row>
    <row r="1315" spans="1:4" x14ac:dyDescent="0.3">
      <c r="A1315" t="s">
        <v>2681</v>
      </c>
      <c r="B1315" t="s">
        <v>2682</v>
      </c>
      <c r="C1315" t="s">
        <v>2721</v>
      </c>
      <c r="D1315" t="s">
        <v>2722</v>
      </c>
    </row>
    <row r="1316" spans="1:4" x14ac:dyDescent="0.3">
      <c r="A1316" t="s">
        <v>2681</v>
      </c>
      <c r="B1316" t="s">
        <v>2682</v>
      </c>
      <c r="C1316" t="s">
        <v>2723</v>
      </c>
      <c r="D1316" t="s">
        <v>2724</v>
      </c>
    </row>
    <row r="1317" spans="1:4" x14ac:dyDescent="0.3">
      <c r="A1317" t="s">
        <v>2681</v>
      </c>
      <c r="B1317" t="s">
        <v>2682</v>
      </c>
      <c r="C1317" t="s">
        <v>2725</v>
      </c>
      <c r="D1317" t="s">
        <v>2726</v>
      </c>
    </row>
    <row r="1318" spans="1:4" x14ac:dyDescent="0.3">
      <c r="A1318" t="s">
        <v>2681</v>
      </c>
      <c r="B1318" t="s">
        <v>2682</v>
      </c>
      <c r="C1318" t="s">
        <v>2727</v>
      </c>
      <c r="D1318" t="s">
        <v>2728</v>
      </c>
    </row>
    <row r="1319" spans="1:4" x14ac:dyDescent="0.3">
      <c r="A1319" t="s">
        <v>2681</v>
      </c>
      <c r="B1319" t="s">
        <v>2682</v>
      </c>
      <c r="C1319" t="s">
        <v>2729</v>
      </c>
      <c r="D1319" t="s">
        <v>2730</v>
      </c>
    </row>
    <row r="1320" spans="1:4" x14ac:dyDescent="0.3">
      <c r="A1320" t="s">
        <v>2681</v>
      </c>
      <c r="B1320" t="s">
        <v>2682</v>
      </c>
      <c r="C1320" t="s">
        <v>2731</v>
      </c>
      <c r="D1320" t="s">
        <v>2732</v>
      </c>
    </row>
    <row r="1321" spans="1:4" x14ac:dyDescent="0.3">
      <c r="A1321" t="s">
        <v>2681</v>
      </c>
      <c r="B1321" t="s">
        <v>2682</v>
      </c>
      <c r="C1321" t="s">
        <v>2733</v>
      </c>
      <c r="D1321" t="s">
        <v>2734</v>
      </c>
    </row>
    <row r="1322" spans="1:4" x14ac:dyDescent="0.3">
      <c r="A1322" t="s">
        <v>2681</v>
      </c>
      <c r="B1322" t="s">
        <v>2682</v>
      </c>
      <c r="C1322" t="s">
        <v>2735</v>
      </c>
      <c r="D1322" t="s">
        <v>2736</v>
      </c>
    </row>
    <row r="1323" spans="1:4" x14ac:dyDescent="0.3">
      <c r="A1323" t="s">
        <v>2681</v>
      </c>
      <c r="B1323" t="s">
        <v>2682</v>
      </c>
      <c r="C1323" t="s">
        <v>2737</v>
      </c>
      <c r="D1323" t="s">
        <v>2738</v>
      </c>
    </row>
    <row r="1324" spans="1:4" x14ac:dyDescent="0.3">
      <c r="A1324" t="s">
        <v>2681</v>
      </c>
      <c r="B1324" t="s">
        <v>2682</v>
      </c>
      <c r="C1324" t="s">
        <v>2739</v>
      </c>
      <c r="D1324" t="s">
        <v>2740</v>
      </c>
    </row>
    <row r="1325" spans="1:4" x14ac:dyDescent="0.3">
      <c r="A1325" t="s">
        <v>2681</v>
      </c>
      <c r="B1325" t="s">
        <v>2682</v>
      </c>
      <c r="C1325" t="s">
        <v>2741</v>
      </c>
      <c r="D1325" t="s">
        <v>2742</v>
      </c>
    </row>
    <row r="1326" spans="1:4" x14ac:dyDescent="0.3">
      <c r="A1326" t="s">
        <v>2681</v>
      </c>
      <c r="B1326" t="s">
        <v>2682</v>
      </c>
      <c r="C1326" t="s">
        <v>2743</v>
      </c>
      <c r="D1326" t="s">
        <v>2744</v>
      </c>
    </row>
    <row r="1327" spans="1:4" x14ac:dyDescent="0.3">
      <c r="A1327" t="s">
        <v>2681</v>
      </c>
      <c r="B1327" t="s">
        <v>2682</v>
      </c>
      <c r="C1327" t="s">
        <v>2745</v>
      </c>
      <c r="D1327" t="s">
        <v>2746</v>
      </c>
    </row>
    <row r="1328" spans="1:4" x14ac:dyDescent="0.3">
      <c r="A1328" t="s">
        <v>2681</v>
      </c>
      <c r="B1328" t="s">
        <v>2682</v>
      </c>
      <c r="C1328" t="s">
        <v>2747</v>
      </c>
      <c r="D1328" t="s">
        <v>2748</v>
      </c>
    </row>
    <row r="1329" spans="1:4" x14ac:dyDescent="0.3">
      <c r="A1329" t="s">
        <v>2681</v>
      </c>
      <c r="B1329" t="s">
        <v>2682</v>
      </c>
      <c r="C1329" t="s">
        <v>2749</v>
      </c>
      <c r="D1329" t="s">
        <v>2750</v>
      </c>
    </row>
    <row r="1330" spans="1:4" x14ac:dyDescent="0.3">
      <c r="A1330" t="s">
        <v>2681</v>
      </c>
      <c r="B1330" t="s">
        <v>2682</v>
      </c>
      <c r="C1330" t="s">
        <v>2751</v>
      </c>
      <c r="D1330" t="s">
        <v>2752</v>
      </c>
    </row>
    <row r="1331" spans="1:4" x14ac:dyDescent="0.3">
      <c r="A1331" t="s">
        <v>2681</v>
      </c>
      <c r="B1331" t="s">
        <v>2682</v>
      </c>
      <c r="C1331" t="s">
        <v>2753</v>
      </c>
      <c r="D1331" t="s">
        <v>2754</v>
      </c>
    </row>
    <row r="1332" spans="1:4" x14ac:dyDescent="0.3">
      <c r="A1332" t="s">
        <v>2681</v>
      </c>
      <c r="B1332" t="s">
        <v>2682</v>
      </c>
      <c r="C1332" t="s">
        <v>2755</v>
      </c>
      <c r="D1332" t="s">
        <v>2756</v>
      </c>
    </row>
    <row r="1333" spans="1:4" x14ac:dyDescent="0.3">
      <c r="A1333" t="s">
        <v>2681</v>
      </c>
      <c r="B1333" t="s">
        <v>2682</v>
      </c>
      <c r="C1333" t="s">
        <v>2757</v>
      </c>
      <c r="D1333" t="s">
        <v>2758</v>
      </c>
    </row>
    <row r="1334" spans="1:4" x14ac:dyDescent="0.3">
      <c r="A1334" t="s">
        <v>2681</v>
      </c>
      <c r="B1334" t="s">
        <v>2682</v>
      </c>
      <c r="C1334" t="s">
        <v>2759</v>
      </c>
      <c r="D1334" t="s">
        <v>2760</v>
      </c>
    </row>
    <row r="1335" spans="1:4" x14ac:dyDescent="0.3">
      <c r="A1335" t="s">
        <v>2761</v>
      </c>
      <c r="B1335" t="s">
        <v>2762</v>
      </c>
      <c r="C1335" t="s">
        <v>2763</v>
      </c>
      <c r="D1335" t="s">
        <v>2764</v>
      </c>
    </row>
    <row r="1336" spans="1:4" x14ac:dyDescent="0.3">
      <c r="A1336" t="s">
        <v>2761</v>
      </c>
      <c r="B1336" t="s">
        <v>2762</v>
      </c>
      <c r="C1336" t="s">
        <v>2765</v>
      </c>
      <c r="D1336" t="s">
        <v>2766</v>
      </c>
    </row>
    <row r="1337" spans="1:4" x14ac:dyDescent="0.3">
      <c r="A1337" t="s">
        <v>2761</v>
      </c>
      <c r="B1337" t="s">
        <v>2762</v>
      </c>
      <c r="C1337" t="s">
        <v>2767</v>
      </c>
      <c r="D1337" t="s">
        <v>2768</v>
      </c>
    </row>
    <row r="1338" spans="1:4" x14ac:dyDescent="0.3">
      <c r="A1338" t="s">
        <v>2761</v>
      </c>
      <c r="B1338" t="s">
        <v>2762</v>
      </c>
      <c r="C1338" t="s">
        <v>2769</v>
      </c>
      <c r="D1338" t="s">
        <v>2770</v>
      </c>
    </row>
    <row r="1339" spans="1:4" x14ac:dyDescent="0.3">
      <c r="A1339" t="s">
        <v>2761</v>
      </c>
      <c r="B1339" t="s">
        <v>2762</v>
      </c>
      <c r="C1339" t="s">
        <v>2771</v>
      </c>
      <c r="D1339" t="s">
        <v>2580</v>
      </c>
    </row>
    <row r="1340" spans="1:4" x14ac:dyDescent="0.3">
      <c r="A1340" t="s">
        <v>2761</v>
      </c>
      <c r="B1340" t="s">
        <v>2762</v>
      </c>
      <c r="C1340" t="s">
        <v>2772</v>
      </c>
      <c r="D1340" t="s">
        <v>371</v>
      </c>
    </row>
    <row r="1341" spans="1:4" x14ac:dyDescent="0.3">
      <c r="A1341" t="s">
        <v>2761</v>
      </c>
      <c r="B1341" t="s">
        <v>2762</v>
      </c>
      <c r="C1341" t="s">
        <v>2773</v>
      </c>
      <c r="D1341" t="s">
        <v>2590</v>
      </c>
    </row>
    <row r="1342" spans="1:4" x14ac:dyDescent="0.3">
      <c r="A1342" t="s">
        <v>2761</v>
      </c>
      <c r="B1342" t="s">
        <v>2762</v>
      </c>
      <c r="C1342" t="s">
        <v>2774</v>
      </c>
      <c r="D1342" t="s">
        <v>453</v>
      </c>
    </row>
    <row r="1343" spans="1:4" x14ac:dyDescent="0.3">
      <c r="A1343" t="s">
        <v>2775</v>
      </c>
      <c r="B1343" t="s">
        <v>2776</v>
      </c>
      <c r="C1343" t="s">
        <v>2777</v>
      </c>
      <c r="D1343" t="s">
        <v>2778</v>
      </c>
    </row>
    <row r="1344" spans="1:4" x14ac:dyDescent="0.3">
      <c r="A1344" t="s">
        <v>2775</v>
      </c>
      <c r="B1344" t="s">
        <v>2776</v>
      </c>
      <c r="C1344" t="s">
        <v>2779</v>
      </c>
      <c r="D1344" t="s">
        <v>2780</v>
      </c>
    </row>
    <row r="1345" spans="1:4" x14ac:dyDescent="0.3">
      <c r="A1345" t="s">
        <v>2775</v>
      </c>
      <c r="B1345" t="s">
        <v>2776</v>
      </c>
      <c r="C1345" t="s">
        <v>2781</v>
      </c>
      <c r="D1345" t="s">
        <v>2782</v>
      </c>
    </row>
    <row r="1346" spans="1:4" x14ac:dyDescent="0.3">
      <c r="A1346" t="s">
        <v>2775</v>
      </c>
      <c r="B1346" t="s">
        <v>2776</v>
      </c>
      <c r="C1346" t="s">
        <v>2783</v>
      </c>
      <c r="D1346" t="s">
        <v>2784</v>
      </c>
    </row>
    <row r="1347" spans="1:4" x14ac:dyDescent="0.3">
      <c r="A1347" t="s">
        <v>2775</v>
      </c>
      <c r="B1347" t="s">
        <v>2776</v>
      </c>
      <c r="C1347" t="s">
        <v>2785</v>
      </c>
      <c r="D1347" t="s">
        <v>2786</v>
      </c>
    </row>
    <row r="1348" spans="1:4" x14ac:dyDescent="0.3">
      <c r="A1348" t="s">
        <v>2775</v>
      </c>
      <c r="B1348" t="s">
        <v>2776</v>
      </c>
      <c r="C1348" t="s">
        <v>2787</v>
      </c>
      <c r="D1348" t="s">
        <v>2788</v>
      </c>
    </row>
    <row r="1349" spans="1:4" x14ac:dyDescent="0.3">
      <c r="A1349" t="s">
        <v>2775</v>
      </c>
      <c r="B1349" t="s">
        <v>2776</v>
      </c>
      <c r="C1349" t="s">
        <v>2789</v>
      </c>
      <c r="D1349" t="s">
        <v>2790</v>
      </c>
    </row>
    <row r="1350" spans="1:4" x14ac:dyDescent="0.3">
      <c r="A1350" t="s">
        <v>2775</v>
      </c>
      <c r="B1350" t="s">
        <v>2776</v>
      </c>
      <c r="C1350" t="s">
        <v>2791</v>
      </c>
      <c r="D1350" t="s">
        <v>2792</v>
      </c>
    </row>
    <row r="1351" spans="1:4" x14ac:dyDescent="0.3">
      <c r="A1351" t="s">
        <v>2775</v>
      </c>
      <c r="B1351" t="s">
        <v>2776</v>
      </c>
      <c r="C1351" t="s">
        <v>2793</v>
      </c>
      <c r="D1351" t="s">
        <v>2794</v>
      </c>
    </row>
    <row r="1352" spans="1:4" x14ac:dyDescent="0.3">
      <c r="A1352" t="s">
        <v>2775</v>
      </c>
      <c r="B1352" t="s">
        <v>2776</v>
      </c>
      <c r="C1352" t="s">
        <v>2795</v>
      </c>
      <c r="D1352" t="s">
        <v>2796</v>
      </c>
    </row>
    <row r="1353" spans="1:4" x14ac:dyDescent="0.3">
      <c r="A1353" t="s">
        <v>2775</v>
      </c>
      <c r="B1353" t="s">
        <v>2776</v>
      </c>
      <c r="C1353" t="s">
        <v>2797</v>
      </c>
      <c r="D1353" t="s">
        <v>2798</v>
      </c>
    </row>
    <row r="1354" spans="1:4" x14ac:dyDescent="0.3">
      <c r="A1354" t="s">
        <v>2775</v>
      </c>
      <c r="B1354" t="s">
        <v>2776</v>
      </c>
      <c r="C1354" t="s">
        <v>2799</v>
      </c>
      <c r="D1354" t="s">
        <v>2800</v>
      </c>
    </row>
    <row r="1355" spans="1:4" x14ac:dyDescent="0.3">
      <c r="A1355" t="s">
        <v>2775</v>
      </c>
      <c r="B1355" t="s">
        <v>2776</v>
      </c>
      <c r="C1355" t="s">
        <v>2801</v>
      </c>
      <c r="D1355" t="s">
        <v>2802</v>
      </c>
    </row>
    <row r="1356" spans="1:4" x14ac:dyDescent="0.3">
      <c r="A1356" t="s">
        <v>2775</v>
      </c>
      <c r="B1356" t="s">
        <v>2776</v>
      </c>
      <c r="C1356" t="s">
        <v>2803</v>
      </c>
      <c r="D1356" t="s">
        <v>2804</v>
      </c>
    </row>
    <row r="1357" spans="1:4" x14ac:dyDescent="0.3">
      <c r="A1357" t="s">
        <v>2775</v>
      </c>
      <c r="B1357" t="s">
        <v>2776</v>
      </c>
      <c r="C1357" t="s">
        <v>2805</v>
      </c>
      <c r="D1357" t="s">
        <v>2806</v>
      </c>
    </row>
    <row r="1358" spans="1:4" x14ac:dyDescent="0.3">
      <c r="A1358" t="s">
        <v>2775</v>
      </c>
      <c r="B1358" t="s">
        <v>2776</v>
      </c>
      <c r="C1358" t="s">
        <v>2807</v>
      </c>
      <c r="D1358" t="s">
        <v>2808</v>
      </c>
    </row>
    <row r="1359" spans="1:4" x14ac:dyDescent="0.3">
      <c r="A1359" t="s">
        <v>2775</v>
      </c>
      <c r="B1359" t="s">
        <v>2776</v>
      </c>
      <c r="C1359" t="s">
        <v>2809</v>
      </c>
      <c r="D1359" t="s">
        <v>2810</v>
      </c>
    </row>
    <row r="1360" spans="1:4" x14ac:dyDescent="0.3">
      <c r="A1360" t="s">
        <v>2775</v>
      </c>
      <c r="B1360" t="s">
        <v>2776</v>
      </c>
      <c r="C1360" t="s">
        <v>2811</v>
      </c>
      <c r="D1360" t="s">
        <v>2812</v>
      </c>
    </row>
    <row r="1361" spans="1:4" x14ac:dyDescent="0.3">
      <c r="A1361" t="s">
        <v>2775</v>
      </c>
      <c r="B1361" t="s">
        <v>2776</v>
      </c>
      <c r="C1361" t="s">
        <v>2813</v>
      </c>
      <c r="D1361" t="s">
        <v>2814</v>
      </c>
    </row>
    <row r="1362" spans="1:4" x14ac:dyDescent="0.3">
      <c r="A1362" t="s">
        <v>2775</v>
      </c>
      <c r="B1362" t="s">
        <v>2776</v>
      </c>
      <c r="C1362" t="s">
        <v>2815</v>
      </c>
      <c r="D1362" t="s">
        <v>2816</v>
      </c>
    </row>
    <row r="1363" spans="1:4" x14ac:dyDescent="0.3">
      <c r="A1363" t="s">
        <v>2775</v>
      </c>
      <c r="B1363" t="s">
        <v>2776</v>
      </c>
      <c r="C1363" t="s">
        <v>2817</v>
      </c>
      <c r="D1363" t="s">
        <v>2818</v>
      </c>
    </row>
    <row r="1364" spans="1:4" x14ac:dyDescent="0.3">
      <c r="A1364" t="s">
        <v>2775</v>
      </c>
      <c r="B1364" t="s">
        <v>2776</v>
      </c>
      <c r="C1364" t="s">
        <v>2819</v>
      </c>
      <c r="D1364" t="s">
        <v>2820</v>
      </c>
    </row>
    <row r="1365" spans="1:4" x14ac:dyDescent="0.3">
      <c r="A1365" t="s">
        <v>2775</v>
      </c>
      <c r="B1365" t="s">
        <v>2776</v>
      </c>
      <c r="C1365" t="s">
        <v>2821</v>
      </c>
      <c r="D1365" t="s">
        <v>2822</v>
      </c>
    </row>
    <row r="1366" spans="1:4" x14ac:dyDescent="0.3">
      <c r="A1366" t="s">
        <v>2775</v>
      </c>
      <c r="B1366" t="s">
        <v>2776</v>
      </c>
      <c r="C1366" t="s">
        <v>2823</v>
      </c>
      <c r="D1366" t="s">
        <v>2824</v>
      </c>
    </row>
    <row r="1367" spans="1:4" x14ac:dyDescent="0.3">
      <c r="A1367" t="s">
        <v>2775</v>
      </c>
      <c r="B1367" t="s">
        <v>2776</v>
      </c>
      <c r="C1367" t="s">
        <v>2825</v>
      </c>
      <c r="D1367" t="s">
        <v>1951</v>
      </c>
    </row>
    <row r="1368" spans="1:4" x14ac:dyDescent="0.3">
      <c r="A1368" t="s">
        <v>2775</v>
      </c>
      <c r="B1368" t="s">
        <v>2776</v>
      </c>
      <c r="C1368" t="s">
        <v>2826</v>
      </c>
      <c r="D1368" t="s">
        <v>2827</v>
      </c>
    </row>
    <row r="1369" spans="1:4" x14ac:dyDescent="0.3">
      <c r="A1369" t="s">
        <v>2775</v>
      </c>
      <c r="B1369" t="s">
        <v>2776</v>
      </c>
      <c r="C1369" t="s">
        <v>2828</v>
      </c>
      <c r="D1369" t="s">
        <v>2829</v>
      </c>
    </row>
    <row r="1370" spans="1:4" x14ac:dyDescent="0.3">
      <c r="A1370" t="s">
        <v>2830</v>
      </c>
      <c r="B1370" t="s">
        <v>2831</v>
      </c>
      <c r="C1370" t="s">
        <v>2832</v>
      </c>
      <c r="D1370" t="s">
        <v>2833</v>
      </c>
    </row>
    <row r="1371" spans="1:4" x14ac:dyDescent="0.3">
      <c r="A1371" t="s">
        <v>2830</v>
      </c>
      <c r="B1371" t="s">
        <v>2831</v>
      </c>
      <c r="C1371" t="s">
        <v>2834</v>
      </c>
      <c r="D1371" t="s">
        <v>2835</v>
      </c>
    </row>
    <row r="1372" spans="1:4" x14ac:dyDescent="0.3">
      <c r="A1372" t="s">
        <v>2830</v>
      </c>
      <c r="B1372" t="s">
        <v>2831</v>
      </c>
      <c r="C1372" t="s">
        <v>2836</v>
      </c>
      <c r="D1372" t="s">
        <v>2837</v>
      </c>
    </row>
    <row r="1373" spans="1:4" x14ac:dyDescent="0.3">
      <c r="A1373" t="s">
        <v>2830</v>
      </c>
      <c r="B1373" t="s">
        <v>2831</v>
      </c>
      <c r="C1373" t="s">
        <v>2838</v>
      </c>
      <c r="D1373" t="s">
        <v>2839</v>
      </c>
    </row>
    <row r="1374" spans="1:4" x14ac:dyDescent="0.3">
      <c r="A1374" t="s">
        <v>2830</v>
      </c>
      <c r="B1374" t="s">
        <v>2831</v>
      </c>
      <c r="C1374" t="s">
        <v>2840</v>
      </c>
      <c r="D1374" t="s">
        <v>2841</v>
      </c>
    </row>
    <row r="1375" spans="1:4" x14ac:dyDescent="0.3">
      <c r="A1375" t="s">
        <v>2830</v>
      </c>
      <c r="B1375" t="s">
        <v>2831</v>
      </c>
      <c r="C1375" t="s">
        <v>2842</v>
      </c>
      <c r="D1375" t="s">
        <v>2843</v>
      </c>
    </row>
    <row r="1376" spans="1:4" x14ac:dyDescent="0.3">
      <c r="A1376" t="s">
        <v>2830</v>
      </c>
      <c r="B1376" t="s">
        <v>2831</v>
      </c>
      <c r="C1376" t="s">
        <v>2844</v>
      </c>
      <c r="D1376" t="s">
        <v>2845</v>
      </c>
    </row>
    <row r="1377" spans="1:4" x14ac:dyDescent="0.3">
      <c r="A1377" t="s">
        <v>2846</v>
      </c>
      <c r="B1377" t="s">
        <v>2847</v>
      </c>
      <c r="C1377" t="s">
        <v>2848</v>
      </c>
      <c r="D1377" t="s">
        <v>2849</v>
      </c>
    </row>
    <row r="1378" spans="1:4" x14ac:dyDescent="0.3">
      <c r="A1378" t="s">
        <v>2846</v>
      </c>
      <c r="B1378" t="s">
        <v>2847</v>
      </c>
      <c r="C1378" t="s">
        <v>2850</v>
      </c>
      <c r="D1378" t="s">
        <v>2851</v>
      </c>
    </row>
    <row r="1379" spans="1:4" x14ac:dyDescent="0.3">
      <c r="A1379" t="s">
        <v>2846</v>
      </c>
      <c r="B1379" t="s">
        <v>2847</v>
      </c>
      <c r="C1379" t="s">
        <v>2852</v>
      </c>
      <c r="D1379" t="s">
        <v>2853</v>
      </c>
    </row>
    <row r="1380" spans="1:4" x14ac:dyDescent="0.3">
      <c r="A1380" t="s">
        <v>2846</v>
      </c>
      <c r="B1380" t="s">
        <v>2847</v>
      </c>
      <c r="C1380" t="s">
        <v>2854</v>
      </c>
      <c r="D1380" t="s">
        <v>2855</v>
      </c>
    </row>
    <row r="1381" spans="1:4" x14ac:dyDescent="0.3">
      <c r="A1381" t="s">
        <v>2846</v>
      </c>
      <c r="B1381" t="s">
        <v>2847</v>
      </c>
      <c r="C1381" t="s">
        <v>2856</v>
      </c>
      <c r="D1381" t="s">
        <v>2857</v>
      </c>
    </row>
    <row r="1382" spans="1:4" x14ac:dyDescent="0.3">
      <c r="A1382" t="s">
        <v>2846</v>
      </c>
      <c r="B1382" t="s">
        <v>2847</v>
      </c>
      <c r="C1382" t="s">
        <v>2858</v>
      </c>
      <c r="D1382" t="s">
        <v>2859</v>
      </c>
    </row>
    <row r="1383" spans="1:4" x14ac:dyDescent="0.3">
      <c r="A1383" t="s">
        <v>2846</v>
      </c>
      <c r="B1383" t="s">
        <v>2847</v>
      </c>
      <c r="C1383" t="s">
        <v>2860</v>
      </c>
      <c r="D1383" t="s">
        <v>2861</v>
      </c>
    </row>
    <row r="1384" spans="1:4" x14ac:dyDescent="0.3">
      <c r="A1384" t="s">
        <v>2846</v>
      </c>
      <c r="B1384" t="s">
        <v>2847</v>
      </c>
      <c r="C1384" t="s">
        <v>2862</v>
      </c>
      <c r="D1384" t="s">
        <v>2863</v>
      </c>
    </row>
    <row r="1385" spans="1:4" x14ac:dyDescent="0.3">
      <c r="A1385" t="s">
        <v>2846</v>
      </c>
      <c r="B1385" t="s">
        <v>2847</v>
      </c>
      <c r="C1385" t="s">
        <v>2864</v>
      </c>
      <c r="D1385" t="s">
        <v>2865</v>
      </c>
    </row>
    <row r="1386" spans="1:4" x14ac:dyDescent="0.3">
      <c r="A1386" t="s">
        <v>2846</v>
      </c>
      <c r="B1386" t="s">
        <v>2847</v>
      </c>
      <c r="C1386" t="s">
        <v>2866</v>
      </c>
      <c r="D1386" t="s">
        <v>2867</v>
      </c>
    </row>
    <row r="1387" spans="1:4" x14ac:dyDescent="0.3">
      <c r="A1387" t="s">
        <v>2846</v>
      </c>
      <c r="B1387" t="s">
        <v>2847</v>
      </c>
      <c r="C1387" t="s">
        <v>2868</v>
      </c>
      <c r="D1387" t="s">
        <v>2869</v>
      </c>
    </row>
    <row r="1388" spans="1:4" x14ac:dyDescent="0.3">
      <c r="A1388" t="s">
        <v>2846</v>
      </c>
      <c r="B1388" t="s">
        <v>2847</v>
      </c>
      <c r="C1388" t="s">
        <v>2870</v>
      </c>
      <c r="D1388" t="s">
        <v>2871</v>
      </c>
    </row>
    <row r="1389" spans="1:4" x14ac:dyDescent="0.3">
      <c r="A1389" t="s">
        <v>2846</v>
      </c>
      <c r="B1389" t="s">
        <v>2847</v>
      </c>
      <c r="C1389" t="s">
        <v>2872</v>
      </c>
      <c r="D1389" t="s">
        <v>2873</v>
      </c>
    </row>
    <row r="1390" spans="1:4" x14ac:dyDescent="0.3">
      <c r="A1390" t="s">
        <v>2846</v>
      </c>
      <c r="B1390" t="s">
        <v>2847</v>
      </c>
      <c r="C1390" t="s">
        <v>2874</v>
      </c>
      <c r="D1390" t="s">
        <v>2875</v>
      </c>
    </row>
    <row r="1391" spans="1:4" x14ac:dyDescent="0.3">
      <c r="A1391" t="s">
        <v>2846</v>
      </c>
      <c r="B1391" t="s">
        <v>2847</v>
      </c>
      <c r="C1391" t="s">
        <v>2876</v>
      </c>
      <c r="D1391" t="s">
        <v>2877</v>
      </c>
    </row>
    <row r="1392" spans="1:4" x14ac:dyDescent="0.3">
      <c r="A1392" t="s">
        <v>2846</v>
      </c>
      <c r="B1392" t="s">
        <v>2847</v>
      </c>
      <c r="C1392" t="s">
        <v>2878</v>
      </c>
      <c r="D1392" t="s">
        <v>2879</v>
      </c>
    </row>
    <row r="1393" spans="1:4" x14ac:dyDescent="0.3">
      <c r="A1393" t="s">
        <v>2846</v>
      </c>
      <c r="B1393" t="s">
        <v>2847</v>
      </c>
      <c r="C1393" t="s">
        <v>2880</v>
      </c>
      <c r="D1393" t="s">
        <v>2881</v>
      </c>
    </row>
    <row r="1394" spans="1:4" x14ac:dyDescent="0.3">
      <c r="A1394" t="s">
        <v>2846</v>
      </c>
      <c r="B1394" t="s">
        <v>2847</v>
      </c>
      <c r="C1394" t="s">
        <v>2882</v>
      </c>
      <c r="D1394" t="s">
        <v>2883</v>
      </c>
    </row>
    <row r="1395" spans="1:4" x14ac:dyDescent="0.3">
      <c r="A1395" t="s">
        <v>2846</v>
      </c>
      <c r="B1395" t="s">
        <v>2847</v>
      </c>
      <c r="C1395" t="s">
        <v>2884</v>
      </c>
      <c r="D1395" t="s">
        <v>2885</v>
      </c>
    </row>
    <row r="1396" spans="1:4" x14ac:dyDescent="0.3">
      <c r="A1396" t="s">
        <v>2846</v>
      </c>
      <c r="B1396" t="s">
        <v>2847</v>
      </c>
      <c r="C1396" t="s">
        <v>2886</v>
      </c>
      <c r="D1396" t="s">
        <v>2887</v>
      </c>
    </row>
    <row r="1397" spans="1:4" x14ac:dyDescent="0.3">
      <c r="A1397" t="s">
        <v>2846</v>
      </c>
      <c r="B1397" t="s">
        <v>2847</v>
      </c>
      <c r="C1397" t="s">
        <v>2888</v>
      </c>
      <c r="D1397" t="s">
        <v>2889</v>
      </c>
    </row>
    <row r="1398" spans="1:4" x14ac:dyDescent="0.3">
      <c r="A1398" t="s">
        <v>2846</v>
      </c>
      <c r="B1398" t="s">
        <v>2847</v>
      </c>
      <c r="C1398" t="s">
        <v>2890</v>
      </c>
      <c r="D1398" t="s">
        <v>2891</v>
      </c>
    </row>
    <row r="1399" spans="1:4" x14ac:dyDescent="0.3">
      <c r="A1399" t="s">
        <v>2846</v>
      </c>
      <c r="B1399" t="s">
        <v>2847</v>
      </c>
      <c r="C1399" t="s">
        <v>2892</v>
      </c>
      <c r="D1399" t="s">
        <v>2893</v>
      </c>
    </row>
    <row r="1400" spans="1:4" x14ac:dyDescent="0.3">
      <c r="A1400" t="s">
        <v>2846</v>
      </c>
      <c r="B1400" t="s">
        <v>2847</v>
      </c>
      <c r="C1400" t="s">
        <v>2894</v>
      </c>
      <c r="D1400" t="s">
        <v>2895</v>
      </c>
    </row>
    <row r="1401" spans="1:4" x14ac:dyDescent="0.3">
      <c r="A1401" t="s">
        <v>2846</v>
      </c>
      <c r="B1401" t="s">
        <v>2847</v>
      </c>
      <c r="C1401" t="s">
        <v>2896</v>
      </c>
      <c r="D1401" t="s">
        <v>2897</v>
      </c>
    </row>
    <row r="1402" spans="1:4" x14ac:dyDescent="0.3">
      <c r="A1402" t="s">
        <v>2846</v>
      </c>
      <c r="B1402" t="s">
        <v>2847</v>
      </c>
      <c r="C1402" t="s">
        <v>2898</v>
      </c>
      <c r="D1402" t="s">
        <v>2899</v>
      </c>
    </row>
    <row r="1403" spans="1:4" x14ac:dyDescent="0.3">
      <c r="A1403" t="s">
        <v>2846</v>
      </c>
      <c r="B1403" t="s">
        <v>2847</v>
      </c>
      <c r="C1403" t="s">
        <v>2900</v>
      </c>
      <c r="D1403" t="s">
        <v>2901</v>
      </c>
    </row>
    <row r="1404" spans="1:4" x14ac:dyDescent="0.3">
      <c r="A1404" t="s">
        <v>2846</v>
      </c>
      <c r="B1404" t="s">
        <v>2847</v>
      </c>
      <c r="C1404" t="s">
        <v>2902</v>
      </c>
      <c r="D1404" t="s">
        <v>2903</v>
      </c>
    </row>
    <row r="1405" spans="1:4" x14ac:dyDescent="0.3">
      <c r="A1405" t="s">
        <v>2846</v>
      </c>
      <c r="B1405" t="s">
        <v>2847</v>
      </c>
      <c r="C1405" t="s">
        <v>2904</v>
      </c>
      <c r="D1405" t="s">
        <v>2905</v>
      </c>
    </row>
    <row r="1406" spans="1:4" x14ac:dyDescent="0.3">
      <c r="A1406" t="s">
        <v>2846</v>
      </c>
      <c r="B1406" t="s">
        <v>2847</v>
      </c>
      <c r="C1406" t="s">
        <v>2906</v>
      </c>
      <c r="D1406" t="s">
        <v>2907</v>
      </c>
    </row>
    <row r="1407" spans="1:4" x14ac:dyDescent="0.3">
      <c r="A1407" t="s">
        <v>2846</v>
      </c>
      <c r="B1407" t="s">
        <v>2847</v>
      </c>
      <c r="C1407" t="s">
        <v>2908</v>
      </c>
      <c r="D1407" t="s">
        <v>2909</v>
      </c>
    </row>
    <row r="1408" spans="1:4" x14ac:dyDescent="0.3">
      <c r="A1408" t="s">
        <v>2846</v>
      </c>
      <c r="B1408" t="s">
        <v>2847</v>
      </c>
      <c r="C1408" t="s">
        <v>2910</v>
      </c>
      <c r="D1408" t="s">
        <v>2911</v>
      </c>
    </row>
    <row r="1409" spans="1:4" x14ac:dyDescent="0.3">
      <c r="A1409" t="s">
        <v>2846</v>
      </c>
      <c r="B1409" t="s">
        <v>2847</v>
      </c>
      <c r="C1409" t="s">
        <v>2912</v>
      </c>
      <c r="D1409" t="s">
        <v>2913</v>
      </c>
    </row>
    <row r="1410" spans="1:4" x14ac:dyDescent="0.3">
      <c r="A1410" t="s">
        <v>2914</v>
      </c>
      <c r="B1410" t="s">
        <v>2915</v>
      </c>
      <c r="C1410" t="s">
        <v>2916</v>
      </c>
      <c r="D1410" t="s">
        <v>2917</v>
      </c>
    </row>
    <row r="1411" spans="1:4" x14ac:dyDescent="0.3">
      <c r="A1411" t="s">
        <v>2914</v>
      </c>
      <c r="B1411" t="s">
        <v>2915</v>
      </c>
      <c r="C1411" t="s">
        <v>2918</v>
      </c>
      <c r="D1411" t="s">
        <v>2919</v>
      </c>
    </row>
    <row r="1412" spans="1:4" x14ac:dyDescent="0.3">
      <c r="A1412" t="s">
        <v>2914</v>
      </c>
      <c r="B1412" t="s">
        <v>2915</v>
      </c>
      <c r="C1412" t="s">
        <v>2920</v>
      </c>
      <c r="D1412" t="s">
        <v>2371</v>
      </c>
    </row>
    <row r="1413" spans="1:4" x14ac:dyDescent="0.3">
      <c r="A1413" t="s">
        <v>2914</v>
      </c>
      <c r="B1413" t="s">
        <v>2915</v>
      </c>
      <c r="C1413" t="s">
        <v>2921</v>
      </c>
      <c r="D1413" t="s">
        <v>2922</v>
      </c>
    </row>
    <row r="1414" spans="1:4" x14ac:dyDescent="0.3">
      <c r="A1414" t="s">
        <v>2914</v>
      </c>
      <c r="B1414" t="s">
        <v>2915</v>
      </c>
      <c r="C1414" t="s">
        <v>2923</v>
      </c>
      <c r="D1414" t="s">
        <v>2924</v>
      </c>
    </row>
    <row r="1415" spans="1:4" x14ac:dyDescent="0.3">
      <c r="A1415" t="s">
        <v>2914</v>
      </c>
      <c r="B1415" t="s">
        <v>2915</v>
      </c>
      <c r="C1415" t="s">
        <v>2925</v>
      </c>
      <c r="D1415" t="s">
        <v>2926</v>
      </c>
    </row>
    <row r="1416" spans="1:4" x14ac:dyDescent="0.3">
      <c r="A1416" t="s">
        <v>2914</v>
      </c>
      <c r="B1416" t="s">
        <v>2915</v>
      </c>
      <c r="C1416" t="s">
        <v>2927</v>
      </c>
      <c r="D1416" t="s">
        <v>2928</v>
      </c>
    </row>
    <row r="1417" spans="1:4" x14ac:dyDescent="0.3">
      <c r="A1417" t="s">
        <v>2914</v>
      </c>
      <c r="B1417" t="s">
        <v>2915</v>
      </c>
      <c r="C1417" t="s">
        <v>2929</v>
      </c>
      <c r="D1417" t="s">
        <v>1220</v>
      </c>
    </row>
    <row r="1418" spans="1:4" x14ac:dyDescent="0.3">
      <c r="A1418" t="s">
        <v>2914</v>
      </c>
      <c r="B1418" t="s">
        <v>2915</v>
      </c>
      <c r="C1418" t="s">
        <v>2930</v>
      </c>
      <c r="D1418" t="s">
        <v>2671</v>
      </c>
    </row>
    <row r="1419" spans="1:4" x14ac:dyDescent="0.3">
      <c r="A1419" t="s">
        <v>2914</v>
      </c>
      <c r="B1419" t="s">
        <v>2915</v>
      </c>
      <c r="C1419" t="s">
        <v>2931</v>
      </c>
      <c r="D1419" t="s">
        <v>2932</v>
      </c>
    </row>
    <row r="1420" spans="1:4" x14ac:dyDescent="0.3">
      <c r="A1420" t="s">
        <v>2933</v>
      </c>
      <c r="B1420" t="s">
        <v>2934</v>
      </c>
      <c r="C1420" t="s">
        <v>2935</v>
      </c>
      <c r="D1420" t="s">
        <v>2936</v>
      </c>
    </row>
    <row r="1421" spans="1:4" x14ac:dyDescent="0.3">
      <c r="A1421" t="s">
        <v>2933</v>
      </c>
      <c r="B1421" t="s">
        <v>2934</v>
      </c>
      <c r="C1421" t="s">
        <v>2937</v>
      </c>
      <c r="D1421" t="s">
        <v>2938</v>
      </c>
    </row>
    <row r="1422" spans="1:4" x14ac:dyDescent="0.3">
      <c r="A1422" t="s">
        <v>2933</v>
      </c>
      <c r="B1422" t="s">
        <v>2934</v>
      </c>
      <c r="C1422" t="s">
        <v>2939</v>
      </c>
      <c r="D1422" t="s">
        <v>2940</v>
      </c>
    </row>
    <row r="1423" spans="1:4" x14ac:dyDescent="0.3">
      <c r="A1423" t="s">
        <v>2933</v>
      </c>
      <c r="B1423" t="s">
        <v>2934</v>
      </c>
      <c r="C1423" t="s">
        <v>2941</v>
      </c>
      <c r="D1423" t="s">
        <v>688</v>
      </c>
    </row>
    <row r="1424" spans="1:4" x14ac:dyDescent="0.3">
      <c r="A1424" t="s">
        <v>2933</v>
      </c>
      <c r="B1424" t="s">
        <v>2934</v>
      </c>
      <c r="C1424" t="s">
        <v>2942</v>
      </c>
      <c r="D1424" t="s">
        <v>696</v>
      </c>
    </row>
    <row r="1425" spans="1:4" x14ac:dyDescent="0.3">
      <c r="A1425" t="s">
        <v>2933</v>
      </c>
      <c r="B1425" t="s">
        <v>2934</v>
      </c>
      <c r="C1425" t="s">
        <v>2943</v>
      </c>
      <c r="D1425" t="s">
        <v>1594</v>
      </c>
    </row>
    <row r="1426" spans="1:4" x14ac:dyDescent="0.3">
      <c r="A1426" t="s">
        <v>2933</v>
      </c>
      <c r="B1426" t="s">
        <v>2934</v>
      </c>
      <c r="C1426" t="s">
        <v>2944</v>
      </c>
      <c r="D1426" t="s">
        <v>2945</v>
      </c>
    </row>
    <row r="1427" spans="1:4" x14ac:dyDescent="0.3">
      <c r="A1427" t="s">
        <v>2933</v>
      </c>
      <c r="B1427" t="s">
        <v>2934</v>
      </c>
      <c r="C1427" t="s">
        <v>2946</v>
      </c>
      <c r="D1427" t="s">
        <v>2947</v>
      </c>
    </row>
    <row r="1428" spans="1:4" x14ac:dyDescent="0.3">
      <c r="A1428" t="s">
        <v>2933</v>
      </c>
      <c r="B1428" t="s">
        <v>2934</v>
      </c>
      <c r="C1428" t="s">
        <v>2948</v>
      </c>
      <c r="D1428" t="s">
        <v>2949</v>
      </c>
    </row>
    <row r="1429" spans="1:4" x14ac:dyDescent="0.3">
      <c r="A1429" t="s">
        <v>2933</v>
      </c>
      <c r="B1429" t="s">
        <v>2934</v>
      </c>
      <c r="C1429" t="s">
        <v>2950</v>
      </c>
      <c r="D1429" t="s">
        <v>2951</v>
      </c>
    </row>
    <row r="1430" spans="1:4" x14ac:dyDescent="0.3">
      <c r="A1430" t="s">
        <v>2933</v>
      </c>
      <c r="B1430" t="s">
        <v>2934</v>
      </c>
      <c r="C1430" t="s">
        <v>2952</v>
      </c>
      <c r="D1430" t="s">
        <v>2953</v>
      </c>
    </row>
    <row r="1431" spans="1:4" x14ac:dyDescent="0.3">
      <c r="A1431" t="s">
        <v>2933</v>
      </c>
      <c r="B1431" t="s">
        <v>2934</v>
      </c>
      <c r="C1431" t="s">
        <v>2954</v>
      </c>
      <c r="D1431" t="s">
        <v>2955</v>
      </c>
    </row>
    <row r="1432" spans="1:4" x14ac:dyDescent="0.3">
      <c r="A1432" t="s">
        <v>2933</v>
      </c>
      <c r="B1432" t="s">
        <v>2934</v>
      </c>
      <c r="C1432" t="s">
        <v>2956</v>
      </c>
      <c r="D1432" t="s">
        <v>2957</v>
      </c>
    </row>
    <row r="1433" spans="1:4" x14ac:dyDescent="0.3">
      <c r="A1433" t="s">
        <v>2933</v>
      </c>
      <c r="B1433" t="s">
        <v>2934</v>
      </c>
      <c r="C1433" t="s">
        <v>2958</v>
      </c>
      <c r="D1433" t="s">
        <v>2959</v>
      </c>
    </row>
    <row r="1434" spans="1:4" x14ac:dyDescent="0.3">
      <c r="A1434" t="s">
        <v>2933</v>
      </c>
      <c r="B1434" t="s">
        <v>2934</v>
      </c>
      <c r="C1434" t="s">
        <v>2960</v>
      </c>
      <c r="D1434" t="s">
        <v>2961</v>
      </c>
    </row>
    <row r="1435" spans="1:4" x14ac:dyDescent="0.3">
      <c r="A1435" t="s">
        <v>2933</v>
      </c>
      <c r="B1435" t="s">
        <v>2934</v>
      </c>
      <c r="C1435" t="s">
        <v>2962</v>
      </c>
      <c r="D1435" t="s">
        <v>2264</v>
      </c>
    </row>
    <row r="1436" spans="1:4" x14ac:dyDescent="0.3">
      <c r="A1436" t="s">
        <v>2933</v>
      </c>
      <c r="B1436" t="s">
        <v>2934</v>
      </c>
      <c r="C1436" t="s">
        <v>2963</v>
      </c>
      <c r="D1436" t="s">
        <v>2964</v>
      </c>
    </row>
    <row r="1437" spans="1:4" x14ac:dyDescent="0.3">
      <c r="A1437" t="s">
        <v>2933</v>
      </c>
      <c r="B1437" t="s">
        <v>2934</v>
      </c>
      <c r="C1437" t="s">
        <v>2965</v>
      </c>
      <c r="D1437" t="s">
        <v>2966</v>
      </c>
    </row>
    <row r="1438" spans="1:4" x14ac:dyDescent="0.3">
      <c r="A1438" t="s">
        <v>2933</v>
      </c>
      <c r="B1438" t="s">
        <v>2934</v>
      </c>
      <c r="C1438" t="s">
        <v>2967</v>
      </c>
      <c r="D1438" t="s">
        <v>2968</v>
      </c>
    </row>
    <row r="1439" spans="1:4" x14ac:dyDescent="0.3">
      <c r="A1439" t="s">
        <v>2933</v>
      </c>
      <c r="B1439" t="s">
        <v>2934</v>
      </c>
      <c r="C1439" t="s">
        <v>2969</v>
      </c>
      <c r="D1439" t="s">
        <v>2970</v>
      </c>
    </row>
    <row r="1440" spans="1:4" x14ac:dyDescent="0.3">
      <c r="A1440" t="s">
        <v>2933</v>
      </c>
      <c r="B1440" t="s">
        <v>2934</v>
      </c>
      <c r="C1440" t="s">
        <v>2971</v>
      </c>
      <c r="D1440" t="s">
        <v>2972</v>
      </c>
    </row>
    <row r="1441" spans="1:4" x14ac:dyDescent="0.3">
      <c r="A1441" t="s">
        <v>2933</v>
      </c>
      <c r="B1441" t="s">
        <v>2934</v>
      </c>
      <c r="C1441" t="s">
        <v>2973</v>
      </c>
      <c r="D1441" t="s">
        <v>2974</v>
      </c>
    </row>
    <row r="1442" spans="1:4" x14ac:dyDescent="0.3">
      <c r="A1442" t="s">
        <v>2933</v>
      </c>
      <c r="B1442" t="s">
        <v>2934</v>
      </c>
      <c r="C1442" t="s">
        <v>2975</v>
      </c>
      <c r="D1442" t="s">
        <v>1028</v>
      </c>
    </row>
    <row r="1443" spans="1:4" x14ac:dyDescent="0.3">
      <c r="A1443" t="s">
        <v>2933</v>
      </c>
      <c r="B1443" t="s">
        <v>2934</v>
      </c>
      <c r="C1443" t="s">
        <v>2976</v>
      </c>
      <c r="D1443" t="s">
        <v>2977</v>
      </c>
    </row>
    <row r="1444" spans="1:4" x14ac:dyDescent="0.3">
      <c r="A1444" t="s">
        <v>2933</v>
      </c>
      <c r="B1444" t="s">
        <v>2934</v>
      </c>
      <c r="C1444" t="s">
        <v>2978</v>
      </c>
      <c r="D1444" t="s">
        <v>2979</v>
      </c>
    </row>
    <row r="1445" spans="1:4" x14ac:dyDescent="0.3">
      <c r="A1445" t="s">
        <v>1657</v>
      </c>
      <c r="B1445" t="s">
        <v>2980</v>
      </c>
      <c r="C1445" t="s">
        <v>2981</v>
      </c>
      <c r="D1445" t="s">
        <v>2982</v>
      </c>
    </row>
    <row r="1446" spans="1:4" x14ac:dyDescent="0.3">
      <c r="A1446" t="s">
        <v>1657</v>
      </c>
      <c r="B1446" t="s">
        <v>2980</v>
      </c>
      <c r="C1446" t="s">
        <v>2983</v>
      </c>
      <c r="D1446" t="s">
        <v>2984</v>
      </c>
    </row>
    <row r="1447" spans="1:4" x14ac:dyDescent="0.3">
      <c r="A1447" t="s">
        <v>1657</v>
      </c>
      <c r="B1447" t="s">
        <v>2980</v>
      </c>
      <c r="C1447" t="s">
        <v>2985</v>
      </c>
      <c r="D1447" t="s">
        <v>2986</v>
      </c>
    </row>
    <row r="1448" spans="1:4" x14ac:dyDescent="0.3">
      <c r="A1448" t="s">
        <v>1657</v>
      </c>
      <c r="B1448" t="s">
        <v>2980</v>
      </c>
      <c r="C1448" t="s">
        <v>2987</v>
      </c>
      <c r="D1448" t="s">
        <v>2988</v>
      </c>
    </row>
    <row r="1449" spans="1:4" x14ac:dyDescent="0.3">
      <c r="A1449" t="s">
        <v>1657</v>
      </c>
      <c r="B1449" t="s">
        <v>2980</v>
      </c>
      <c r="C1449" t="s">
        <v>2989</v>
      </c>
      <c r="D1449" t="s">
        <v>2990</v>
      </c>
    </row>
    <row r="1450" spans="1:4" x14ac:dyDescent="0.3">
      <c r="A1450" t="s">
        <v>1657</v>
      </c>
      <c r="B1450" t="s">
        <v>2980</v>
      </c>
      <c r="C1450" t="s">
        <v>2991</v>
      </c>
      <c r="D1450" t="s">
        <v>2992</v>
      </c>
    </row>
    <row r="1451" spans="1:4" x14ac:dyDescent="0.3">
      <c r="A1451" t="s">
        <v>1657</v>
      </c>
      <c r="B1451" t="s">
        <v>2980</v>
      </c>
      <c r="C1451" t="s">
        <v>2993</v>
      </c>
      <c r="D1451" t="s">
        <v>2994</v>
      </c>
    </row>
    <row r="1452" spans="1:4" x14ac:dyDescent="0.3">
      <c r="A1452" t="s">
        <v>1657</v>
      </c>
      <c r="B1452" t="s">
        <v>2980</v>
      </c>
      <c r="C1452" t="s">
        <v>2995</v>
      </c>
      <c r="D1452" t="s">
        <v>2996</v>
      </c>
    </row>
    <row r="1453" spans="1:4" x14ac:dyDescent="0.3">
      <c r="A1453" t="s">
        <v>1657</v>
      </c>
      <c r="B1453" t="s">
        <v>2980</v>
      </c>
      <c r="C1453" t="s">
        <v>2997</v>
      </c>
      <c r="D1453" t="s">
        <v>2998</v>
      </c>
    </row>
    <row r="1454" spans="1:4" x14ac:dyDescent="0.3">
      <c r="A1454" t="s">
        <v>1657</v>
      </c>
      <c r="B1454" t="s">
        <v>2980</v>
      </c>
      <c r="C1454" t="s">
        <v>2999</v>
      </c>
      <c r="D1454" t="s">
        <v>3000</v>
      </c>
    </row>
    <row r="1455" spans="1:4" x14ac:dyDescent="0.3">
      <c r="A1455" t="s">
        <v>1657</v>
      </c>
      <c r="B1455" t="s">
        <v>2980</v>
      </c>
      <c r="C1455" t="s">
        <v>3001</v>
      </c>
      <c r="D1455" t="s">
        <v>3002</v>
      </c>
    </row>
    <row r="1456" spans="1:4" x14ac:dyDescent="0.3">
      <c r="A1456" t="s">
        <v>1657</v>
      </c>
      <c r="B1456" t="s">
        <v>2980</v>
      </c>
      <c r="C1456" t="s">
        <v>3003</v>
      </c>
      <c r="D1456" t="s">
        <v>3004</v>
      </c>
    </row>
    <row r="1457" spans="1:4" x14ac:dyDescent="0.3">
      <c r="A1457" t="s">
        <v>1657</v>
      </c>
      <c r="B1457" t="s">
        <v>2980</v>
      </c>
      <c r="C1457" t="s">
        <v>3005</v>
      </c>
      <c r="D1457" t="s">
        <v>3006</v>
      </c>
    </row>
    <row r="1458" spans="1:4" x14ac:dyDescent="0.3">
      <c r="A1458" t="s">
        <v>1657</v>
      </c>
      <c r="B1458" t="s">
        <v>2980</v>
      </c>
      <c r="C1458" t="s">
        <v>3007</v>
      </c>
      <c r="D1458" t="s">
        <v>3008</v>
      </c>
    </row>
    <row r="1459" spans="1:4" x14ac:dyDescent="0.3">
      <c r="A1459" t="s">
        <v>1657</v>
      </c>
      <c r="B1459" t="s">
        <v>2980</v>
      </c>
      <c r="C1459" t="s">
        <v>3009</v>
      </c>
      <c r="D1459" t="s">
        <v>3010</v>
      </c>
    </row>
    <row r="1460" spans="1:4" x14ac:dyDescent="0.3">
      <c r="A1460" t="s">
        <v>1657</v>
      </c>
      <c r="B1460" t="s">
        <v>2980</v>
      </c>
      <c r="C1460" t="s">
        <v>3011</v>
      </c>
      <c r="D1460" t="s">
        <v>3012</v>
      </c>
    </row>
    <row r="1461" spans="1:4" x14ac:dyDescent="0.3">
      <c r="A1461" t="s">
        <v>1657</v>
      </c>
      <c r="B1461" t="s">
        <v>2980</v>
      </c>
      <c r="C1461" t="s">
        <v>3013</v>
      </c>
      <c r="D1461" t="s">
        <v>3014</v>
      </c>
    </row>
    <row r="1462" spans="1:4" x14ac:dyDescent="0.3">
      <c r="A1462" t="s">
        <v>1657</v>
      </c>
      <c r="B1462" t="s">
        <v>2980</v>
      </c>
      <c r="C1462" t="s">
        <v>3015</v>
      </c>
      <c r="D1462" t="s">
        <v>3016</v>
      </c>
    </row>
    <row r="1463" spans="1:4" x14ac:dyDescent="0.3">
      <c r="A1463" t="s">
        <v>1657</v>
      </c>
      <c r="B1463" t="s">
        <v>2980</v>
      </c>
      <c r="C1463" t="s">
        <v>3017</v>
      </c>
      <c r="D1463" t="s">
        <v>3018</v>
      </c>
    </row>
    <row r="1464" spans="1:4" x14ac:dyDescent="0.3">
      <c r="A1464" t="s">
        <v>1657</v>
      </c>
      <c r="B1464" t="s">
        <v>2980</v>
      </c>
      <c r="C1464" t="s">
        <v>3019</v>
      </c>
      <c r="D1464" t="s">
        <v>3020</v>
      </c>
    </row>
    <row r="1465" spans="1:4" x14ac:dyDescent="0.3">
      <c r="A1465" t="s">
        <v>1657</v>
      </c>
      <c r="B1465" t="s">
        <v>2980</v>
      </c>
      <c r="C1465" t="s">
        <v>3021</v>
      </c>
      <c r="D1465" t="s">
        <v>3022</v>
      </c>
    </row>
    <row r="1466" spans="1:4" x14ac:dyDescent="0.3">
      <c r="A1466" t="s">
        <v>1657</v>
      </c>
      <c r="B1466" t="s">
        <v>2980</v>
      </c>
      <c r="C1466" t="s">
        <v>3023</v>
      </c>
      <c r="D1466" t="s">
        <v>3024</v>
      </c>
    </row>
    <row r="1467" spans="1:4" x14ac:dyDescent="0.3">
      <c r="A1467" t="s">
        <v>1657</v>
      </c>
      <c r="B1467" t="s">
        <v>2980</v>
      </c>
      <c r="C1467" t="s">
        <v>3025</v>
      </c>
      <c r="D1467" t="s">
        <v>3026</v>
      </c>
    </row>
    <row r="1468" spans="1:4" x14ac:dyDescent="0.3">
      <c r="A1468" t="s">
        <v>1657</v>
      </c>
      <c r="B1468" t="s">
        <v>2980</v>
      </c>
      <c r="C1468" t="s">
        <v>3027</v>
      </c>
      <c r="D1468" t="s">
        <v>3028</v>
      </c>
    </row>
    <row r="1469" spans="1:4" x14ac:dyDescent="0.3">
      <c r="A1469" t="s">
        <v>3029</v>
      </c>
      <c r="B1469" t="s">
        <v>3030</v>
      </c>
      <c r="C1469" t="s">
        <v>3031</v>
      </c>
      <c r="D1469" t="s">
        <v>3032</v>
      </c>
    </row>
    <row r="1470" spans="1:4" x14ac:dyDescent="0.3">
      <c r="A1470" t="s">
        <v>3029</v>
      </c>
      <c r="B1470" t="s">
        <v>3030</v>
      </c>
      <c r="C1470" t="s">
        <v>3033</v>
      </c>
      <c r="D1470" t="s">
        <v>3034</v>
      </c>
    </row>
    <row r="1471" spans="1:4" x14ac:dyDescent="0.3">
      <c r="A1471" t="s">
        <v>3029</v>
      </c>
      <c r="B1471" t="s">
        <v>3030</v>
      </c>
      <c r="C1471" t="s">
        <v>3035</v>
      </c>
      <c r="D1471" t="s">
        <v>3036</v>
      </c>
    </row>
    <row r="1472" spans="1:4" x14ac:dyDescent="0.3">
      <c r="A1472" t="s">
        <v>3029</v>
      </c>
      <c r="B1472" t="s">
        <v>3030</v>
      </c>
      <c r="C1472" t="s">
        <v>3037</v>
      </c>
      <c r="D1472" t="s">
        <v>3038</v>
      </c>
    </row>
    <row r="1473" spans="1:4" x14ac:dyDescent="0.3">
      <c r="A1473" t="s">
        <v>3029</v>
      </c>
      <c r="B1473" t="s">
        <v>3030</v>
      </c>
      <c r="C1473" t="s">
        <v>3039</v>
      </c>
      <c r="D1473" t="s">
        <v>3040</v>
      </c>
    </row>
    <row r="1474" spans="1:4" x14ac:dyDescent="0.3">
      <c r="A1474" t="s">
        <v>3029</v>
      </c>
      <c r="B1474" t="s">
        <v>3030</v>
      </c>
      <c r="C1474" t="s">
        <v>3041</v>
      </c>
      <c r="D1474" t="s">
        <v>3042</v>
      </c>
    </row>
    <row r="1475" spans="1:4" x14ac:dyDescent="0.3">
      <c r="A1475" t="s">
        <v>3029</v>
      </c>
      <c r="B1475" t="s">
        <v>3030</v>
      </c>
      <c r="C1475" t="s">
        <v>3043</v>
      </c>
      <c r="D1475" t="s">
        <v>3044</v>
      </c>
    </row>
    <row r="1476" spans="1:4" x14ac:dyDescent="0.3">
      <c r="A1476" t="s">
        <v>3029</v>
      </c>
      <c r="B1476" t="s">
        <v>3030</v>
      </c>
      <c r="C1476" t="s">
        <v>3045</v>
      </c>
      <c r="D1476" t="s">
        <v>3046</v>
      </c>
    </row>
    <row r="1477" spans="1:4" x14ac:dyDescent="0.3">
      <c r="A1477" t="s">
        <v>3029</v>
      </c>
      <c r="B1477" t="s">
        <v>3030</v>
      </c>
      <c r="C1477" t="s">
        <v>3047</v>
      </c>
      <c r="D1477" t="s">
        <v>3048</v>
      </c>
    </row>
    <row r="1478" spans="1:4" x14ac:dyDescent="0.3">
      <c r="A1478" t="s">
        <v>3029</v>
      </c>
      <c r="B1478" t="s">
        <v>3030</v>
      </c>
      <c r="C1478" t="s">
        <v>3049</v>
      </c>
      <c r="D1478" t="s">
        <v>3050</v>
      </c>
    </row>
    <row r="1479" spans="1:4" x14ac:dyDescent="0.3">
      <c r="A1479" t="s">
        <v>3029</v>
      </c>
      <c r="B1479" t="s">
        <v>3030</v>
      </c>
      <c r="C1479" t="s">
        <v>3051</v>
      </c>
      <c r="D1479" t="s">
        <v>3052</v>
      </c>
    </row>
    <row r="1480" spans="1:4" x14ac:dyDescent="0.3">
      <c r="A1480" t="s">
        <v>3029</v>
      </c>
      <c r="B1480" t="s">
        <v>3030</v>
      </c>
      <c r="C1480" t="s">
        <v>3053</v>
      </c>
      <c r="D1480" t="s">
        <v>3054</v>
      </c>
    </row>
    <row r="1481" spans="1:4" x14ac:dyDescent="0.3">
      <c r="A1481" t="s">
        <v>3029</v>
      </c>
      <c r="B1481" t="s">
        <v>3030</v>
      </c>
      <c r="C1481" t="s">
        <v>3055</v>
      </c>
      <c r="D1481" t="s">
        <v>3056</v>
      </c>
    </row>
    <row r="1482" spans="1:4" x14ac:dyDescent="0.3">
      <c r="A1482" t="s">
        <v>3029</v>
      </c>
      <c r="B1482" t="s">
        <v>3030</v>
      </c>
      <c r="C1482" t="s">
        <v>3057</v>
      </c>
      <c r="D1482" t="s">
        <v>3058</v>
      </c>
    </row>
    <row r="1483" spans="1:4" x14ac:dyDescent="0.3">
      <c r="A1483" t="s">
        <v>3029</v>
      </c>
      <c r="B1483" t="s">
        <v>3030</v>
      </c>
      <c r="C1483" t="s">
        <v>3059</v>
      </c>
      <c r="D1483" t="s">
        <v>3060</v>
      </c>
    </row>
    <row r="1484" spans="1:4" x14ac:dyDescent="0.3">
      <c r="A1484" t="s">
        <v>3029</v>
      </c>
      <c r="B1484" t="s">
        <v>3030</v>
      </c>
      <c r="C1484" t="s">
        <v>3061</v>
      </c>
      <c r="D1484" t="s">
        <v>3062</v>
      </c>
    </row>
    <row r="1485" spans="1:4" x14ac:dyDescent="0.3">
      <c r="A1485" t="s">
        <v>3029</v>
      </c>
      <c r="B1485" t="s">
        <v>3030</v>
      </c>
      <c r="C1485" t="s">
        <v>3063</v>
      </c>
      <c r="D1485" t="s">
        <v>3064</v>
      </c>
    </row>
    <row r="1486" spans="1:4" x14ac:dyDescent="0.3">
      <c r="A1486" t="s">
        <v>3029</v>
      </c>
      <c r="B1486" t="s">
        <v>3030</v>
      </c>
      <c r="C1486" t="s">
        <v>3065</v>
      </c>
      <c r="D1486" t="s">
        <v>3066</v>
      </c>
    </row>
    <row r="1487" spans="1:4" x14ac:dyDescent="0.3">
      <c r="A1487" t="s">
        <v>3029</v>
      </c>
      <c r="B1487" t="s">
        <v>3030</v>
      </c>
      <c r="C1487" t="s">
        <v>3067</v>
      </c>
      <c r="D1487" t="s">
        <v>3068</v>
      </c>
    </row>
    <row r="1488" spans="1:4" x14ac:dyDescent="0.3">
      <c r="A1488" t="s">
        <v>3029</v>
      </c>
      <c r="B1488" t="s">
        <v>3030</v>
      </c>
      <c r="C1488" t="s">
        <v>3069</v>
      </c>
      <c r="D1488" t="s">
        <v>3070</v>
      </c>
    </row>
    <row r="1489" spans="1:4" x14ac:dyDescent="0.3">
      <c r="A1489" t="s">
        <v>3029</v>
      </c>
      <c r="B1489" t="s">
        <v>3030</v>
      </c>
      <c r="C1489" t="s">
        <v>3071</v>
      </c>
      <c r="D1489" t="s">
        <v>3072</v>
      </c>
    </row>
    <row r="1490" spans="1:4" x14ac:dyDescent="0.3">
      <c r="A1490" t="s">
        <v>3029</v>
      </c>
      <c r="B1490" t="s">
        <v>3030</v>
      </c>
      <c r="C1490" t="s">
        <v>3073</v>
      </c>
      <c r="D1490" t="s">
        <v>3074</v>
      </c>
    </row>
    <row r="1491" spans="1:4" x14ac:dyDescent="0.3">
      <c r="A1491" t="s">
        <v>3029</v>
      </c>
      <c r="B1491" t="s">
        <v>3030</v>
      </c>
      <c r="C1491" t="s">
        <v>3075</v>
      </c>
      <c r="D1491" t="s">
        <v>3076</v>
      </c>
    </row>
    <row r="1492" spans="1:4" x14ac:dyDescent="0.3">
      <c r="A1492" t="s">
        <v>3029</v>
      </c>
      <c r="B1492" t="s">
        <v>3030</v>
      </c>
      <c r="C1492" t="s">
        <v>3077</v>
      </c>
      <c r="D1492" t="s">
        <v>3078</v>
      </c>
    </row>
    <row r="1493" spans="1:4" x14ac:dyDescent="0.3">
      <c r="A1493" t="s">
        <v>3029</v>
      </c>
      <c r="B1493" t="s">
        <v>3030</v>
      </c>
      <c r="C1493" t="s">
        <v>3079</v>
      </c>
      <c r="D1493" t="s">
        <v>3080</v>
      </c>
    </row>
    <row r="1494" spans="1:4" x14ac:dyDescent="0.3">
      <c r="A1494" t="s">
        <v>3029</v>
      </c>
      <c r="B1494" t="s">
        <v>3030</v>
      </c>
      <c r="C1494" t="s">
        <v>3081</v>
      </c>
      <c r="D1494" t="s">
        <v>3082</v>
      </c>
    </row>
    <row r="1495" spans="1:4" x14ac:dyDescent="0.3">
      <c r="A1495" t="s">
        <v>3029</v>
      </c>
      <c r="B1495" t="s">
        <v>3030</v>
      </c>
      <c r="C1495" t="s">
        <v>3083</v>
      </c>
      <c r="D1495" t="s">
        <v>3084</v>
      </c>
    </row>
    <row r="1496" spans="1:4" x14ac:dyDescent="0.3">
      <c r="A1496" t="s">
        <v>3029</v>
      </c>
      <c r="B1496" t="s">
        <v>3030</v>
      </c>
      <c r="C1496" t="s">
        <v>3085</v>
      </c>
      <c r="D1496" t="s">
        <v>3086</v>
      </c>
    </row>
    <row r="1497" spans="1:4" x14ac:dyDescent="0.3">
      <c r="A1497" t="s">
        <v>3087</v>
      </c>
      <c r="B1497" t="s">
        <v>3088</v>
      </c>
      <c r="C1497" t="s">
        <v>3089</v>
      </c>
      <c r="D1497" t="s">
        <v>3090</v>
      </c>
    </row>
    <row r="1498" spans="1:4" x14ac:dyDescent="0.3">
      <c r="A1498" t="s">
        <v>3087</v>
      </c>
      <c r="B1498" t="s">
        <v>3088</v>
      </c>
      <c r="C1498" t="s">
        <v>3091</v>
      </c>
      <c r="D1498" t="s">
        <v>3092</v>
      </c>
    </row>
    <row r="1499" spans="1:4" x14ac:dyDescent="0.3">
      <c r="A1499" t="s">
        <v>3087</v>
      </c>
      <c r="B1499" t="s">
        <v>3088</v>
      </c>
      <c r="C1499" t="s">
        <v>3093</v>
      </c>
      <c r="D1499" t="s">
        <v>3094</v>
      </c>
    </row>
    <row r="1500" spans="1:4" x14ac:dyDescent="0.3">
      <c r="A1500" t="s">
        <v>3087</v>
      </c>
      <c r="B1500" t="s">
        <v>3088</v>
      </c>
      <c r="C1500" t="s">
        <v>3095</v>
      </c>
      <c r="D1500" t="s">
        <v>3096</v>
      </c>
    </row>
    <row r="1501" spans="1:4" x14ac:dyDescent="0.3">
      <c r="A1501" t="s">
        <v>3087</v>
      </c>
      <c r="B1501" t="s">
        <v>3088</v>
      </c>
      <c r="C1501" t="s">
        <v>3097</v>
      </c>
      <c r="D1501" t="s">
        <v>3098</v>
      </c>
    </row>
    <row r="1502" spans="1:4" x14ac:dyDescent="0.3">
      <c r="A1502" t="s">
        <v>3087</v>
      </c>
      <c r="B1502" t="s">
        <v>3088</v>
      </c>
      <c r="C1502" t="s">
        <v>3099</v>
      </c>
      <c r="D1502" t="s">
        <v>3100</v>
      </c>
    </row>
    <row r="1503" spans="1:4" x14ac:dyDescent="0.3">
      <c r="A1503" t="s">
        <v>3087</v>
      </c>
      <c r="B1503" t="s">
        <v>3088</v>
      </c>
      <c r="C1503" t="s">
        <v>3101</v>
      </c>
      <c r="D1503" t="s">
        <v>3102</v>
      </c>
    </row>
    <row r="1504" spans="1:4" x14ac:dyDescent="0.3">
      <c r="A1504" t="s">
        <v>3087</v>
      </c>
      <c r="B1504" t="s">
        <v>3088</v>
      </c>
      <c r="C1504" t="s">
        <v>3103</v>
      </c>
      <c r="D1504" t="s">
        <v>3104</v>
      </c>
    </row>
    <row r="1505" spans="1:4" x14ac:dyDescent="0.3">
      <c r="A1505" t="s">
        <v>3087</v>
      </c>
      <c r="B1505" t="s">
        <v>3088</v>
      </c>
      <c r="C1505" t="s">
        <v>3105</v>
      </c>
      <c r="D1505" t="s">
        <v>3106</v>
      </c>
    </row>
    <row r="1506" spans="1:4" x14ac:dyDescent="0.3">
      <c r="A1506" t="s">
        <v>3087</v>
      </c>
      <c r="B1506" t="s">
        <v>3088</v>
      </c>
      <c r="C1506" t="s">
        <v>3107</v>
      </c>
      <c r="D1506" t="s">
        <v>3108</v>
      </c>
    </row>
    <row r="1507" spans="1:4" x14ac:dyDescent="0.3">
      <c r="A1507" t="s">
        <v>3087</v>
      </c>
      <c r="B1507" t="s">
        <v>3088</v>
      </c>
      <c r="C1507" t="s">
        <v>3109</v>
      </c>
      <c r="D1507" t="s">
        <v>3110</v>
      </c>
    </row>
    <row r="1508" spans="1:4" x14ac:dyDescent="0.3">
      <c r="A1508" t="s">
        <v>3087</v>
      </c>
      <c r="B1508" t="s">
        <v>3088</v>
      </c>
      <c r="C1508" t="s">
        <v>3111</v>
      </c>
      <c r="D1508" t="s">
        <v>3112</v>
      </c>
    </row>
    <row r="1509" spans="1:4" x14ac:dyDescent="0.3">
      <c r="A1509" t="s">
        <v>3087</v>
      </c>
      <c r="B1509" t="s">
        <v>3088</v>
      </c>
      <c r="C1509" t="s">
        <v>3113</v>
      </c>
      <c r="D1509" t="s">
        <v>1690</v>
      </c>
    </row>
    <row r="1510" spans="1:4" x14ac:dyDescent="0.3">
      <c r="A1510" t="s">
        <v>3087</v>
      </c>
      <c r="B1510" t="s">
        <v>3088</v>
      </c>
      <c r="C1510" t="s">
        <v>3114</v>
      </c>
      <c r="D1510" t="s">
        <v>3115</v>
      </c>
    </row>
    <row r="1511" spans="1:4" x14ac:dyDescent="0.3">
      <c r="A1511" t="s">
        <v>3087</v>
      </c>
      <c r="B1511" t="s">
        <v>3088</v>
      </c>
      <c r="C1511" t="s">
        <v>3116</v>
      </c>
      <c r="D1511" t="s">
        <v>3117</v>
      </c>
    </row>
    <row r="1512" spans="1:4" x14ac:dyDescent="0.3">
      <c r="A1512" t="s">
        <v>3087</v>
      </c>
      <c r="B1512" t="s">
        <v>3088</v>
      </c>
      <c r="C1512" t="s">
        <v>3118</v>
      </c>
      <c r="D1512" t="s">
        <v>3119</v>
      </c>
    </row>
    <row r="1513" spans="1:4" x14ac:dyDescent="0.3">
      <c r="A1513" t="s">
        <v>3087</v>
      </c>
      <c r="B1513" t="s">
        <v>3088</v>
      </c>
      <c r="C1513" t="s">
        <v>3120</v>
      </c>
      <c r="D1513" t="s">
        <v>3121</v>
      </c>
    </row>
    <row r="1514" spans="1:4" x14ac:dyDescent="0.3">
      <c r="A1514" t="s">
        <v>3087</v>
      </c>
      <c r="B1514" t="s">
        <v>3088</v>
      </c>
      <c r="C1514" t="s">
        <v>3122</v>
      </c>
      <c r="D1514" t="s">
        <v>3123</v>
      </c>
    </row>
    <row r="1515" spans="1:4" x14ac:dyDescent="0.3">
      <c r="A1515" t="s">
        <v>3087</v>
      </c>
      <c r="B1515" t="s">
        <v>3088</v>
      </c>
      <c r="C1515" t="s">
        <v>3124</v>
      </c>
      <c r="D1515" t="s">
        <v>3125</v>
      </c>
    </row>
    <row r="1516" spans="1:4" x14ac:dyDescent="0.3">
      <c r="A1516" t="s">
        <v>3087</v>
      </c>
      <c r="B1516" t="s">
        <v>3088</v>
      </c>
      <c r="C1516" t="s">
        <v>3126</v>
      </c>
      <c r="D1516" t="s">
        <v>3127</v>
      </c>
    </row>
    <row r="1517" spans="1:4" x14ac:dyDescent="0.3">
      <c r="A1517" t="s">
        <v>3087</v>
      </c>
      <c r="B1517" t="s">
        <v>3088</v>
      </c>
      <c r="C1517" t="s">
        <v>3128</v>
      </c>
      <c r="D1517" t="s">
        <v>3129</v>
      </c>
    </row>
    <row r="1518" spans="1:4" x14ac:dyDescent="0.3">
      <c r="A1518" t="s">
        <v>1477</v>
      </c>
      <c r="B1518" t="s">
        <v>3130</v>
      </c>
      <c r="C1518" t="s">
        <v>3131</v>
      </c>
      <c r="D1518" t="s">
        <v>3132</v>
      </c>
    </row>
    <row r="1519" spans="1:4" x14ac:dyDescent="0.3">
      <c r="A1519" t="s">
        <v>1477</v>
      </c>
      <c r="B1519" t="s">
        <v>3130</v>
      </c>
      <c r="C1519" t="s">
        <v>3133</v>
      </c>
      <c r="D1519" t="s">
        <v>3134</v>
      </c>
    </row>
    <row r="1520" spans="1:4" x14ac:dyDescent="0.3">
      <c r="A1520" t="s">
        <v>1477</v>
      </c>
      <c r="B1520" t="s">
        <v>3130</v>
      </c>
      <c r="C1520" t="s">
        <v>3135</v>
      </c>
      <c r="D1520" t="s">
        <v>3136</v>
      </c>
    </row>
    <row r="1521" spans="1:4" x14ac:dyDescent="0.3">
      <c r="A1521" t="s">
        <v>3137</v>
      </c>
      <c r="B1521" t="s">
        <v>3138</v>
      </c>
      <c r="C1521" t="s">
        <v>3139</v>
      </c>
      <c r="D1521" t="s">
        <v>3140</v>
      </c>
    </row>
    <row r="1522" spans="1:4" x14ac:dyDescent="0.3">
      <c r="A1522" t="s">
        <v>3137</v>
      </c>
      <c r="B1522" t="s">
        <v>3138</v>
      </c>
      <c r="C1522" t="s">
        <v>3141</v>
      </c>
      <c r="D1522" t="s">
        <v>3142</v>
      </c>
    </row>
    <row r="1523" spans="1:4" x14ac:dyDescent="0.3">
      <c r="A1523" t="s">
        <v>3137</v>
      </c>
      <c r="B1523" t="s">
        <v>3138</v>
      </c>
      <c r="C1523" t="s">
        <v>3143</v>
      </c>
      <c r="D1523" t="s">
        <v>3144</v>
      </c>
    </row>
    <row r="1524" spans="1:4" x14ac:dyDescent="0.3">
      <c r="A1524" t="s">
        <v>3137</v>
      </c>
      <c r="B1524" t="s">
        <v>3138</v>
      </c>
      <c r="C1524" t="s">
        <v>3145</v>
      </c>
      <c r="D1524" t="s">
        <v>3146</v>
      </c>
    </row>
    <row r="1525" spans="1:4" x14ac:dyDescent="0.3">
      <c r="A1525" t="s">
        <v>3137</v>
      </c>
      <c r="B1525" t="s">
        <v>3138</v>
      </c>
      <c r="C1525" t="s">
        <v>3147</v>
      </c>
      <c r="D1525" t="s">
        <v>3148</v>
      </c>
    </row>
    <row r="1526" spans="1:4" x14ac:dyDescent="0.3">
      <c r="A1526" t="s">
        <v>3137</v>
      </c>
      <c r="B1526" t="s">
        <v>3138</v>
      </c>
      <c r="C1526" t="s">
        <v>3149</v>
      </c>
      <c r="D1526" t="s">
        <v>3150</v>
      </c>
    </row>
    <row r="1527" spans="1:4" x14ac:dyDescent="0.3">
      <c r="A1527" t="s">
        <v>3137</v>
      </c>
      <c r="B1527" t="s">
        <v>3138</v>
      </c>
      <c r="C1527" t="s">
        <v>3151</v>
      </c>
      <c r="D1527" t="s">
        <v>3152</v>
      </c>
    </row>
    <row r="1528" spans="1:4" x14ac:dyDescent="0.3">
      <c r="A1528" t="s">
        <v>3137</v>
      </c>
      <c r="B1528" t="s">
        <v>3138</v>
      </c>
      <c r="C1528" t="s">
        <v>3153</v>
      </c>
      <c r="D1528" t="s">
        <v>3154</v>
      </c>
    </row>
    <row r="1529" spans="1:4" x14ac:dyDescent="0.3">
      <c r="A1529" t="s">
        <v>3137</v>
      </c>
      <c r="B1529" t="s">
        <v>3138</v>
      </c>
      <c r="C1529" t="s">
        <v>3155</v>
      </c>
      <c r="D1529" t="s">
        <v>3156</v>
      </c>
    </row>
    <row r="1530" spans="1:4" x14ac:dyDescent="0.3">
      <c r="A1530" t="s">
        <v>3137</v>
      </c>
      <c r="B1530" t="s">
        <v>3138</v>
      </c>
      <c r="C1530" t="s">
        <v>3157</v>
      </c>
      <c r="D1530" t="s">
        <v>3158</v>
      </c>
    </row>
    <row r="1531" spans="1:4" x14ac:dyDescent="0.3">
      <c r="A1531" t="s">
        <v>3137</v>
      </c>
      <c r="B1531" t="s">
        <v>3138</v>
      </c>
      <c r="C1531" t="s">
        <v>3159</v>
      </c>
      <c r="D1531" t="s">
        <v>3160</v>
      </c>
    </row>
    <row r="1532" spans="1:4" x14ac:dyDescent="0.3">
      <c r="A1532" t="s">
        <v>3137</v>
      </c>
      <c r="B1532" t="s">
        <v>3138</v>
      </c>
      <c r="C1532" t="s">
        <v>3161</v>
      </c>
      <c r="D1532" t="s">
        <v>3162</v>
      </c>
    </row>
    <row r="1533" spans="1:4" x14ac:dyDescent="0.3">
      <c r="A1533" t="s">
        <v>3137</v>
      </c>
      <c r="B1533" t="s">
        <v>3138</v>
      </c>
      <c r="C1533" t="s">
        <v>3163</v>
      </c>
      <c r="D1533" t="s">
        <v>3164</v>
      </c>
    </row>
    <row r="1534" spans="1:4" x14ac:dyDescent="0.3">
      <c r="A1534" t="s">
        <v>3137</v>
      </c>
      <c r="B1534" t="s">
        <v>3138</v>
      </c>
      <c r="C1534" t="s">
        <v>3165</v>
      </c>
      <c r="D1534" t="s">
        <v>3166</v>
      </c>
    </row>
    <row r="1535" spans="1:4" x14ac:dyDescent="0.3">
      <c r="A1535" t="s">
        <v>3137</v>
      </c>
      <c r="B1535" t="s">
        <v>3138</v>
      </c>
      <c r="C1535" t="s">
        <v>3167</v>
      </c>
      <c r="D1535" t="s">
        <v>3168</v>
      </c>
    </row>
    <row r="1536" spans="1:4" x14ac:dyDescent="0.3">
      <c r="A1536" t="s">
        <v>3137</v>
      </c>
      <c r="B1536" t="s">
        <v>3138</v>
      </c>
      <c r="C1536" t="s">
        <v>3169</v>
      </c>
      <c r="D1536" t="s">
        <v>3170</v>
      </c>
    </row>
    <row r="1537" spans="1:4" x14ac:dyDescent="0.3">
      <c r="A1537" t="s">
        <v>3137</v>
      </c>
      <c r="B1537" t="s">
        <v>3138</v>
      </c>
      <c r="C1537" t="s">
        <v>3171</v>
      </c>
      <c r="D1537" t="s">
        <v>3172</v>
      </c>
    </row>
    <row r="1538" spans="1:4" x14ac:dyDescent="0.3">
      <c r="A1538" t="s">
        <v>3137</v>
      </c>
      <c r="B1538" t="s">
        <v>3138</v>
      </c>
      <c r="C1538" t="s">
        <v>3173</v>
      </c>
      <c r="D1538" t="s">
        <v>3174</v>
      </c>
    </row>
    <row r="1539" spans="1:4" x14ac:dyDescent="0.3">
      <c r="A1539" t="s">
        <v>3137</v>
      </c>
      <c r="B1539" t="s">
        <v>3138</v>
      </c>
      <c r="C1539" t="s">
        <v>3175</v>
      </c>
      <c r="D1539" t="s">
        <v>3176</v>
      </c>
    </row>
    <row r="1540" spans="1:4" x14ac:dyDescent="0.3">
      <c r="A1540" t="s">
        <v>3137</v>
      </c>
      <c r="B1540" t="s">
        <v>3138</v>
      </c>
      <c r="C1540" t="s">
        <v>3177</v>
      </c>
      <c r="D1540" t="s">
        <v>3178</v>
      </c>
    </row>
    <row r="1541" spans="1:4" x14ac:dyDescent="0.3">
      <c r="A1541" t="s">
        <v>3137</v>
      </c>
      <c r="B1541" t="s">
        <v>3138</v>
      </c>
      <c r="C1541" t="s">
        <v>3179</v>
      </c>
      <c r="D1541" t="s">
        <v>3180</v>
      </c>
    </row>
    <row r="1542" spans="1:4" x14ac:dyDescent="0.3">
      <c r="A1542" t="s">
        <v>3137</v>
      </c>
      <c r="B1542" t="s">
        <v>3138</v>
      </c>
      <c r="C1542" t="s">
        <v>3181</v>
      </c>
      <c r="D1542" t="s">
        <v>3182</v>
      </c>
    </row>
    <row r="1543" spans="1:4" x14ac:dyDescent="0.3">
      <c r="A1543" t="s">
        <v>3137</v>
      </c>
      <c r="B1543" t="s">
        <v>3138</v>
      </c>
      <c r="C1543" t="s">
        <v>3183</v>
      </c>
      <c r="D1543" t="s">
        <v>3184</v>
      </c>
    </row>
    <row r="1544" spans="1:4" x14ac:dyDescent="0.3">
      <c r="A1544" t="s">
        <v>3137</v>
      </c>
      <c r="B1544" t="s">
        <v>3138</v>
      </c>
      <c r="C1544" t="s">
        <v>3185</v>
      </c>
      <c r="D1544" t="s">
        <v>3186</v>
      </c>
    </row>
    <row r="1545" spans="1:4" x14ac:dyDescent="0.3">
      <c r="A1545" t="s">
        <v>3137</v>
      </c>
      <c r="B1545" t="s">
        <v>3138</v>
      </c>
      <c r="C1545" t="s">
        <v>3187</v>
      </c>
      <c r="D1545" t="s">
        <v>3188</v>
      </c>
    </row>
    <row r="1546" spans="1:4" x14ac:dyDescent="0.3">
      <c r="A1546" t="s">
        <v>3137</v>
      </c>
      <c r="B1546" t="s">
        <v>3138</v>
      </c>
      <c r="C1546" t="s">
        <v>3189</v>
      </c>
      <c r="D1546" t="s">
        <v>3190</v>
      </c>
    </row>
    <row r="1547" spans="1:4" x14ac:dyDescent="0.3">
      <c r="A1547" t="s">
        <v>3137</v>
      </c>
      <c r="B1547" t="s">
        <v>3138</v>
      </c>
      <c r="C1547" t="s">
        <v>3191</v>
      </c>
      <c r="D1547" t="s">
        <v>3192</v>
      </c>
    </row>
    <row r="1548" spans="1:4" x14ac:dyDescent="0.3">
      <c r="A1548" t="s">
        <v>3137</v>
      </c>
      <c r="B1548" t="s">
        <v>3138</v>
      </c>
      <c r="C1548" t="s">
        <v>3193</v>
      </c>
      <c r="D1548" t="s">
        <v>3194</v>
      </c>
    </row>
    <row r="1549" spans="1:4" x14ac:dyDescent="0.3">
      <c r="A1549" t="s">
        <v>3137</v>
      </c>
      <c r="B1549" t="s">
        <v>3138</v>
      </c>
      <c r="C1549" t="s">
        <v>3195</v>
      </c>
      <c r="D1549" t="s">
        <v>3196</v>
      </c>
    </row>
    <row r="1550" spans="1:4" x14ac:dyDescent="0.3">
      <c r="A1550" t="s">
        <v>3137</v>
      </c>
      <c r="B1550" t="s">
        <v>3138</v>
      </c>
      <c r="C1550" t="s">
        <v>3197</v>
      </c>
      <c r="D1550" t="s">
        <v>3198</v>
      </c>
    </row>
    <row r="1551" spans="1:4" x14ac:dyDescent="0.3">
      <c r="A1551" t="s">
        <v>3137</v>
      </c>
      <c r="B1551" t="s">
        <v>3138</v>
      </c>
      <c r="C1551" t="s">
        <v>3199</v>
      </c>
      <c r="D1551" t="s">
        <v>3200</v>
      </c>
    </row>
    <row r="1552" spans="1:4" x14ac:dyDescent="0.3">
      <c r="A1552" t="s">
        <v>3137</v>
      </c>
      <c r="B1552" t="s">
        <v>3138</v>
      </c>
      <c r="C1552" t="s">
        <v>3201</v>
      </c>
      <c r="D1552" t="s">
        <v>3202</v>
      </c>
    </row>
    <row r="1553" spans="1:4" x14ac:dyDescent="0.3">
      <c r="A1553" t="s">
        <v>3137</v>
      </c>
      <c r="B1553" t="s">
        <v>3138</v>
      </c>
      <c r="C1553" t="s">
        <v>3203</v>
      </c>
      <c r="D1553" t="s">
        <v>3204</v>
      </c>
    </row>
    <row r="1554" spans="1:4" x14ac:dyDescent="0.3">
      <c r="A1554" t="s">
        <v>3137</v>
      </c>
      <c r="B1554" t="s">
        <v>3138</v>
      </c>
      <c r="C1554" t="s">
        <v>3205</v>
      </c>
      <c r="D1554" t="s">
        <v>3206</v>
      </c>
    </row>
    <row r="1555" spans="1:4" x14ac:dyDescent="0.3">
      <c r="A1555" t="s">
        <v>3137</v>
      </c>
      <c r="B1555" t="s">
        <v>3138</v>
      </c>
      <c r="C1555" t="s">
        <v>3207</v>
      </c>
      <c r="D1555" t="s">
        <v>3208</v>
      </c>
    </row>
    <row r="1556" spans="1:4" x14ac:dyDescent="0.3">
      <c r="A1556" t="s">
        <v>3137</v>
      </c>
      <c r="B1556" t="s">
        <v>3138</v>
      </c>
      <c r="C1556" t="s">
        <v>3209</v>
      </c>
      <c r="D1556" t="s">
        <v>3210</v>
      </c>
    </row>
    <row r="1557" spans="1:4" x14ac:dyDescent="0.3">
      <c r="A1557" t="s">
        <v>3137</v>
      </c>
      <c r="B1557" t="s">
        <v>3138</v>
      </c>
      <c r="C1557" t="s">
        <v>3211</v>
      </c>
      <c r="D1557" t="s">
        <v>3212</v>
      </c>
    </row>
    <row r="1558" spans="1:4" x14ac:dyDescent="0.3">
      <c r="A1558" t="s">
        <v>3137</v>
      </c>
      <c r="B1558" t="s">
        <v>3138</v>
      </c>
      <c r="C1558" t="s">
        <v>3213</v>
      </c>
      <c r="D1558" t="s">
        <v>3214</v>
      </c>
    </row>
    <row r="1559" spans="1:4" x14ac:dyDescent="0.3">
      <c r="A1559" t="s">
        <v>3137</v>
      </c>
      <c r="B1559" t="s">
        <v>3138</v>
      </c>
      <c r="C1559" t="s">
        <v>3215</v>
      </c>
      <c r="D1559" t="s">
        <v>3216</v>
      </c>
    </row>
    <row r="1560" spans="1:4" x14ac:dyDescent="0.3">
      <c r="A1560" t="s">
        <v>3137</v>
      </c>
      <c r="B1560" t="s">
        <v>3138</v>
      </c>
      <c r="C1560" t="s">
        <v>3217</v>
      </c>
      <c r="D1560" t="s">
        <v>3218</v>
      </c>
    </row>
    <row r="1561" spans="1:4" x14ac:dyDescent="0.3">
      <c r="A1561" t="s">
        <v>3137</v>
      </c>
      <c r="B1561" t="s">
        <v>3138</v>
      </c>
      <c r="C1561" t="s">
        <v>3219</v>
      </c>
      <c r="D1561" t="s">
        <v>3220</v>
      </c>
    </row>
    <row r="1562" spans="1:4" x14ac:dyDescent="0.3">
      <c r="A1562" t="s">
        <v>3137</v>
      </c>
      <c r="B1562" t="s">
        <v>3138</v>
      </c>
      <c r="C1562" t="s">
        <v>3221</v>
      </c>
      <c r="D1562" t="s">
        <v>3222</v>
      </c>
    </row>
    <row r="1563" spans="1:4" x14ac:dyDescent="0.3">
      <c r="A1563" t="s">
        <v>3137</v>
      </c>
      <c r="B1563" t="s">
        <v>3138</v>
      </c>
      <c r="C1563" t="s">
        <v>3223</v>
      </c>
      <c r="D1563" t="s">
        <v>3224</v>
      </c>
    </row>
    <row r="1564" spans="1:4" x14ac:dyDescent="0.3">
      <c r="A1564" t="s">
        <v>3137</v>
      </c>
      <c r="B1564" t="s">
        <v>3138</v>
      </c>
      <c r="C1564" t="s">
        <v>3225</v>
      </c>
      <c r="D1564" t="s">
        <v>3226</v>
      </c>
    </row>
    <row r="1565" spans="1:4" x14ac:dyDescent="0.3">
      <c r="A1565" t="s">
        <v>3137</v>
      </c>
      <c r="B1565" t="s">
        <v>3138</v>
      </c>
      <c r="C1565" t="s">
        <v>3227</v>
      </c>
      <c r="D1565" t="s">
        <v>3228</v>
      </c>
    </row>
    <row r="1566" spans="1:4" x14ac:dyDescent="0.3">
      <c r="A1566" t="s">
        <v>3137</v>
      </c>
      <c r="B1566" t="s">
        <v>3138</v>
      </c>
      <c r="C1566" t="s">
        <v>3229</v>
      </c>
      <c r="D1566" t="s">
        <v>3230</v>
      </c>
    </row>
    <row r="1567" spans="1:4" x14ac:dyDescent="0.3">
      <c r="A1567" t="s">
        <v>3137</v>
      </c>
      <c r="B1567" t="s">
        <v>3138</v>
      </c>
      <c r="C1567" t="s">
        <v>3231</v>
      </c>
      <c r="D1567" t="s">
        <v>3232</v>
      </c>
    </row>
    <row r="1568" spans="1:4" x14ac:dyDescent="0.3">
      <c r="A1568" t="s">
        <v>3137</v>
      </c>
      <c r="B1568" t="s">
        <v>3138</v>
      </c>
      <c r="C1568" t="s">
        <v>3233</v>
      </c>
      <c r="D1568" t="s">
        <v>3234</v>
      </c>
    </row>
    <row r="1569" spans="1:4" x14ac:dyDescent="0.3">
      <c r="A1569" t="s">
        <v>3137</v>
      </c>
      <c r="B1569" t="s">
        <v>3138</v>
      </c>
      <c r="C1569" t="s">
        <v>3235</v>
      </c>
      <c r="D1569" t="s">
        <v>998</v>
      </c>
    </row>
    <row r="1570" spans="1:4" x14ac:dyDescent="0.3">
      <c r="A1570" t="s">
        <v>3137</v>
      </c>
      <c r="B1570" t="s">
        <v>3138</v>
      </c>
      <c r="C1570" t="s">
        <v>3236</v>
      </c>
      <c r="D1570" t="s">
        <v>3237</v>
      </c>
    </row>
    <row r="1571" spans="1:4" x14ac:dyDescent="0.3">
      <c r="A1571" t="s">
        <v>3137</v>
      </c>
      <c r="B1571" t="s">
        <v>3138</v>
      </c>
      <c r="C1571" t="s">
        <v>3238</v>
      </c>
      <c r="D1571" t="s">
        <v>3239</v>
      </c>
    </row>
    <row r="1572" spans="1:4" x14ac:dyDescent="0.3">
      <c r="A1572" t="s">
        <v>3137</v>
      </c>
      <c r="B1572" t="s">
        <v>3138</v>
      </c>
      <c r="C1572" t="s">
        <v>3240</v>
      </c>
      <c r="D1572" t="s">
        <v>3241</v>
      </c>
    </row>
    <row r="1573" spans="1:4" x14ac:dyDescent="0.3">
      <c r="A1573" t="s">
        <v>3137</v>
      </c>
      <c r="B1573" t="s">
        <v>3138</v>
      </c>
      <c r="C1573" t="s">
        <v>3242</v>
      </c>
      <c r="D1573" t="s">
        <v>3243</v>
      </c>
    </row>
    <row r="1574" spans="1:4" x14ac:dyDescent="0.3">
      <c r="A1574" t="s">
        <v>3244</v>
      </c>
      <c r="B1574" t="s">
        <v>3245</v>
      </c>
      <c r="C1574" t="s">
        <v>3246</v>
      </c>
      <c r="D1574" t="s">
        <v>3247</v>
      </c>
    </row>
    <row r="1575" spans="1:4" x14ac:dyDescent="0.3">
      <c r="A1575" t="s">
        <v>3244</v>
      </c>
      <c r="B1575" t="s">
        <v>3245</v>
      </c>
      <c r="C1575" t="s">
        <v>3248</v>
      </c>
      <c r="D1575" t="s">
        <v>3249</v>
      </c>
    </row>
    <row r="1576" spans="1:4" x14ac:dyDescent="0.3">
      <c r="A1576" t="s">
        <v>3244</v>
      </c>
      <c r="B1576" t="s">
        <v>3245</v>
      </c>
      <c r="C1576" t="s">
        <v>3250</v>
      </c>
      <c r="D1576" t="s">
        <v>3251</v>
      </c>
    </row>
    <row r="1577" spans="1:4" x14ac:dyDescent="0.3">
      <c r="A1577" t="s">
        <v>3244</v>
      </c>
      <c r="B1577" t="s">
        <v>3245</v>
      </c>
      <c r="C1577" t="s">
        <v>3252</v>
      </c>
      <c r="D1577" t="s">
        <v>3253</v>
      </c>
    </row>
    <row r="1578" spans="1:4" x14ac:dyDescent="0.3">
      <c r="A1578" t="s">
        <v>3244</v>
      </c>
      <c r="B1578" t="s">
        <v>3245</v>
      </c>
      <c r="C1578" t="s">
        <v>3254</v>
      </c>
      <c r="D1578" t="s">
        <v>3255</v>
      </c>
    </row>
    <row r="1579" spans="1:4" x14ac:dyDescent="0.3">
      <c r="A1579" t="s">
        <v>3244</v>
      </c>
      <c r="B1579" t="s">
        <v>3245</v>
      </c>
      <c r="C1579" t="s">
        <v>3256</v>
      </c>
      <c r="D1579" t="s">
        <v>3257</v>
      </c>
    </row>
    <row r="1580" spans="1:4" x14ac:dyDescent="0.3">
      <c r="A1580" t="s">
        <v>3244</v>
      </c>
      <c r="B1580" t="s">
        <v>3245</v>
      </c>
      <c r="C1580" t="s">
        <v>3258</v>
      </c>
      <c r="D1580" t="s">
        <v>3259</v>
      </c>
    </row>
    <row r="1581" spans="1:4" x14ac:dyDescent="0.3">
      <c r="A1581" t="s">
        <v>3244</v>
      </c>
      <c r="B1581" t="s">
        <v>3245</v>
      </c>
      <c r="C1581" t="s">
        <v>3260</v>
      </c>
      <c r="D1581" t="s">
        <v>3261</v>
      </c>
    </row>
    <row r="1582" spans="1:4" x14ac:dyDescent="0.3">
      <c r="A1582" t="s">
        <v>3244</v>
      </c>
      <c r="B1582" t="s">
        <v>3245</v>
      </c>
      <c r="C1582" t="s">
        <v>3262</v>
      </c>
      <c r="D1582" t="s">
        <v>3263</v>
      </c>
    </row>
    <row r="1583" spans="1:4" x14ac:dyDescent="0.3">
      <c r="A1583" t="s">
        <v>3244</v>
      </c>
      <c r="B1583" t="s">
        <v>3245</v>
      </c>
      <c r="C1583" t="s">
        <v>3264</v>
      </c>
      <c r="D1583" t="s">
        <v>3265</v>
      </c>
    </row>
    <row r="1584" spans="1:4" x14ac:dyDescent="0.3">
      <c r="A1584" t="s">
        <v>3244</v>
      </c>
      <c r="B1584" t="s">
        <v>3245</v>
      </c>
      <c r="C1584" t="s">
        <v>3266</v>
      </c>
      <c r="D1584" t="s">
        <v>3267</v>
      </c>
    </row>
    <row r="1585" spans="1:4" x14ac:dyDescent="0.3">
      <c r="A1585" t="s">
        <v>3244</v>
      </c>
      <c r="B1585" t="s">
        <v>3245</v>
      </c>
      <c r="C1585" t="s">
        <v>3268</v>
      </c>
      <c r="D1585" t="s">
        <v>3269</v>
      </c>
    </row>
    <row r="1586" spans="1:4" x14ac:dyDescent="0.3">
      <c r="A1586" t="s">
        <v>3244</v>
      </c>
      <c r="B1586" t="s">
        <v>3245</v>
      </c>
      <c r="C1586" t="s">
        <v>3270</v>
      </c>
      <c r="D1586" t="s">
        <v>3271</v>
      </c>
    </row>
    <row r="1587" spans="1:4" x14ac:dyDescent="0.3">
      <c r="A1587" t="s">
        <v>3244</v>
      </c>
      <c r="B1587" t="s">
        <v>3245</v>
      </c>
      <c r="C1587" t="s">
        <v>3272</v>
      </c>
      <c r="D1587" t="s">
        <v>3273</v>
      </c>
    </row>
    <row r="1588" spans="1:4" x14ac:dyDescent="0.3">
      <c r="A1588" t="s">
        <v>3244</v>
      </c>
      <c r="B1588" t="s">
        <v>3245</v>
      </c>
      <c r="C1588" t="s">
        <v>3274</v>
      </c>
      <c r="D1588" t="s">
        <v>3275</v>
      </c>
    </row>
    <row r="1589" spans="1:4" x14ac:dyDescent="0.3">
      <c r="A1589" t="s">
        <v>3244</v>
      </c>
      <c r="B1589" t="s">
        <v>3245</v>
      </c>
      <c r="C1589" t="s">
        <v>3276</v>
      </c>
      <c r="D1589" t="s">
        <v>3277</v>
      </c>
    </row>
    <row r="1590" spans="1:4" x14ac:dyDescent="0.3">
      <c r="A1590" t="s">
        <v>3244</v>
      </c>
      <c r="B1590" t="s">
        <v>3245</v>
      </c>
      <c r="C1590" t="s">
        <v>3278</v>
      </c>
      <c r="D1590" t="s">
        <v>3279</v>
      </c>
    </row>
    <row r="1591" spans="1:4" x14ac:dyDescent="0.3">
      <c r="A1591" t="s">
        <v>3244</v>
      </c>
      <c r="B1591" t="s">
        <v>3245</v>
      </c>
      <c r="C1591" t="s">
        <v>3280</v>
      </c>
      <c r="D1591" t="s">
        <v>3281</v>
      </c>
    </row>
    <row r="1592" spans="1:4" x14ac:dyDescent="0.3">
      <c r="A1592" t="s">
        <v>3244</v>
      </c>
      <c r="B1592" t="s">
        <v>3245</v>
      </c>
      <c r="C1592" t="s">
        <v>3282</v>
      </c>
      <c r="D1592" t="s">
        <v>3283</v>
      </c>
    </row>
    <row r="1593" spans="1:4" x14ac:dyDescent="0.3">
      <c r="A1593" t="s">
        <v>3244</v>
      </c>
      <c r="B1593" t="s">
        <v>3245</v>
      </c>
      <c r="C1593" t="s">
        <v>3284</v>
      </c>
      <c r="D1593" t="s">
        <v>3285</v>
      </c>
    </row>
    <row r="1594" spans="1:4" x14ac:dyDescent="0.3">
      <c r="A1594" t="s">
        <v>3244</v>
      </c>
      <c r="B1594" t="s">
        <v>3245</v>
      </c>
      <c r="C1594" t="s">
        <v>3286</v>
      </c>
      <c r="D1594" t="s">
        <v>3287</v>
      </c>
    </row>
    <row r="1595" spans="1:4" x14ac:dyDescent="0.3">
      <c r="A1595" t="s">
        <v>3244</v>
      </c>
      <c r="B1595" t="s">
        <v>3245</v>
      </c>
      <c r="C1595" t="s">
        <v>3288</v>
      </c>
      <c r="D1595" t="s">
        <v>3289</v>
      </c>
    </row>
    <row r="1596" spans="1:4" x14ac:dyDescent="0.3">
      <c r="A1596" t="s">
        <v>3244</v>
      </c>
      <c r="B1596" t="s">
        <v>3245</v>
      </c>
      <c r="C1596" t="s">
        <v>3290</v>
      </c>
      <c r="D1596" t="s">
        <v>3291</v>
      </c>
    </row>
    <row r="1597" spans="1:4" x14ac:dyDescent="0.3">
      <c r="A1597" t="s">
        <v>3244</v>
      </c>
      <c r="B1597" t="s">
        <v>3245</v>
      </c>
      <c r="C1597" t="s">
        <v>3292</v>
      </c>
      <c r="D1597" t="s">
        <v>3293</v>
      </c>
    </row>
    <row r="1598" spans="1:4" x14ac:dyDescent="0.3">
      <c r="A1598" t="s">
        <v>3244</v>
      </c>
      <c r="B1598" t="s">
        <v>3245</v>
      </c>
      <c r="C1598" t="s">
        <v>3294</v>
      </c>
      <c r="D1598" t="s">
        <v>3295</v>
      </c>
    </row>
    <row r="1599" spans="1:4" x14ac:dyDescent="0.3">
      <c r="A1599" t="s">
        <v>3296</v>
      </c>
      <c r="B1599" t="s">
        <v>3297</v>
      </c>
      <c r="C1599" t="s">
        <v>3298</v>
      </c>
      <c r="D1599" t="s">
        <v>3299</v>
      </c>
    </row>
    <row r="1600" spans="1:4" x14ac:dyDescent="0.3">
      <c r="A1600" t="s">
        <v>3296</v>
      </c>
      <c r="B1600" t="s">
        <v>3297</v>
      </c>
      <c r="C1600" t="s">
        <v>3300</v>
      </c>
      <c r="D1600" t="s">
        <v>3301</v>
      </c>
    </row>
    <row r="1601" spans="1:4" x14ac:dyDescent="0.3">
      <c r="A1601" t="s">
        <v>3296</v>
      </c>
      <c r="B1601" t="s">
        <v>3297</v>
      </c>
      <c r="C1601" t="s">
        <v>2681</v>
      </c>
      <c r="D1601" t="s">
        <v>3302</v>
      </c>
    </row>
    <row r="1602" spans="1:4" x14ac:dyDescent="0.3">
      <c r="A1602" t="s">
        <v>3296</v>
      </c>
      <c r="B1602" t="s">
        <v>3297</v>
      </c>
      <c r="C1602" t="s">
        <v>3303</v>
      </c>
      <c r="D1602" t="s">
        <v>3304</v>
      </c>
    </row>
    <row r="1603" spans="1:4" x14ac:dyDescent="0.3">
      <c r="A1603" t="s">
        <v>3296</v>
      </c>
      <c r="B1603" t="s">
        <v>3297</v>
      </c>
      <c r="C1603" t="s">
        <v>3305</v>
      </c>
      <c r="D1603" t="s">
        <v>3306</v>
      </c>
    </row>
    <row r="1604" spans="1:4" x14ac:dyDescent="0.3">
      <c r="A1604" t="s">
        <v>3296</v>
      </c>
      <c r="B1604" t="s">
        <v>3297</v>
      </c>
      <c r="C1604" t="s">
        <v>3307</v>
      </c>
      <c r="D1604" t="s">
        <v>3308</v>
      </c>
    </row>
    <row r="1605" spans="1:4" x14ac:dyDescent="0.3">
      <c r="A1605" t="s">
        <v>3296</v>
      </c>
      <c r="B1605" t="s">
        <v>3297</v>
      </c>
      <c r="C1605" t="s">
        <v>3309</v>
      </c>
      <c r="D1605" t="s">
        <v>3310</v>
      </c>
    </row>
    <row r="1606" spans="1:4" x14ac:dyDescent="0.3">
      <c r="A1606" t="s">
        <v>3296</v>
      </c>
      <c r="B1606" t="s">
        <v>3297</v>
      </c>
      <c r="C1606" t="s">
        <v>3311</v>
      </c>
      <c r="D1606" t="s">
        <v>3312</v>
      </c>
    </row>
    <row r="1607" spans="1:4" x14ac:dyDescent="0.3">
      <c r="A1607" t="s">
        <v>3296</v>
      </c>
      <c r="B1607" t="s">
        <v>3297</v>
      </c>
      <c r="C1607" t="s">
        <v>3313</v>
      </c>
      <c r="D1607" t="s">
        <v>3314</v>
      </c>
    </row>
    <row r="1608" spans="1:4" x14ac:dyDescent="0.3">
      <c r="A1608" t="s">
        <v>3296</v>
      </c>
      <c r="B1608" t="s">
        <v>3297</v>
      </c>
      <c r="C1608" t="s">
        <v>3315</v>
      </c>
      <c r="D1608" t="s">
        <v>3316</v>
      </c>
    </row>
    <row r="1609" spans="1:4" x14ac:dyDescent="0.3">
      <c r="A1609" t="s">
        <v>3296</v>
      </c>
      <c r="B1609" t="s">
        <v>3297</v>
      </c>
      <c r="C1609" t="s">
        <v>3317</v>
      </c>
      <c r="D1609" t="s">
        <v>3318</v>
      </c>
    </row>
    <row r="1610" spans="1:4" x14ac:dyDescent="0.3">
      <c r="A1610" t="s">
        <v>3296</v>
      </c>
      <c r="B1610" t="s">
        <v>3297</v>
      </c>
      <c r="C1610" t="s">
        <v>3319</v>
      </c>
      <c r="D1610" t="s">
        <v>3320</v>
      </c>
    </row>
    <row r="1611" spans="1:4" x14ac:dyDescent="0.3">
      <c r="A1611" t="s">
        <v>3296</v>
      </c>
      <c r="B1611" t="s">
        <v>3297</v>
      </c>
      <c r="C1611" t="s">
        <v>3321</v>
      </c>
      <c r="D1611" t="s">
        <v>3322</v>
      </c>
    </row>
    <row r="1612" spans="1:4" x14ac:dyDescent="0.3">
      <c r="A1612" t="s">
        <v>3296</v>
      </c>
      <c r="B1612" t="s">
        <v>3297</v>
      </c>
      <c r="C1612" t="s">
        <v>3323</v>
      </c>
      <c r="D1612" t="s">
        <v>3324</v>
      </c>
    </row>
    <row r="1613" spans="1:4" x14ac:dyDescent="0.3">
      <c r="A1613" t="s">
        <v>3296</v>
      </c>
      <c r="B1613" t="s">
        <v>3297</v>
      </c>
      <c r="C1613" t="s">
        <v>3325</v>
      </c>
      <c r="D1613" t="s">
        <v>3326</v>
      </c>
    </row>
    <row r="1614" spans="1:4" x14ac:dyDescent="0.3">
      <c r="A1614" t="s">
        <v>3296</v>
      </c>
      <c r="B1614" t="s">
        <v>3297</v>
      </c>
      <c r="C1614" t="s">
        <v>3327</v>
      </c>
      <c r="D1614" t="s">
        <v>3328</v>
      </c>
    </row>
    <row r="1615" spans="1:4" x14ac:dyDescent="0.3">
      <c r="A1615" t="s">
        <v>3296</v>
      </c>
      <c r="B1615" t="s">
        <v>3297</v>
      </c>
      <c r="C1615" t="s">
        <v>3329</v>
      </c>
      <c r="D1615" t="s">
        <v>3330</v>
      </c>
    </row>
    <row r="1616" spans="1:4" x14ac:dyDescent="0.3">
      <c r="A1616" t="s">
        <v>3296</v>
      </c>
      <c r="B1616" t="s">
        <v>3297</v>
      </c>
      <c r="C1616" t="s">
        <v>3331</v>
      </c>
      <c r="D1616" t="s">
        <v>3332</v>
      </c>
    </row>
    <row r="1617" spans="1:4" x14ac:dyDescent="0.3">
      <c r="A1617" t="s">
        <v>3296</v>
      </c>
      <c r="B1617" t="s">
        <v>3297</v>
      </c>
      <c r="C1617" t="s">
        <v>3333</v>
      </c>
      <c r="D1617" t="s">
        <v>3334</v>
      </c>
    </row>
    <row r="1618" spans="1:4" x14ac:dyDescent="0.3">
      <c r="A1618" t="s">
        <v>3296</v>
      </c>
      <c r="B1618" t="s">
        <v>3297</v>
      </c>
      <c r="C1618" t="s">
        <v>3335</v>
      </c>
      <c r="D1618" t="s">
        <v>3336</v>
      </c>
    </row>
    <row r="1619" spans="1:4" x14ac:dyDescent="0.3">
      <c r="A1619" t="s">
        <v>3296</v>
      </c>
      <c r="B1619" t="s">
        <v>3297</v>
      </c>
      <c r="C1619" t="s">
        <v>3337</v>
      </c>
      <c r="D1619" t="s">
        <v>3338</v>
      </c>
    </row>
    <row r="1620" spans="1:4" x14ac:dyDescent="0.3">
      <c r="A1620" t="s">
        <v>3339</v>
      </c>
      <c r="B1620" t="s">
        <v>3340</v>
      </c>
      <c r="C1620" t="s">
        <v>3341</v>
      </c>
      <c r="D1620" t="s">
        <v>3342</v>
      </c>
    </row>
    <row r="1621" spans="1:4" x14ac:dyDescent="0.3">
      <c r="A1621" t="s">
        <v>3339</v>
      </c>
      <c r="B1621" t="s">
        <v>3340</v>
      </c>
      <c r="C1621" t="s">
        <v>3343</v>
      </c>
      <c r="D1621" t="s">
        <v>3344</v>
      </c>
    </row>
    <row r="1622" spans="1:4" x14ac:dyDescent="0.3">
      <c r="A1622" t="s">
        <v>3339</v>
      </c>
      <c r="B1622" t="s">
        <v>3340</v>
      </c>
      <c r="C1622" t="s">
        <v>3345</v>
      </c>
      <c r="D1622" t="s">
        <v>3346</v>
      </c>
    </row>
    <row r="1623" spans="1:4" x14ac:dyDescent="0.3">
      <c r="A1623" t="s">
        <v>3339</v>
      </c>
      <c r="B1623" t="s">
        <v>3340</v>
      </c>
      <c r="C1623" t="s">
        <v>3347</v>
      </c>
      <c r="D1623" t="s">
        <v>3348</v>
      </c>
    </row>
    <row r="1624" spans="1:4" x14ac:dyDescent="0.3">
      <c r="A1624" t="s">
        <v>3339</v>
      </c>
      <c r="B1624" t="s">
        <v>3340</v>
      </c>
      <c r="C1624" t="s">
        <v>3349</v>
      </c>
      <c r="D1624" t="s">
        <v>3350</v>
      </c>
    </row>
    <row r="1625" spans="1:4" x14ac:dyDescent="0.3">
      <c r="A1625" t="s">
        <v>3339</v>
      </c>
      <c r="B1625" t="s">
        <v>3340</v>
      </c>
      <c r="C1625" t="s">
        <v>3351</v>
      </c>
      <c r="D1625" t="s">
        <v>3352</v>
      </c>
    </row>
    <row r="1626" spans="1:4" x14ac:dyDescent="0.3">
      <c r="A1626" t="s">
        <v>3339</v>
      </c>
      <c r="B1626" t="s">
        <v>3340</v>
      </c>
      <c r="C1626" t="s">
        <v>3353</v>
      </c>
      <c r="D1626" t="s">
        <v>3354</v>
      </c>
    </row>
    <row r="1627" spans="1:4" x14ac:dyDescent="0.3">
      <c r="A1627" t="s">
        <v>3339</v>
      </c>
      <c r="B1627" t="s">
        <v>3340</v>
      </c>
      <c r="C1627" t="s">
        <v>3355</v>
      </c>
      <c r="D1627" t="s">
        <v>3356</v>
      </c>
    </row>
    <row r="1628" spans="1:4" x14ac:dyDescent="0.3">
      <c r="A1628" t="s">
        <v>3339</v>
      </c>
      <c r="B1628" t="s">
        <v>3340</v>
      </c>
      <c r="C1628" t="s">
        <v>3357</v>
      </c>
      <c r="D1628" t="s">
        <v>3358</v>
      </c>
    </row>
    <row r="1629" spans="1:4" x14ac:dyDescent="0.3">
      <c r="A1629" t="s">
        <v>3339</v>
      </c>
      <c r="B1629" t="s">
        <v>3340</v>
      </c>
      <c r="C1629" t="s">
        <v>3359</v>
      </c>
      <c r="D1629" t="s">
        <v>3360</v>
      </c>
    </row>
    <row r="1630" spans="1:4" x14ac:dyDescent="0.3">
      <c r="A1630" t="s">
        <v>3339</v>
      </c>
      <c r="B1630" t="s">
        <v>3340</v>
      </c>
      <c r="C1630" t="s">
        <v>3361</v>
      </c>
      <c r="D1630" t="s">
        <v>3362</v>
      </c>
    </row>
    <row r="1631" spans="1:4" x14ac:dyDescent="0.3">
      <c r="A1631" t="s">
        <v>3339</v>
      </c>
      <c r="B1631" t="s">
        <v>3340</v>
      </c>
      <c r="C1631" t="s">
        <v>3363</v>
      </c>
      <c r="D1631" t="s">
        <v>3364</v>
      </c>
    </row>
    <row r="1632" spans="1:4" x14ac:dyDescent="0.3">
      <c r="A1632" t="s">
        <v>3339</v>
      </c>
      <c r="B1632" t="s">
        <v>3340</v>
      </c>
      <c r="C1632" t="s">
        <v>3365</v>
      </c>
      <c r="D1632" t="s">
        <v>3366</v>
      </c>
    </row>
    <row r="1633" spans="1:4" x14ac:dyDescent="0.3">
      <c r="A1633" t="s">
        <v>3339</v>
      </c>
      <c r="B1633" t="s">
        <v>3340</v>
      </c>
      <c r="C1633" t="s">
        <v>3367</v>
      </c>
      <c r="D1633" t="s">
        <v>3368</v>
      </c>
    </row>
    <row r="1634" spans="1:4" x14ac:dyDescent="0.3">
      <c r="A1634" t="s">
        <v>3339</v>
      </c>
      <c r="B1634" t="s">
        <v>3340</v>
      </c>
      <c r="C1634" t="s">
        <v>3369</v>
      </c>
      <c r="D1634" t="s">
        <v>3370</v>
      </c>
    </row>
    <row r="1635" spans="1:4" x14ac:dyDescent="0.3">
      <c r="A1635" t="s">
        <v>3339</v>
      </c>
      <c r="B1635" t="s">
        <v>3340</v>
      </c>
      <c r="C1635" t="s">
        <v>3371</v>
      </c>
      <c r="D1635" t="s">
        <v>3372</v>
      </c>
    </row>
    <row r="1636" spans="1:4" x14ac:dyDescent="0.3">
      <c r="A1636" t="s">
        <v>3339</v>
      </c>
      <c r="B1636" t="s">
        <v>3340</v>
      </c>
      <c r="C1636" t="s">
        <v>3373</v>
      </c>
      <c r="D1636" t="s">
        <v>3374</v>
      </c>
    </row>
    <row r="1637" spans="1:4" x14ac:dyDescent="0.3">
      <c r="A1637" t="s">
        <v>3339</v>
      </c>
      <c r="B1637" t="s">
        <v>3340</v>
      </c>
      <c r="C1637" t="s">
        <v>3375</v>
      </c>
      <c r="D1637" t="s">
        <v>3376</v>
      </c>
    </row>
    <row r="1638" spans="1:4" x14ac:dyDescent="0.3">
      <c r="A1638" t="s">
        <v>3339</v>
      </c>
      <c r="B1638" t="s">
        <v>3340</v>
      </c>
      <c r="C1638" t="s">
        <v>3377</v>
      </c>
      <c r="D1638" t="s">
        <v>3378</v>
      </c>
    </row>
    <row r="1639" spans="1:4" x14ac:dyDescent="0.3">
      <c r="A1639" t="s">
        <v>3339</v>
      </c>
      <c r="B1639" t="s">
        <v>3340</v>
      </c>
      <c r="C1639" t="s">
        <v>3379</v>
      </c>
      <c r="D1639" t="s">
        <v>3380</v>
      </c>
    </row>
    <row r="1640" spans="1:4" x14ac:dyDescent="0.3">
      <c r="A1640" t="s">
        <v>3339</v>
      </c>
      <c r="B1640" t="s">
        <v>3340</v>
      </c>
      <c r="C1640" t="s">
        <v>3381</v>
      </c>
      <c r="D1640" t="s">
        <v>3382</v>
      </c>
    </row>
    <row r="1641" spans="1:4" x14ac:dyDescent="0.3">
      <c r="A1641" t="s">
        <v>3339</v>
      </c>
      <c r="B1641" t="s">
        <v>3340</v>
      </c>
      <c r="C1641" t="s">
        <v>3383</v>
      </c>
      <c r="D1641" t="s">
        <v>3384</v>
      </c>
    </row>
    <row r="1642" spans="1:4" x14ac:dyDescent="0.3">
      <c r="A1642" t="s">
        <v>3339</v>
      </c>
      <c r="B1642" t="s">
        <v>3340</v>
      </c>
      <c r="C1642" t="s">
        <v>3385</v>
      </c>
      <c r="D1642" t="s">
        <v>3386</v>
      </c>
    </row>
    <row r="1643" spans="1:4" x14ac:dyDescent="0.3">
      <c r="A1643" t="s">
        <v>3339</v>
      </c>
      <c r="B1643" t="s">
        <v>3340</v>
      </c>
      <c r="C1643" t="s">
        <v>2846</v>
      </c>
      <c r="D1643" t="s">
        <v>3387</v>
      </c>
    </row>
    <row r="1644" spans="1:4" x14ac:dyDescent="0.3">
      <c r="A1644" t="s">
        <v>3339</v>
      </c>
      <c r="B1644" t="s">
        <v>3340</v>
      </c>
      <c r="C1644" t="s">
        <v>3388</v>
      </c>
      <c r="D1644" t="s">
        <v>3389</v>
      </c>
    </row>
    <row r="1645" spans="1:4" x14ac:dyDescent="0.3">
      <c r="A1645" t="s">
        <v>3339</v>
      </c>
      <c r="B1645" t="s">
        <v>3340</v>
      </c>
      <c r="C1645" t="s">
        <v>3390</v>
      </c>
      <c r="D1645" t="s">
        <v>3391</v>
      </c>
    </row>
    <row r="1646" spans="1:4" x14ac:dyDescent="0.3">
      <c r="A1646" t="s">
        <v>3339</v>
      </c>
      <c r="B1646" t="s">
        <v>3340</v>
      </c>
      <c r="C1646" t="s">
        <v>3392</v>
      </c>
      <c r="D1646" t="s">
        <v>3393</v>
      </c>
    </row>
    <row r="1647" spans="1:4" x14ac:dyDescent="0.3">
      <c r="A1647" t="s">
        <v>3339</v>
      </c>
      <c r="B1647" t="s">
        <v>3340</v>
      </c>
      <c r="C1647" t="s">
        <v>3394</v>
      </c>
      <c r="D1647" t="s">
        <v>3395</v>
      </c>
    </row>
    <row r="1648" spans="1:4" x14ac:dyDescent="0.3">
      <c r="A1648" t="s">
        <v>3339</v>
      </c>
      <c r="B1648" t="s">
        <v>3340</v>
      </c>
      <c r="C1648" t="s">
        <v>3396</v>
      </c>
      <c r="D1648" t="s">
        <v>3397</v>
      </c>
    </row>
    <row r="1649" spans="1:4" x14ac:dyDescent="0.3">
      <c r="A1649" t="s">
        <v>3339</v>
      </c>
      <c r="B1649" t="s">
        <v>3340</v>
      </c>
      <c r="C1649" t="s">
        <v>3029</v>
      </c>
      <c r="D1649" t="s">
        <v>3398</v>
      </c>
    </row>
    <row r="1650" spans="1:4" x14ac:dyDescent="0.3">
      <c r="A1650" t="s">
        <v>3339</v>
      </c>
      <c r="B1650" t="s">
        <v>3340</v>
      </c>
      <c r="C1650" t="s">
        <v>3399</v>
      </c>
      <c r="D1650" t="s">
        <v>3400</v>
      </c>
    </row>
    <row r="1651" spans="1:4" x14ac:dyDescent="0.3">
      <c r="A1651" t="s">
        <v>3339</v>
      </c>
      <c r="B1651" t="s">
        <v>3340</v>
      </c>
      <c r="C1651" t="s">
        <v>3401</v>
      </c>
      <c r="D1651" t="s">
        <v>3402</v>
      </c>
    </row>
    <row r="1652" spans="1:4" x14ac:dyDescent="0.3">
      <c r="A1652" t="s">
        <v>3339</v>
      </c>
      <c r="B1652" t="s">
        <v>3340</v>
      </c>
      <c r="C1652" t="s">
        <v>3403</v>
      </c>
      <c r="D1652" t="s">
        <v>3404</v>
      </c>
    </row>
    <row r="1653" spans="1:4" x14ac:dyDescent="0.3">
      <c r="A1653" t="s">
        <v>3339</v>
      </c>
      <c r="B1653" t="s">
        <v>3340</v>
      </c>
      <c r="C1653" t="s">
        <v>3405</v>
      </c>
      <c r="D1653" t="s">
        <v>3406</v>
      </c>
    </row>
    <row r="1654" spans="1:4" x14ac:dyDescent="0.3">
      <c r="A1654" t="s">
        <v>3339</v>
      </c>
      <c r="B1654" t="s">
        <v>3340</v>
      </c>
      <c r="C1654" t="s">
        <v>3407</v>
      </c>
      <c r="D1654" t="s">
        <v>3408</v>
      </c>
    </row>
    <row r="1655" spans="1:4" x14ac:dyDescent="0.3">
      <c r="A1655" t="s">
        <v>3409</v>
      </c>
      <c r="B1655" t="s">
        <v>3410</v>
      </c>
      <c r="C1655" t="s">
        <v>3411</v>
      </c>
      <c r="D1655" t="s">
        <v>3412</v>
      </c>
    </row>
    <row r="1656" spans="1:4" x14ac:dyDescent="0.3">
      <c r="A1656" t="s">
        <v>3409</v>
      </c>
      <c r="B1656" t="s">
        <v>3410</v>
      </c>
      <c r="C1656" t="s">
        <v>3413</v>
      </c>
      <c r="D1656" t="s">
        <v>3414</v>
      </c>
    </row>
    <row r="1657" spans="1:4" x14ac:dyDescent="0.3">
      <c r="A1657" t="s">
        <v>3409</v>
      </c>
      <c r="B1657" t="s">
        <v>3410</v>
      </c>
      <c r="C1657" t="s">
        <v>3415</v>
      </c>
      <c r="D1657" t="s">
        <v>3416</v>
      </c>
    </row>
    <row r="1658" spans="1:4" x14ac:dyDescent="0.3">
      <c r="A1658" t="s">
        <v>3409</v>
      </c>
      <c r="B1658" t="s">
        <v>3410</v>
      </c>
      <c r="C1658" t="s">
        <v>3417</v>
      </c>
      <c r="D1658" t="s">
        <v>3418</v>
      </c>
    </row>
    <row r="1659" spans="1:4" x14ac:dyDescent="0.3">
      <c r="A1659" t="s">
        <v>3409</v>
      </c>
      <c r="B1659" t="s">
        <v>3410</v>
      </c>
      <c r="C1659" t="s">
        <v>3419</v>
      </c>
      <c r="D1659" t="s">
        <v>3420</v>
      </c>
    </row>
    <row r="1660" spans="1:4" x14ac:dyDescent="0.3">
      <c r="A1660" t="s">
        <v>3409</v>
      </c>
      <c r="B1660" t="s">
        <v>3410</v>
      </c>
      <c r="C1660" t="s">
        <v>3244</v>
      </c>
      <c r="D1660" t="s">
        <v>3421</v>
      </c>
    </row>
    <row r="1661" spans="1:4" x14ac:dyDescent="0.3">
      <c r="A1661" t="s">
        <v>3409</v>
      </c>
      <c r="B1661" t="s">
        <v>3410</v>
      </c>
      <c r="C1661" t="s">
        <v>3422</v>
      </c>
      <c r="D1661" t="s">
        <v>3423</v>
      </c>
    </row>
    <row r="1662" spans="1:4" x14ac:dyDescent="0.3">
      <c r="A1662" t="s">
        <v>3409</v>
      </c>
      <c r="B1662" t="s">
        <v>3410</v>
      </c>
      <c r="C1662" t="s">
        <v>3424</v>
      </c>
      <c r="D1662" t="s">
        <v>3425</v>
      </c>
    </row>
    <row r="1663" spans="1:4" x14ac:dyDescent="0.3">
      <c r="A1663" t="s">
        <v>3409</v>
      </c>
      <c r="B1663" t="s">
        <v>3410</v>
      </c>
      <c r="C1663" t="s">
        <v>3426</v>
      </c>
      <c r="D1663" t="s">
        <v>3427</v>
      </c>
    </row>
    <row r="1664" spans="1:4" x14ac:dyDescent="0.3">
      <c r="A1664" t="s">
        <v>3409</v>
      </c>
      <c r="B1664" t="s">
        <v>3410</v>
      </c>
      <c r="C1664" t="s">
        <v>3428</v>
      </c>
      <c r="D1664" t="s">
        <v>3429</v>
      </c>
    </row>
    <row r="1665" spans="1:4" x14ac:dyDescent="0.3">
      <c r="A1665" t="s">
        <v>3409</v>
      </c>
      <c r="B1665" t="s">
        <v>3410</v>
      </c>
      <c r="C1665" t="s">
        <v>3430</v>
      </c>
      <c r="D1665" t="s">
        <v>3431</v>
      </c>
    </row>
    <row r="1666" spans="1:4" x14ac:dyDescent="0.3">
      <c r="A1666" t="s">
        <v>3409</v>
      </c>
      <c r="B1666" t="s">
        <v>3410</v>
      </c>
      <c r="C1666" t="s">
        <v>3432</v>
      </c>
      <c r="D1666" t="s">
        <v>3433</v>
      </c>
    </row>
    <row r="1667" spans="1:4" x14ac:dyDescent="0.3">
      <c r="A1667" t="s">
        <v>3409</v>
      </c>
      <c r="B1667" t="s">
        <v>3410</v>
      </c>
      <c r="C1667" t="s">
        <v>3434</v>
      </c>
      <c r="D1667" t="s">
        <v>3435</v>
      </c>
    </row>
    <row r="1668" spans="1:4" x14ac:dyDescent="0.3">
      <c r="A1668" t="s">
        <v>3409</v>
      </c>
      <c r="B1668" t="s">
        <v>3410</v>
      </c>
      <c r="C1668" t="s">
        <v>3436</v>
      </c>
      <c r="D1668" t="s">
        <v>3437</v>
      </c>
    </row>
    <row r="1669" spans="1:4" x14ac:dyDescent="0.3">
      <c r="A1669" t="s">
        <v>3409</v>
      </c>
      <c r="B1669" t="s">
        <v>3410</v>
      </c>
      <c r="C1669" t="s">
        <v>3438</v>
      </c>
      <c r="D1669" t="s">
        <v>3439</v>
      </c>
    </row>
    <row r="1670" spans="1:4" x14ac:dyDescent="0.3">
      <c r="A1670" t="s">
        <v>3409</v>
      </c>
      <c r="B1670" t="s">
        <v>3410</v>
      </c>
      <c r="C1670" t="s">
        <v>3440</v>
      </c>
      <c r="D1670" t="s">
        <v>3441</v>
      </c>
    </row>
    <row r="1671" spans="1:4" x14ac:dyDescent="0.3">
      <c r="A1671" t="s">
        <v>3409</v>
      </c>
      <c r="B1671" t="s">
        <v>3410</v>
      </c>
      <c r="C1671" t="s">
        <v>3442</v>
      </c>
      <c r="D1671" t="s">
        <v>3443</v>
      </c>
    </row>
    <row r="1672" spans="1:4" x14ac:dyDescent="0.3">
      <c r="A1672" t="s">
        <v>3409</v>
      </c>
      <c r="B1672" t="s">
        <v>3410</v>
      </c>
      <c r="C1672" t="s">
        <v>3444</v>
      </c>
      <c r="D1672" t="s">
        <v>3445</v>
      </c>
    </row>
    <row r="1673" spans="1:4" x14ac:dyDescent="0.3">
      <c r="A1673" t="s">
        <v>3409</v>
      </c>
      <c r="B1673" t="s">
        <v>3410</v>
      </c>
      <c r="C1673" t="s">
        <v>3446</v>
      </c>
      <c r="D1673" t="s">
        <v>3447</v>
      </c>
    </row>
    <row r="1674" spans="1:4" x14ac:dyDescent="0.3">
      <c r="A1674" t="s">
        <v>3375</v>
      </c>
      <c r="B1674" t="s">
        <v>3448</v>
      </c>
      <c r="C1674" t="s">
        <v>3449</v>
      </c>
      <c r="D1674" t="s">
        <v>3450</v>
      </c>
    </row>
    <row r="1675" spans="1:4" x14ac:dyDescent="0.3">
      <c r="A1675" t="s">
        <v>3375</v>
      </c>
      <c r="B1675" t="s">
        <v>3448</v>
      </c>
      <c r="C1675" t="s">
        <v>3451</v>
      </c>
      <c r="D1675" t="s">
        <v>3452</v>
      </c>
    </row>
    <row r="1676" spans="1:4" x14ac:dyDescent="0.3">
      <c r="A1676" t="s">
        <v>3375</v>
      </c>
      <c r="B1676" t="s">
        <v>3448</v>
      </c>
      <c r="C1676" t="s">
        <v>3453</v>
      </c>
      <c r="D1676" t="s">
        <v>3454</v>
      </c>
    </row>
    <row r="1677" spans="1:4" x14ac:dyDescent="0.3">
      <c r="A1677" t="s">
        <v>3375</v>
      </c>
      <c r="B1677" t="s">
        <v>3448</v>
      </c>
      <c r="C1677" t="s">
        <v>3455</v>
      </c>
      <c r="D1677" t="s">
        <v>3456</v>
      </c>
    </row>
    <row r="1678" spans="1:4" x14ac:dyDescent="0.3">
      <c r="A1678" t="s">
        <v>3375</v>
      </c>
      <c r="B1678" t="s">
        <v>3448</v>
      </c>
      <c r="C1678" t="s">
        <v>3457</v>
      </c>
      <c r="D1678" t="s">
        <v>3458</v>
      </c>
    </row>
    <row r="1679" spans="1:4" x14ac:dyDescent="0.3">
      <c r="A1679" t="s">
        <v>3375</v>
      </c>
      <c r="B1679" t="s">
        <v>3448</v>
      </c>
      <c r="C1679" t="s">
        <v>3459</v>
      </c>
      <c r="D1679" t="s">
        <v>3460</v>
      </c>
    </row>
    <row r="1680" spans="1:4" x14ac:dyDescent="0.3">
      <c r="A1680" t="s">
        <v>3375</v>
      </c>
      <c r="B1680" t="s">
        <v>3448</v>
      </c>
      <c r="C1680" t="s">
        <v>3461</v>
      </c>
      <c r="D1680" t="s">
        <v>3462</v>
      </c>
    </row>
    <row r="1681" spans="1:4" x14ac:dyDescent="0.3">
      <c r="A1681" t="s">
        <v>3375</v>
      </c>
      <c r="B1681" t="s">
        <v>3448</v>
      </c>
      <c r="C1681" t="s">
        <v>3463</v>
      </c>
      <c r="D1681" t="s">
        <v>3464</v>
      </c>
    </row>
    <row r="1682" spans="1:4" x14ac:dyDescent="0.3">
      <c r="A1682" t="s">
        <v>3375</v>
      </c>
      <c r="B1682" t="s">
        <v>3448</v>
      </c>
      <c r="C1682" t="s">
        <v>3465</v>
      </c>
      <c r="D1682" t="s">
        <v>3466</v>
      </c>
    </row>
    <row r="1683" spans="1:4" x14ac:dyDescent="0.3">
      <c r="A1683" t="s">
        <v>3375</v>
      </c>
      <c r="B1683" t="s">
        <v>3448</v>
      </c>
      <c r="C1683" t="s">
        <v>3467</v>
      </c>
      <c r="D1683" t="s">
        <v>3468</v>
      </c>
    </row>
    <row r="1684" spans="1:4" x14ac:dyDescent="0.3">
      <c r="A1684" t="s">
        <v>3375</v>
      </c>
      <c r="B1684" t="s">
        <v>3448</v>
      </c>
      <c r="C1684" t="s">
        <v>3469</v>
      </c>
      <c r="D1684" t="s">
        <v>3470</v>
      </c>
    </row>
    <row r="1685" spans="1:4" x14ac:dyDescent="0.3">
      <c r="A1685" t="s">
        <v>3375</v>
      </c>
      <c r="B1685" t="s">
        <v>3448</v>
      </c>
      <c r="C1685" t="s">
        <v>3471</v>
      </c>
      <c r="D1685" t="s">
        <v>3472</v>
      </c>
    </row>
    <row r="1686" spans="1:4" x14ac:dyDescent="0.3">
      <c r="A1686" t="s">
        <v>3375</v>
      </c>
      <c r="B1686" t="s">
        <v>3448</v>
      </c>
      <c r="C1686" t="s">
        <v>3473</v>
      </c>
      <c r="D1686" t="s">
        <v>3474</v>
      </c>
    </row>
    <row r="1687" spans="1:4" x14ac:dyDescent="0.3">
      <c r="A1687" t="s">
        <v>3375</v>
      </c>
      <c r="B1687" t="s">
        <v>3448</v>
      </c>
      <c r="C1687" t="s">
        <v>3475</v>
      </c>
      <c r="D1687" t="s">
        <v>3476</v>
      </c>
    </row>
    <row r="1688" spans="1:4" x14ac:dyDescent="0.3">
      <c r="A1688" t="s">
        <v>3375</v>
      </c>
      <c r="B1688" t="s">
        <v>3448</v>
      </c>
      <c r="C1688" t="s">
        <v>3477</v>
      </c>
      <c r="D1688" t="s">
        <v>3478</v>
      </c>
    </row>
    <row r="1689" spans="1:4" x14ac:dyDescent="0.3">
      <c r="A1689" t="s">
        <v>3375</v>
      </c>
      <c r="B1689" t="s">
        <v>3448</v>
      </c>
      <c r="C1689" t="s">
        <v>3479</v>
      </c>
      <c r="D1689" t="s">
        <v>3480</v>
      </c>
    </row>
    <row r="1690" spans="1:4" x14ac:dyDescent="0.3">
      <c r="A1690" t="s">
        <v>3375</v>
      </c>
      <c r="B1690" t="s">
        <v>3448</v>
      </c>
      <c r="C1690" t="s">
        <v>3481</v>
      </c>
      <c r="D1690" t="s">
        <v>3482</v>
      </c>
    </row>
    <row r="1691" spans="1:4" x14ac:dyDescent="0.3">
      <c r="A1691" t="s">
        <v>3375</v>
      </c>
      <c r="B1691" t="s">
        <v>3448</v>
      </c>
      <c r="C1691" t="s">
        <v>3483</v>
      </c>
      <c r="D1691" t="s">
        <v>3484</v>
      </c>
    </row>
    <row r="1692" spans="1:4" x14ac:dyDescent="0.3">
      <c r="A1692" t="s">
        <v>3375</v>
      </c>
      <c r="B1692" t="s">
        <v>3448</v>
      </c>
      <c r="C1692" t="s">
        <v>3485</v>
      </c>
      <c r="D1692" t="s">
        <v>3486</v>
      </c>
    </row>
    <row r="1693" spans="1:4" x14ac:dyDescent="0.3">
      <c r="A1693" t="s">
        <v>3375</v>
      </c>
      <c r="B1693" t="s">
        <v>3448</v>
      </c>
      <c r="C1693" t="s">
        <v>3487</v>
      </c>
      <c r="D1693" t="s">
        <v>3488</v>
      </c>
    </row>
    <row r="1694" spans="1:4" x14ac:dyDescent="0.3">
      <c r="A1694" t="s">
        <v>3375</v>
      </c>
      <c r="B1694" t="s">
        <v>3448</v>
      </c>
      <c r="C1694" t="s">
        <v>3489</v>
      </c>
      <c r="D1694" t="s">
        <v>1961</v>
      </c>
    </row>
    <row r="1695" spans="1:4" x14ac:dyDescent="0.3">
      <c r="A1695" t="s">
        <v>3490</v>
      </c>
      <c r="B1695" t="s">
        <v>3491</v>
      </c>
      <c r="C1695" t="s">
        <v>3492</v>
      </c>
      <c r="D1695" t="s">
        <v>3493</v>
      </c>
    </row>
    <row r="1696" spans="1:4" x14ac:dyDescent="0.3">
      <c r="A1696" t="s">
        <v>3490</v>
      </c>
      <c r="B1696" t="s">
        <v>3491</v>
      </c>
      <c r="C1696" t="s">
        <v>3494</v>
      </c>
      <c r="D1696" t="s">
        <v>3495</v>
      </c>
    </row>
    <row r="1697" spans="1:4" x14ac:dyDescent="0.3">
      <c r="A1697" t="s">
        <v>3490</v>
      </c>
      <c r="B1697" t="s">
        <v>3491</v>
      </c>
      <c r="C1697" t="s">
        <v>3496</v>
      </c>
      <c r="D1697" t="s">
        <v>3497</v>
      </c>
    </row>
    <row r="1698" spans="1:4" x14ac:dyDescent="0.3">
      <c r="A1698" t="s">
        <v>3490</v>
      </c>
      <c r="B1698" t="s">
        <v>3491</v>
      </c>
      <c r="C1698" t="s">
        <v>3498</v>
      </c>
      <c r="D1698" t="s">
        <v>3499</v>
      </c>
    </row>
    <row r="1699" spans="1:4" x14ac:dyDescent="0.3">
      <c r="A1699" t="s">
        <v>3490</v>
      </c>
      <c r="B1699" t="s">
        <v>3491</v>
      </c>
      <c r="C1699" t="s">
        <v>3500</v>
      </c>
      <c r="D1699" t="s">
        <v>3501</v>
      </c>
    </row>
    <row r="1700" spans="1:4" x14ac:dyDescent="0.3">
      <c r="A1700" t="s">
        <v>3490</v>
      </c>
      <c r="B1700" t="s">
        <v>3491</v>
      </c>
      <c r="C1700" t="s">
        <v>3502</v>
      </c>
      <c r="D1700" t="s">
        <v>3503</v>
      </c>
    </row>
    <row r="1701" spans="1:4" x14ac:dyDescent="0.3">
      <c r="A1701" t="s">
        <v>3490</v>
      </c>
      <c r="B1701" t="s">
        <v>3491</v>
      </c>
      <c r="C1701" t="s">
        <v>3504</v>
      </c>
      <c r="D1701" t="s">
        <v>3505</v>
      </c>
    </row>
    <row r="1702" spans="1:4" x14ac:dyDescent="0.3">
      <c r="A1702" t="s">
        <v>3490</v>
      </c>
      <c r="B1702" t="s">
        <v>3491</v>
      </c>
      <c r="C1702" t="s">
        <v>3506</v>
      </c>
      <c r="D1702" t="s">
        <v>3507</v>
      </c>
    </row>
    <row r="1703" spans="1:4" x14ac:dyDescent="0.3">
      <c r="A1703" t="s">
        <v>3490</v>
      </c>
      <c r="B1703" t="s">
        <v>3491</v>
      </c>
      <c r="C1703" t="s">
        <v>3508</v>
      </c>
      <c r="D1703" t="s">
        <v>3509</v>
      </c>
    </row>
    <row r="1704" spans="1:4" x14ac:dyDescent="0.3">
      <c r="A1704" t="s">
        <v>3490</v>
      </c>
      <c r="B1704" t="s">
        <v>3491</v>
      </c>
      <c r="C1704" t="s">
        <v>3510</v>
      </c>
      <c r="D1704" t="s">
        <v>3511</v>
      </c>
    </row>
    <row r="1705" spans="1:4" x14ac:dyDescent="0.3">
      <c r="A1705" t="s">
        <v>3490</v>
      </c>
      <c r="B1705" t="s">
        <v>3491</v>
      </c>
      <c r="C1705" t="s">
        <v>3512</v>
      </c>
      <c r="D1705" t="s">
        <v>3513</v>
      </c>
    </row>
    <row r="1706" spans="1:4" x14ac:dyDescent="0.3">
      <c r="A1706" t="s">
        <v>3490</v>
      </c>
      <c r="B1706" t="s">
        <v>3491</v>
      </c>
      <c r="C1706" t="s">
        <v>3514</v>
      </c>
      <c r="D1706" t="s">
        <v>3515</v>
      </c>
    </row>
    <row r="1707" spans="1:4" x14ac:dyDescent="0.3">
      <c r="A1707" t="s">
        <v>3490</v>
      </c>
      <c r="B1707" t="s">
        <v>3491</v>
      </c>
      <c r="C1707" t="s">
        <v>3516</v>
      </c>
      <c r="D1707" t="s">
        <v>3517</v>
      </c>
    </row>
    <row r="1708" spans="1:4" x14ac:dyDescent="0.3">
      <c r="A1708" t="s">
        <v>3490</v>
      </c>
      <c r="B1708" t="s">
        <v>3491</v>
      </c>
      <c r="C1708" t="s">
        <v>3518</v>
      </c>
      <c r="D1708" t="s">
        <v>3519</v>
      </c>
    </row>
    <row r="1709" spans="1:4" x14ac:dyDescent="0.3">
      <c r="A1709" t="s">
        <v>3490</v>
      </c>
      <c r="B1709" t="s">
        <v>3491</v>
      </c>
      <c r="C1709" t="s">
        <v>3520</v>
      </c>
      <c r="D1709" t="s">
        <v>3521</v>
      </c>
    </row>
    <row r="1710" spans="1:4" x14ac:dyDescent="0.3">
      <c r="A1710" t="s">
        <v>3490</v>
      </c>
      <c r="B1710" t="s">
        <v>3491</v>
      </c>
      <c r="C1710" t="s">
        <v>3522</v>
      </c>
      <c r="D1710" t="s">
        <v>3523</v>
      </c>
    </row>
    <row r="1711" spans="1:4" x14ac:dyDescent="0.3">
      <c r="A1711" t="s">
        <v>3490</v>
      </c>
      <c r="B1711" t="s">
        <v>3491</v>
      </c>
      <c r="C1711" t="s">
        <v>3524</v>
      </c>
      <c r="D1711" t="s">
        <v>3525</v>
      </c>
    </row>
    <row r="1712" spans="1:4" x14ac:dyDescent="0.3">
      <c r="A1712" t="s">
        <v>3490</v>
      </c>
      <c r="B1712" t="s">
        <v>3491</v>
      </c>
      <c r="C1712" t="s">
        <v>3526</v>
      </c>
      <c r="D1712" t="s">
        <v>3527</v>
      </c>
    </row>
    <row r="1713" spans="1:4" x14ac:dyDescent="0.3">
      <c r="A1713" t="s">
        <v>3490</v>
      </c>
      <c r="B1713" t="s">
        <v>3491</v>
      </c>
      <c r="C1713" t="s">
        <v>3528</v>
      </c>
      <c r="D1713" t="s">
        <v>3529</v>
      </c>
    </row>
    <row r="1714" spans="1:4" x14ac:dyDescent="0.3">
      <c r="A1714" t="s">
        <v>3490</v>
      </c>
      <c r="B1714" t="s">
        <v>3491</v>
      </c>
      <c r="C1714" t="s">
        <v>3530</v>
      </c>
      <c r="D1714" t="s">
        <v>3531</v>
      </c>
    </row>
    <row r="1715" spans="1:4" x14ac:dyDescent="0.3">
      <c r="A1715" t="s">
        <v>3490</v>
      </c>
      <c r="B1715" t="s">
        <v>3491</v>
      </c>
      <c r="C1715" t="s">
        <v>3532</v>
      </c>
      <c r="D1715" t="s">
        <v>3533</v>
      </c>
    </row>
    <row r="1716" spans="1:4" x14ac:dyDescent="0.3">
      <c r="A1716" t="s">
        <v>3490</v>
      </c>
      <c r="B1716" t="s">
        <v>3491</v>
      </c>
      <c r="C1716" t="s">
        <v>3534</v>
      </c>
      <c r="D1716" t="s">
        <v>3535</v>
      </c>
    </row>
    <row r="1717" spans="1:4" x14ac:dyDescent="0.3">
      <c r="A1717" t="s">
        <v>3490</v>
      </c>
      <c r="B1717" t="s">
        <v>3491</v>
      </c>
      <c r="C1717" t="s">
        <v>3536</v>
      </c>
      <c r="D1717" t="s">
        <v>3537</v>
      </c>
    </row>
    <row r="1718" spans="1:4" x14ac:dyDescent="0.3">
      <c r="A1718" t="s">
        <v>3490</v>
      </c>
      <c r="B1718" t="s">
        <v>3491</v>
      </c>
      <c r="C1718" t="s">
        <v>3538</v>
      </c>
      <c r="D1718" t="s">
        <v>3539</v>
      </c>
    </row>
    <row r="1719" spans="1:4" x14ac:dyDescent="0.3">
      <c r="A1719" t="s">
        <v>3490</v>
      </c>
      <c r="B1719" t="s">
        <v>3491</v>
      </c>
      <c r="C1719" t="s">
        <v>3540</v>
      </c>
      <c r="D1719" t="s">
        <v>3541</v>
      </c>
    </row>
    <row r="1720" spans="1:4" x14ac:dyDescent="0.3">
      <c r="A1720" t="s">
        <v>3490</v>
      </c>
      <c r="B1720" t="s">
        <v>3491</v>
      </c>
      <c r="C1720" t="s">
        <v>3542</v>
      </c>
      <c r="D1720" t="s">
        <v>3543</v>
      </c>
    </row>
    <row r="1721" spans="1:4" x14ac:dyDescent="0.3">
      <c r="A1721" t="s">
        <v>3490</v>
      </c>
      <c r="B1721" t="s">
        <v>3491</v>
      </c>
      <c r="C1721" t="s">
        <v>3544</v>
      </c>
      <c r="D1721" t="s">
        <v>3545</v>
      </c>
    </row>
    <row r="1722" spans="1:4" x14ac:dyDescent="0.3">
      <c r="A1722" t="s">
        <v>3490</v>
      </c>
      <c r="B1722" t="s">
        <v>3491</v>
      </c>
      <c r="C1722" t="s">
        <v>3546</v>
      </c>
      <c r="D1722" t="s">
        <v>3547</v>
      </c>
    </row>
    <row r="1723" spans="1:4" x14ac:dyDescent="0.3">
      <c r="A1723" t="s">
        <v>3490</v>
      </c>
      <c r="B1723" t="s">
        <v>3491</v>
      </c>
      <c r="C1723" t="s">
        <v>3548</v>
      </c>
      <c r="D1723" t="s">
        <v>3549</v>
      </c>
    </row>
    <row r="1724" spans="1:4" x14ac:dyDescent="0.3">
      <c r="A1724" t="s">
        <v>3490</v>
      </c>
      <c r="B1724" t="s">
        <v>3491</v>
      </c>
      <c r="C1724" t="s">
        <v>3550</v>
      </c>
      <c r="D1724" t="s">
        <v>3551</v>
      </c>
    </row>
    <row r="1725" spans="1:4" x14ac:dyDescent="0.3">
      <c r="A1725" t="s">
        <v>3490</v>
      </c>
      <c r="B1725" t="s">
        <v>3491</v>
      </c>
      <c r="C1725" t="s">
        <v>3552</v>
      </c>
      <c r="D1725" t="s">
        <v>3553</v>
      </c>
    </row>
    <row r="1726" spans="1:4" x14ac:dyDescent="0.3">
      <c r="A1726" t="s">
        <v>3490</v>
      </c>
      <c r="B1726" t="s">
        <v>3491</v>
      </c>
      <c r="C1726" t="s">
        <v>3554</v>
      </c>
      <c r="D1726" t="s">
        <v>3555</v>
      </c>
    </row>
    <row r="1727" spans="1:4" x14ac:dyDescent="0.3">
      <c r="A1727" t="s">
        <v>3490</v>
      </c>
      <c r="B1727" t="s">
        <v>3491</v>
      </c>
      <c r="C1727" t="s">
        <v>3556</v>
      </c>
      <c r="D1727" t="s">
        <v>3557</v>
      </c>
    </row>
    <row r="1728" spans="1:4" x14ac:dyDescent="0.3">
      <c r="A1728" t="s">
        <v>3490</v>
      </c>
      <c r="B1728" t="s">
        <v>3491</v>
      </c>
      <c r="C1728" t="s">
        <v>3558</v>
      </c>
      <c r="D1728" t="s">
        <v>3559</v>
      </c>
    </row>
    <row r="1729" spans="1:4" x14ac:dyDescent="0.3">
      <c r="A1729" t="s">
        <v>3490</v>
      </c>
      <c r="B1729" t="s">
        <v>3491</v>
      </c>
      <c r="C1729" t="s">
        <v>3560</v>
      </c>
      <c r="D1729" t="s">
        <v>3561</v>
      </c>
    </row>
    <row r="1730" spans="1:4" x14ac:dyDescent="0.3">
      <c r="A1730" t="s">
        <v>3490</v>
      </c>
      <c r="B1730" t="s">
        <v>3491</v>
      </c>
      <c r="C1730" t="s">
        <v>3562</v>
      </c>
      <c r="D1730" t="s">
        <v>3563</v>
      </c>
    </row>
    <row r="1731" spans="1:4" x14ac:dyDescent="0.3">
      <c r="A1731" t="s">
        <v>3490</v>
      </c>
      <c r="B1731" t="s">
        <v>3491</v>
      </c>
      <c r="C1731" t="s">
        <v>3564</v>
      </c>
      <c r="D1731" t="s">
        <v>3565</v>
      </c>
    </row>
    <row r="1732" spans="1:4" x14ac:dyDescent="0.3">
      <c r="A1732" t="s">
        <v>3490</v>
      </c>
      <c r="B1732" t="s">
        <v>3491</v>
      </c>
      <c r="C1732" t="s">
        <v>3566</v>
      </c>
      <c r="D1732" t="s">
        <v>3567</v>
      </c>
    </row>
    <row r="1733" spans="1:4" x14ac:dyDescent="0.3">
      <c r="A1733" t="s">
        <v>3490</v>
      </c>
      <c r="B1733" t="s">
        <v>3491</v>
      </c>
      <c r="C1733" t="s">
        <v>3568</v>
      </c>
      <c r="D1733" t="s">
        <v>3569</v>
      </c>
    </row>
    <row r="1734" spans="1:4" x14ac:dyDescent="0.3">
      <c r="A1734" t="s">
        <v>3490</v>
      </c>
      <c r="B1734" t="s">
        <v>3491</v>
      </c>
      <c r="C1734" t="s">
        <v>3570</v>
      </c>
      <c r="D1734" t="s">
        <v>3571</v>
      </c>
    </row>
    <row r="1735" spans="1:4" x14ac:dyDescent="0.3">
      <c r="A1735" t="s">
        <v>3446</v>
      </c>
      <c r="B1735" t="s">
        <v>3572</v>
      </c>
      <c r="C1735" t="s">
        <v>3573</v>
      </c>
      <c r="D1735" t="s">
        <v>3574</v>
      </c>
    </row>
    <row r="1736" spans="1:4" x14ac:dyDescent="0.3">
      <c r="A1736" t="s">
        <v>3446</v>
      </c>
      <c r="B1736" t="s">
        <v>3572</v>
      </c>
      <c r="C1736" t="s">
        <v>3575</v>
      </c>
      <c r="D1736" t="s">
        <v>3576</v>
      </c>
    </row>
    <row r="1737" spans="1:4" x14ac:dyDescent="0.3">
      <c r="A1737" t="s">
        <v>3446</v>
      </c>
      <c r="B1737" t="s">
        <v>3572</v>
      </c>
      <c r="C1737" t="s">
        <v>3577</v>
      </c>
      <c r="D1737" t="s">
        <v>3578</v>
      </c>
    </row>
    <row r="1738" spans="1:4" x14ac:dyDescent="0.3">
      <c r="A1738" t="s">
        <v>3446</v>
      </c>
      <c r="B1738" t="s">
        <v>3572</v>
      </c>
      <c r="C1738" t="s">
        <v>3579</v>
      </c>
      <c r="D1738" t="s">
        <v>3580</v>
      </c>
    </row>
    <row r="1739" spans="1:4" x14ac:dyDescent="0.3">
      <c r="A1739" t="s">
        <v>3446</v>
      </c>
      <c r="B1739" t="s">
        <v>3572</v>
      </c>
      <c r="C1739" t="s">
        <v>2646</v>
      </c>
      <c r="D1739" t="s">
        <v>359</v>
      </c>
    </row>
    <row r="1740" spans="1:4" x14ac:dyDescent="0.3">
      <c r="A1740" t="s">
        <v>3446</v>
      </c>
      <c r="B1740" t="s">
        <v>3572</v>
      </c>
      <c r="C1740" t="s">
        <v>3581</v>
      </c>
      <c r="D1740" t="s">
        <v>365</v>
      </c>
    </row>
    <row r="1741" spans="1:4" x14ac:dyDescent="0.3">
      <c r="A1741" t="s">
        <v>3446</v>
      </c>
      <c r="B1741" t="s">
        <v>3572</v>
      </c>
      <c r="C1741" t="s">
        <v>3582</v>
      </c>
      <c r="D1741" t="s">
        <v>3583</v>
      </c>
    </row>
    <row r="1742" spans="1:4" x14ac:dyDescent="0.3">
      <c r="A1742" t="s">
        <v>3446</v>
      </c>
      <c r="B1742" t="s">
        <v>3572</v>
      </c>
      <c r="C1742" t="s">
        <v>3584</v>
      </c>
      <c r="D1742" t="s">
        <v>3585</v>
      </c>
    </row>
    <row r="1743" spans="1:4" x14ac:dyDescent="0.3">
      <c r="A1743" t="s">
        <v>3446</v>
      </c>
      <c r="B1743" t="s">
        <v>3572</v>
      </c>
      <c r="C1743" t="s">
        <v>3586</v>
      </c>
      <c r="D1743" t="s">
        <v>403</v>
      </c>
    </row>
    <row r="1744" spans="1:4" x14ac:dyDescent="0.3">
      <c r="A1744" t="s">
        <v>3446</v>
      </c>
      <c r="B1744" t="s">
        <v>3572</v>
      </c>
      <c r="C1744" t="s">
        <v>3587</v>
      </c>
      <c r="D1744" t="s">
        <v>3588</v>
      </c>
    </row>
    <row r="1745" spans="1:4" x14ac:dyDescent="0.3">
      <c r="A1745" t="s">
        <v>3446</v>
      </c>
      <c r="B1745" t="s">
        <v>3572</v>
      </c>
      <c r="C1745" t="s">
        <v>3589</v>
      </c>
      <c r="D1745" t="s">
        <v>3590</v>
      </c>
    </row>
    <row r="1746" spans="1:4" x14ac:dyDescent="0.3">
      <c r="A1746" t="s">
        <v>3446</v>
      </c>
      <c r="B1746" t="s">
        <v>3572</v>
      </c>
      <c r="C1746" t="s">
        <v>3591</v>
      </c>
      <c r="D1746" t="s">
        <v>3592</v>
      </c>
    </row>
    <row r="1747" spans="1:4" x14ac:dyDescent="0.3">
      <c r="A1747" t="s">
        <v>3446</v>
      </c>
      <c r="B1747" t="s">
        <v>3572</v>
      </c>
      <c r="C1747" t="s">
        <v>3593</v>
      </c>
      <c r="D1747" t="s">
        <v>1447</v>
      </c>
    </row>
    <row r="1748" spans="1:4" x14ac:dyDescent="0.3">
      <c r="A1748" t="s">
        <v>3446</v>
      </c>
      <c r="B1748" t="s">
        <v>3572</v>
      </c>
      <c r="C1748" t="s">
        <v>3594</v>
      </c>
      <c r="D1748" t="s">
        <v>3595</v>
      </c>
    </row>
    <row r="1749" spans="1:4" x14ac:dyDescent="0.3">
      <c r="A1749" t="s">
        <v>3446</v>
      </c>
      <c r="B1749" t="s">
        <v>3572</v>
      </c>
      <c r="C1749" t="s">
        <v>3596</v>
      </c>
      <c r="D1749" t="s">
        <v>3597</v>
      </c>
    </row>
    <row r="1750" spans="1:4" x14ac:dyDescent="0.3">
      <c r="A1750" t="s">
        <v>3446</v>
      </c>
      <c r="B1750" t="s">
        <v>3572</v>
      </c>
      <c r="C1750" t="s">
        <v>3598</v>
      </c>
      <c r="D1750" t="s">
        <v>3599</v>
      </c>
    </row>
    <row r="1751" spans="1:4" x14ac:dyDescent="0.3">
      <c r="A1751" t="s">
        <v>3446</v>
      </c>
      <c r="B1751" t="s">
        <v>3572</v>
      </c>
      <c r="C1751" t="s">
        <v>3600</v>
      </c>
      <c r="D1751" t="s">
        <v>3601</v>
      </c>
    </row>
    <row r="1752" spans="1:4" x14ac:dyDescent="0.3">
      <c r="A1752" t="s">
        <v>3446</v>
      </c>
      <c r="B1752" t="s">
        <v>3572</v>
      </c>
      <c r="C1752" t="s">
        <v>3602</v>
      </c>
      <c r="D1752" t="s">
        <v>3603</v>
      </c>
    </row>
    <row r="1753" spans="1:4" x14ac:dyDescent="0.3">
      <c r="A1753" t="s">
        <v>3446</v>
      </c>
      <c r="B1753" t="s">
        <v>3572</v>
      </c>
      <c r="C1753" t="s">
        <v>3604</v>
      </c>
      <c r="D1753" t="s">
        <v>3605</v>
      </c>
    </row>
    <row r="1754" spans="1:4" x14ac:dyDescent="0.3">
      <c r="A1754" t="s">
        <v>3446</v>
      </c>
      <c r="B1754" t="s">
        <v>3572</v>
      </c>
      <c r="C1754" t="s">
        <v>3606</v>
      </c>
      <c r="D1754" t="s">
        <v>3607</v>
      </c>
    </row>
    <row r="1755" spans="1:4" x14ac:dyDescent="0.3">
      <c r="A1755" t="s">
        <v>3446</v>
      </c>
      <c r="B1755" t="s">
        <v>3572</v>
      </c>
      <c r="C1755" t="s">
        <v>3608</v>
      </c>
      <c r="D1755" t="s">
        <v>3609</v>
      </c>
    </row>
    <row r="1756" spans="1:4" x14ac:dyDescent="0.3">
      <c r="A1756" t="s">
        <v>3446</v>
      </c>
      <c r="B1756" t="s">
        <v>3572</v>
      </c>
      <c r="C1756" t="s">
        <v>3610</v>
      </c>
      <c r="D1756" t="s">
        <v>3611</v>
      </c>
    </row>
    <row r="1757" spans="1:4" x14ac:dyDescent="0.3">
      <c r="A1757" t="s">
        <v>3446</v>
      </c>
      <c r="B1757" t="s">
        <v>3572</v>
      </c>
      <c r="C1757" t="s">
        <v>3612</v>
      </c>
      <c r="D1757" t="s">
        <v>539</v>
      </c>
    </row>
    <row r="1758" spans="1:4" x14ac:dyDescent="0.3">
      <c r="A1758" t="s">
        <v>3613</v>
      </c>
      <c r="B1758" t="s">
        <v>3614</v>
      </c>
      <c r="C1758" t="s">
        <v>3615</v>
      </c>
      <c r="D1758" t="s">
        <v>3616</v>
      </c>
    </row>
    <row r="1759" spans="1:4" x14ac:dyDescent="0.3">
      <c r="A1759" t="s">
        <v>3613</v>
      </c>
      <c r="B1759" t="s">
        <v>3614</v>
      </c>
      <c r="C1759" t="s">
        <v>3617</v>
      </c>
      <c r="D1759" t="s">
        <v>3618</v>
      </c>
    </row>
    <row r="1760" spans="1:4" x14ac:dyDescent="0.3">
      <c r="A1760" t="s">
        <v>3613</v>
      </c>
      <c r="B1760" t="s">
        <v>3614</v>
      </c>
      <c r="C1760" t="s">
        <v>3619</v>
      </c>
      <c r="D1760" t="s">
        <v>3620</v>
      </c>
    </row>
    <row r="1761" spans="1:4" x14ac:dyDescent="0.3">
      <c r="A1761" t="s">
        <v>3613</v>
      </c>
      <c r="B1761" t="s">
        <v>3614</v>
      </c>
      <c r="C1761" t="s">
        <v>3621</v>
      </c>
      <c r="D1761" t="s">
        <v>3622</v>
      </c>
    </row>
    <row r="1762" spans="1:4" x14ac:dyDescent="0.3">
      <c r="A1762" t="s">
        <v>3613</v>
      </c>
      <c r="B1762" t="s">
        <v>3614</v>
      </c>
      <c r="C1762" t="s">
        <v>3623</v>
      </c>
      <c r="D1762" t="s">
        <v>3624</v>
      </c>
    </row>
    <row r="1763" spans="1:4" x14ac:dyDescent="0.3">
      <c r="A1763" t="s">
        <v>3613</v>
      </c>
      <c r="B1763" t="s">
        <v>3614</v>
      </c>
      <c r="C1763" t="s">
        <v>3625</v>
      </c>
      <c r="D1763" t="s">
        <v>3626</v>
      </c>
    </row>
    <row r="1764" spans="1:4" x14ac:dyDescent="0.3">
      <c r="A1764" t="s">
        <v>3613</v>
      </c>
      <c r="B1764" t="s">
        <v>3614</v>
      </c>
      <c r="C1764" t="s">
        <v>3627</v>
      </c>
      <c r="D1764" t="s">
        <v>3628</v>
      </c>
    </row>
    <row r="1765" spans="1:4" x14ac:dyDescent="0.3">
      <c r="A1765" t="s">
        <v>3613</v>
      </c>
      <c r="B1765" t="s">
        <v>3614</v>
      </c>
      <c r="C1765" t="s">
        <v>3629</v>
      </c>
      <c r="D1765" t="s">
        <v>3630</v>
      </c>
    </row>
    <row r="1766" spans="1:4" x14ac:dyDescent="0.3">
      <c r="A1766" t="s">
        <v>3613</v>
      </c>
      <c r="B1766" t="s">
        <v>3614</v>
      </c>
      <c r="C1766" t="s">
        <v>3631</v>
      </c>
      <c r="D1766" t="s">
        <v>762</v>
      </c>
    </row>
    <row r="1767" spans="1:4" x14ac:dyDescent="0.3">
      <c r="A1767" t="s">
        <v>3613</v>
      </c>
      <c r="B1767" t="s">
        <v>3614</v>
      </c>
      <c r="C1767" t="s">
        <v>3632</v>
      </c>
      <c r="D1767" t="s">
        <v>3633</v>
      </c>
    </row>
    <row r="1768" spans="1:4" x14ac:dyDescent="0.3">
      <c r="A1768" t="s">
        <v>3613</v>
      </c>
      <c r="B1768" t="s">
        <v>3614</v>
      </c>
      <c r="C1768" t="s">
        <v>3634</v>
      </c>
      <c r="D1768" t="s">
        <v>3635</v>
      </c>
    </row>
    <row r="1769" spans="1:4" x14ac:dyDescent="0.3">
      <c r="A1769" t="s">
        <v>3613</v>
      </c>
      <c r="B1769" t="s">
        <v>3614</v>
      </c>
      <c r="C1769" t="s">
        <v>3636</v>
      </c>
      <c r="D1769" t="s">
        <v>3637</v>
      </c>
    </row>
    <row r="1770" spans="1:4" x14ac:dyDescent="0.3">
      <c r="A1770" t="s">
        <v>3613</v>
      </c>
      <c r="B1770" t="s">
        <v>3614</v>
      </c>
      <c r="C1770" t="s">
        <v>3638</v>
      </c>
      <c r="D1770" t="s">
        <v>3639</v>
      </c>
    </row>
    <row r="1771" spans="1:4" x14ac:dyDescent="0.3">
      <c r="A1771" t="s">
        <v>3613</v>
      </c>
      <c r="B1771" t="s">
        <v>3614</v>
      </c>
      <c r="C1771" t="s">
        <v>3640</v>
      </c>
      <c r="D1771" t="s">
        <v>3641</v>
      </c>
    </row>
    <row r="1772" spans="1:4" x14ac:dyDescent="0.3">
      <c r="A1772" t="s">
        <v>3613</v>
      </c>
      <c r="B1772" t="s">
        <v>3614</v>
      </c>
      <c r="C1772" t="s">
        <v>3642</v>
      </c>
      <c r="D1772" t="s">
        <v>3643</v>
      </c>
    </row>
    <row r="1773" spans="1:4" x14ac:dyDescent="0.3">
      <c r="A1773" t="s">
        <v>3613</v>
      </c>
      <c r="B1773" t="s">
        <v>3614</v>
      </c>
      <c r="C1773" t="s">
        <v>3644</v>
      </c>
      <c r="D1773" t="s">
        <v>3645</v>
      </c>
    </row>
    <row r="1774" spans="1:4" x14ac:dyDescent="0.3">
      <c r="A1774" t="s">
        <v>3613</v>
      </c>
      <c r="B1774" t="s">
        <v>3614</v>
      </c>
      <c r="C1774" t="s">
        <v>3646</v>
      </c>
      <c r="D1774" t="s">
        <v>3647</v>
      </c>
    </row>
    <row r="1775" spans="1:4" x14ac:dyDescent="0.3">
      <c r="A1775" t="s">
        <v>3613</v>
      </c>
      <c r="B1775" t="s">
        <v>3614</v>
      </c>
      <c r="C1775" t="s">
        <v>3648</v>
      </c>
      <c r="D1775" t="s">
        <v>3649</v>
      </c>
    </row>
    <row r="1776" spans="1:4" x14ac:dyDescent="0.3">
      <c r="A1776" t="s">
        <v>3613</v>
      </c>
      <c r="B1776" t="s">
        <v>3614</v>
      </c>
      <c r="C1776" t="s">
        <v>3650</v>
      </c>
      <c r="D1776" t="s">
        <v>3651</v>
      </c>
    </row>
    <row r="1777" spans="1:4" x14ac:dyDescent="0.3">
      <c r="A1777" t="s">
        <v>3613</v>
      </c>
      <c r="B1777" t="s">
        <v>3614</v>
      </c>
      <c r="C1777" t="s">
        <v>3652</v>
      </c>
      <c r="D1777" t="s">
        <v>3653</v>
      </c>
    </row>
    <row r="1778" spans="1:4" x14ac:dyDescent="0.3">
      <c r="A1778" t="s">
        <v>3613</v>
      </c>
      <c r="B1778" t="s">
        <v>3614</v>
      </c>
      <c r="C1778" t="s">
        <v>3654</v>
      </c>
      <c r="D1778" t="s">
        <v>3655</v>
      </c>
    </row>
    <row r="1779" spans="1:4" x14ac:dyDescent="0.3">
      <c r="A1779" t="s">
        <v>3613</v>
      </c>
      <c r="B1779" t="s">
        <v>3614</v>
      </c>
      <c r="C1779" t="s">
        <v>3656</v>
      </c>
      <c r="D1779" t="s">
        <v>3657</v>
      </c>
    </row>
    <row r="1780" spans="1:4" x14ac:dyDescent="0.3">
      <c r="A1780" t="s">
        <v>3613</v>
      </c>
      <c r="B1780" t="s">
        <v>3614</v>
      </c>
      <c r="C1780" t="s">
        <v>3658</v>
      </c>
      <c r="D1780" t="s">
        <v>3659</v>
      </c>
    </row>
    <row r="1781" spans="1:4" x14ac:dyDescent="0.3">
      <c r="A1781" t="s">
        <v>3613</v>
      </c>
      <c r="B1781" t="s">
        <v>3614</v>
      </c>
      <c r="C1781" t="s">
        <v>3660</v>
      </c>
      <c r="D1781" t="s">
        <v>3661</v>
      </c>
    </row>
    <row r="1782" spans="1:4" x14ac:dyDescent="0.3">
      <c r="A1782" t="s">
        <v>3613</v>
      </c>
      <c r="B1782" t="s">
        <v>3614</v>
      </c>
      <c r="C1782" t="s">
        <v>3662</v>
      </c>
      <c r="D1782" t="s">
        <v>3663</v>
      </c>
    </row>
    <row r="1783" spans="1:4" x14ac:dyDescent="0.3">
      <c r="A1783" t="s">
        <v>3613</v>
      </c>
      <c r="B1783" t="s">
        <v>3614</v>
      </c>
      <c r="C1783" t="s">
        <v>3664</v>
      </c>
      <c r="D1783" t="s">
        <v>3665</v>
      </c>
    </row>
    <row r="1784" spans="1:4" x14ac:dyDescent="0.3">
      <c r="A1784" t="s">
        <v>3613</v>
      </c>
      <c r="B1784" t="s">
        <v>3614</v>
      </c>
      <c r="C1784" t="s">
        <v>3666</v>
      </c>
      <c r="D1784" t="s">
        <v>3667</v>
      </c>
    </row>
    <row r="1785" spans="1:4" x14ac:dyDescent="0.3">
      <c r="A1785" t="s">
        <v>3613</v>
      </c>
      <c r="B1785" t="s">
        <v>3614</v>
      </c>
      <c r="C1785" t="s">
        <v>3668</v>
      </c>
      <c r="D1785" t="s">
        <v>3669</v>
      </c>
    </row>
    <row r="1786" spans="1:4" x14ac:dyDescent="0.3">
      <c r="A1786" t="s">
        <v>3613</v>
      </c>
      <c r="B1786" t="s">
        <v>3614</v>
      </c>
      <c r="C1786" t="s">
        <v>3670</v>
      </c>
      <c r="D1786" t="s">
        <v>3671</v>
      </c>
    </row>
    <row r="1787" spans="1:4" x14ac:dyDescent="0.3">
      <c r="A1787" t="s">
        <v>3613</v>
      </c>
      <c r="B1787" t="s">
        <v>3614</v>
      </c>
      <c r="C1787" t="s">
        <v>3672</v>
      </c>
      <c r="D1787" t="s">
        <v>3673</v>
      </c>
    </row>
    <row r="1788" spans="1:4" x14ac:dyDescent="0.3">
      <c r="A1788" t="s">
        <v>3613</v>
      </c>
      <c r="B1788" t="s">
        <v>3614</v>
      </c>
      <c r="C1788" t="s">
        <v>3674</v>
      </c>
      <c r="D1788" t="s">
        <v>3675</v>
      </c>
    </row>
    <row r="1789" spans="1:4" x14ac:dyDescent="0.3">
      <c r="A1789" t="s">
        <v>3676</v>
      </c>
      <c r="B1789" t="s">
        <v>3677</v>
      </c>
      <c r="C1789" t="s">
        <v>3678</v>
      </c>
      <c r="D1789" t="s">
        <v>3679</v>
      </c>
    </row>
    <row r="1790" spans="1:4" x14ac:dyDescent="0.3">
      <c r="A1790" t="s">
        <v>3676</v>
      </c>
      <c r="B1790" t="s">
        <v>3677</v>
      </c>
      <c r="C1790" t="s">
        <v>3680</v>
      </c>
      <c r="D1790" t="s">
        <v>3681</v>
      </c>
    </row>
    <row r="1791" spans="1:4" x14ac:dyDescent="0.3">
      <c r="A1791" t="s">
        <v>3676</v>
      </c>
      <c r="B1791" t="s">
        <v>3677</v>
      </c>
      <c r="C1791" t="s">
        <v>3682</v>
      </c>
      <c r="D1791" t="s">
        <v>3683</v>
      </c>
    </row>
    <row r="1792" spans="1:4" x14ac:dyDescent="0.3">
      <c r="A1792" t="s">
        <v>3676</v>
      </c>
      <c r="B1792" t="s">
        <v>3677</v>
      </c>
      <c r="C1792" t="s">
        <v>3684</v>
      </c>
      <c r="D1792" t="s">
        <v>3685</v>
      </c>
    </row>
    <row r="1793" spans="1:4" x14ac:dyDescent="0.3">
      <c r="A1793" t="s">
        <v>3676</v>
      </c>
      <c r="B1793" t="s">
        <v>3677</v>
      </c>
      <c r="C1793" t="s">
        <v>3686</v>
      </c>
      <c r="D1793" t="s">
        <v>3687</v>
      </c>
    </row>
    <row r="1794" spans="1:4" x14ac:dyDescent="0.3">
      <c r="A1794" t="s">
        <v>3676</v>
      </c>
      <c r="B1794" t="s">
        <v>3677</v>
      </c>
      <c r="C1794" t="s">
        <v>3688</v>
      </c>
      <c r="D1794" t="s">
        <v>3689</v>
      </c>
    </row>
    <row r="1795" spans="1:4" x14ac:dyDescent="0.3">
      <c r="A1795" t="s">
        <v>3676</v>
      </c>
      <c r="B1795" t="s">
        <v>3677</v>
      </c>
      <c r="C1795" t="s">
        <v>3690</v>
      </c>
      <c r="D1795" t="s">
        <v>3691</v>
      </c>
    </row>
    <row r="1796" spans="1:4" x14ac:dyDescent="0.3">
      <c r="A1796" t="s">
        <v>3676</v>
      </c>
      <c r="B1796" t="s">
        <v>3677</v>
      </c>
      <c r="C1796" t="s">
        <v>3692</v>
      </c>
      <c r="D1796" t="s">
        <v>3693</v>
      </c>
    </row>
    <row r="1797" spans="1:4" x14ac:dyDescent="0.3">
      <c r="A1797" t="s">
        <v>3676</v>
      </c>
      <c r="B1797" t="s">
        <v>3677</v>
      </c>
      <c r="C1797" t="s">
        <v>3694</v>
      </c>
      <c r="D1797" t="s">
        <v>3695</v>
      </c>
    </row>
    <row r="1798" spans="1:4" x14ac:dyDescent="0.3">
      <c r="A1798" t="s">
        <v>3676</v>
      </c>
      <c r="B1798" t="s">
        <v>3677</v>
      </c>
      <c r="C1798" t="s">
        <v>3696</v>
      </c>
      <c r="D1798" t="s">
        <v>3697</v>
      </c>
    </row>
    <row r="1799" spans="1:4" x14ac:dyDescent="0.3">
      <c r="A1799" t="s">
        <v>3676</v>
      </c>
      <c r="B1799" t="s">
        <v>3677</v>
      </c>
      <c r="C1799" t="s">
        <v>3698</v>
      </c>
      <c r="D1799" t="s">
        <v>3699</v>
      </c>
    </row>
    <row r="1800" spans="1:4" x14ac:dyDescent="0.3">
      <c r="A1800" t="s">
        <v>3676</v>
      </c>
      <c r="B1800" t="s">
        <v>3677</v>
      </c>
      <c r="C1800" t="s">
        <v>3700</v>
      </c>
      <c r="D1800" t="s">
        <v>3701</v>
      </c>
    </row>
    <row r="1801" spans="1:4" x14ac:dyDescent="0.3">
      <c r="A1801" t="s">
        <v>3676</v>
      </c>
      <c r="B1801" t="s">
        <v>3677</v>
      </c>
      <c r="C1801" t="s">
        <v>3702</v>
      </c>
      <c r="D1801" t="s">
        <v>3703</v>
      </c>
    </row>
    <row r="1802" spans="1:4" x14ac:dyDescent="0.3">
      <c r="A1802" t="s">
        <v>3676</v>
      </c>
      <c r="B1802" t="s">
        <v>3677</v>
      </c>
      <c r="C1802" t="s">
        <v>3704</v>
      </c>
      <c r="D1802" t="s">
        <v>3705</v>
      </c>
    </row>
    <row r="1803" spans="1:4" x14ac:dyDescent="0.3">
      <c r="A1803" t="s">
        <v>3676</v>
      </c>
      <c r="B1803" t="s">
        <v>3677</v>
      </c>
      <c r="C1803" t="s">
        <v>3706</v>
      </c>
      <c r="D1803" t="s">
        <v>3707</v>
      </c>
    </row>
    <row r="1804" spans="1:4" x14ac:dyDescent="0.3">
      <c r="A1804" t="s">
        <v>3676</v>
      </c>
      <c r="B1804" t="s">
        <v>3677</v>
      </c>
      <c r="C1804" t="s">
        <v>3708</v>
      </c>
      <c r="D1804" t="s">
        <v>3709</v>
      </c>
    </row>
    <row r="1805" spans="1:4" x14ac:dyDescent="0.3">
      <c r="A1805" t="s">
        <v>3676</v>
      </c>
      <c r="B1805" t="s">
        <v>3677</v>
      </c>
      <c r="C1805" t="s">
        <v>3710</v>
      </c>
      <c r="D1805" t="s">
        <v>3711</v>
      </c>
    </row>
    <row r="1806" spans="1:4" x14ac:dyDescent="0.3">
      <c r="A1806" t="s">
        <v>3676</v>
      </c>
      <c r="B1806" t="s">
        <v>3677</v>
      </c>
      <c r="C1806" t="s">
        <v>3712</v>
      </c>
      <c r="D1806" t="s">
        <v>3713</v>
      </c>
    </row>
    <row r="1807" spans="1:4" x14ac:dyDescent="0.3">
      <c r="A1807" t="s">
        <v>3676</v>
      </c>
      <c r="B1807" t="s">
        <v>3677</v>
      </c>
      <c r="C1807" t="s">
        <v>3714</v>
      </c>
      <c r="D1807" t="s">
        <v>3715</v>
      </c>
    </row>
    <row r="1808" spans="1:4" x14ac:dyDescent="0.3">
      <c r="A1808" t="s">
        <v>3676</v>
      </c>
      <c r="B1808" t="s">
        <v>3677</v>
      </c>
      <c r="C1808" t="s">
        <v>3716</v>
      </c>
      <c r="D1808" t="s">
        <v>3717</v>
      </c>
    </row>
    <row r="1809" spans="1:4" x14ac:dyDescent="0.3">
      <c r="A1809" t="s">
        <v>3676</v>
      </c>
      <c r="B1809" t="s">
        <v>3677</v>
      </c>
      <c r="C1809" t="s">
        <v>3718</v>
      </c>
      <c r="D1809" t="s">
        <v>3719</v>
      </c>
    </row>
    <row r="1810" spans="1:4" x14ac:dyDescent="0.3">
      <c r="A1810" t="s">
        <v>3676</v>
      </c>
      <c r="B1810" t="s">
        <v>3677</v>
      </c>
      <c r="C1810" t="s">
        <v>3720</v>
      </c>
      <c r="D1810" t="s">
        <v>3721</v>
      </c>
    </row>
    <row r="1811" spans="1:4" x14ac:dyDescent="0.3">
      <c r="A1811" t="s">
        <v>3676</v>
      </c>
      <c r="B1811" t="s">
        <v>3677</v>
      </c>
      <c r="C1811" t="s">
        <v>3722</v>
      </c>
      <c r="D1811" t="s">
        <v>3723</v>
      </c>
    </row>
    <row r="1812" spans="1:4" x14ac:dyDescent="0.3">
      <c r="A1812" t="s">
        <v>3676</v>
      </c>
      <c r="B1812" t="s">
        <v>3677</v>
      </c>
      <c r="C1812" t="s">
        <v>3724</v>
      </c>
      <c r="D1812" t="s">
        <v>3725</v>
      </c>
    </row>
    <row r="1813" spans="1:4" x14ac:dyDescent="0.3">
      <c r="A1813" t="s">
        <v>3676</v>
      </c>
      <c r="B1813" t="s">
        <v>3677</v>
      </c>
      <c r="C1813" t="s">
        <v>3726</v>
      </c>
      <c r="D1813" t="s">
        <v>3727</v>
      </c>
    </row>
    <row r="1814" spans="1:4" x14ac:dyDescent="0.3">
      <c r="A1814" t="s">
        <v>3676</v>
      </c>
      <c r="B1814" t="s">
        <v>3677</v>
      </c>
      <c r="C1814" t="s">
        <v>3728</v>
      </c>
      <c r="D1814" t="s">
        <v>3729</v>
      </c>
    </row>
    <row r="1815" spans="1:4" x14ac:dyDescent="0.3">
      <c r="A1815" t="s">
        <v>3676</v>
      </c>
      <c r="B1815" t="s">
        <v>3677</v>
      </c>
      <c r="C1815" t="s">
        <v>3730</v>
      </c>
      <c r="D1815" t="s">
        <v>3731</v>
      </c>
    </row>
    <row r="1816" spans="1:4" x14ac:dyDescent="0.3">
      <c r="A1816" t="s">
        <v>3676</v>
      </c>
      <c r="B1816" t="s">
        <v>3677</v>
      </c>
      <c r="C1816" t="s">
        <v>3732</v>
      </c>
      <c r="D1816" t="s">
        <v>3733</v>
      </c>
    </row>
    <row r="1817" spans="1:4" x14ac:dyDescent="0.3">
      <c r="A1817" t="s">
        <v>3676</v>
      </c>
      <c r="B1817" t="s">
        <v>3677</v>
      </c>
      <c r="C1817" t="s">
        <v>3734</v>
      </c>
      <c r="D1817" t="s">
        <v>3735</v>
      </c>
    </row>
    <row r="1818" spans="1:4" x14ac:dyDescent="0.3">
      <c r="A1818" t="s">
        <v>3676</v>
      </c>
      <c r="B1818" t="s">
        <v>3677</v>
      </c>
      <c r="C1818" t="s">
        <v>3736</v>
      </c>
      <c r="D1818" t="s">
        <v>3737</v>
      </c>
    </row>
    <row r="1819" spans="1:4" x14ac:dyDescent="0.3">
      <c r="A1819" t="s">
        <v>3676</v>
      </c>
      <c r="B1819" t="s">
        <v>3677</v>
      </c>
      <c r="C1819" t="s">
        <v>3738</v>
      </c>
      <c r="D1819" t="s">
        <v>3739</v>
      </c>
    </row>
    <row r="1820" spans="1:4" x14ac:dyDescent="0.3">
      <c r="A1820" t="s">
        <v>3676</v>
      </c>
      <c r="B1820" t="s">
        <v>3677</v>
      </c>
      <c r="C1820" t="s">
        <v>3740</v>
      </c>
      <c r="D1820" t="s">
        <v>3741</v>
      </c>
    </row>
    <row r="1821" spans="1:4" x14ac:dyDescent="0.3">
      <c r="A1821" t="s">
        <v>3676</v>
      </c>
      <c r="B1821" t="s">
        <v>3677</v>
      </c>
      <c r="C1821" t="s">
        <v>3742</v>
      </c>
      <c r="D1821" t="s">
        <v>3743</v>
      </c>
    </row>
    <row r="1822" spans="1:4" x14ac:dyDescent="0.3">
      <c r="A1822" t="s">
        <v>3676</v>
      </c>
      <c r="B1822" t="s">
        <v>3677</v>
      </c>
      <c r="C1822" t="s">
        <v>3744</v>
      </c>
      <c r="D1822" t="s">
        <v>3745</v>
      </c>
    </row>
    <row r="1823" spans="1:4" x14ac:dyDescent="0.3">
      <c r="A1823" t="s">
        <v>3676</v>
      </c>
      <c r="B1823" t="s">
        <v>3677</v>
      </c>
      <c r="C1823" t="s">
        <v>3746</v>
      </c>
      <c r="D1823" t="s">
        <v>3747</v>
      </c>
    </row>
    <row r="1824" spans="1:4" x14ac:dyDescent="0.3">
      <c r="A1824" t="s">
        <v>3676</v>
      </c>
      <c r="B1824" t="s">
        <v>3677</v>
      </c>
      <c r="C1824" t="s">
        <v>3748</v>
      </c>
      <c r="D1824" t="s">
        <v>3749</v>
      </c>
    </row>
    <row r="1825" spans="1:4" x14ac:dyDescent="0.3">
      <c r="A1825" t="s">
        <v>3676</v>
      </c>
      <c r="B1825" t="s">
        <v>3677</v>
      </c>
      <c r="C1825" t="s">
        <v>3750</v>
      </c>
      <c r="D1825" t="s">
        <v>3751</v>
      </c>
    </row>
    <row r="1826" spans="1:4" x14ac:dyDescent="0.3">
      <c r="A1826" t="s">
        <v>3676</v>
      </c>
      <c r="B1826" t="s">
        <v>3677</v>
      </c>
      <c r="C1826" t="s">
        <v>3752</v>
      </c>
      <c r="D1826" t="s">
        <v>3753</v>
      </c>
    </row>
    <row r="1827" spans="1:4" x14ac:dyDescent="0.3">
      <c r="A1827" t="s">
        <v>3676</v>
      </c>
      <c r="B1827" t="s">
        <v>3677</v>
      </c>
      <c r="C1827" t="s">
        <v>3754</v>
      </c>
      <c r="D1827" t="s">
        <v>3755</v>
      </c>
    </row>
    <row r="1828" spans="1:4" x14ac:dyDescent="0.3">
      <c r="A1828" t="s">
        <v>3676</v>
      </c>
      <c r="B1828" t="s">
        <v>3677</v>
      </c>
      <c r="C1828" t="s">
        <v>3756</v>
      </c>
      <c r="D1828" t="s">
        <v>3757</v>
      </c>
    </row>
    <row r="1829" spans="1:4" x14ac:dyDescent="0.3">
      <c r="A1829" t="s">
        <v>3676</v>
      </c>
      <c r="B1829" t="s">
        <v>3677</v>
      </c>
      <c r="C1829" t="s">
        <v>3758</v>
      </c>
      <c r="D1829" t="s">
        <v>3759</v>
      </c>
    </row>
    <row r="1830" spans="1:4" x14ac:dyDescent="0.3">
      <c r="A1830" t="s">
        <v>3676</v>
      </c>
      <c r="B1830" t="s">
        <v>3677</v>
      </c>
      <c r="C1830" t="s">
        <v>3760</v>
      </c>
      <c r="D1830" t="s">
        <v>3761</v>
      </c>
    </row>
    <row r="1831" spans="1:4" x14ac:dyDescent="0.3">
      <c r="A1831" t="s">
        <v>3676</v>
      </c>
      <c r="B1831" t="s">
        <v>3677</v>
      </c>
      <c r="C1831" t="s">
        <v>3762</v>
      </c>
      <c r="D1831" t="s">
        <v>3763</v>
      </c>
    </row>
    <row r="1832" spans="1:4" x14ac:dyDescent="0.3">
      <c r="A1832" t="s">
        <v>3676</v>
      </c>
      <c r="B1832" t="s">
        <v>3677</v>
      </c>
      <c r="C1832" t="s">
        <v>3764</v>
      </c>
      <c r="D1832" t="s">
        <v>3765</v>
      </c>
    </row>
    <row r="1833" spans="1:4" x14ac:dyDescent="0.3">
      <c r="A1833" t="s">
        <v>3676</v>
      </c>
      <c r="B1833" t="s">
        <v>3677</v>
      </c>
      <c r="C1833" t="s">
        <v>3766</v>
      </c>
      <c r="D1833" t="s">
        <v>3767</v>
      </c>
    </row>
    <row r="1834" spans="1:4" x14ac:dyDescent="0.3">
      <c r="A1834" t="s">
        <v>3676</v>
      </c>
      <c r="B1834" t="s">
        <v>3677</v>
      </c>
      <c r="C1834" t="s">
        <v>3768</v>
      </c>
      <c r="D1834" t="s">
        <v>3769</v>
      </c>
    </row>
    <row r="1835" spans="1:4" x14ac:dyDescent="0.3">
      <c r="A1835" t="s">
        <v>3676</v>
      </c>
      <c r="B1835" t="s">
        <v>3677</v>
      </c>
      <c r="C1835" t="s">
        <v>3770</v>
      </c>
      <c r="D1835" t="s">
        <v>3771</v>
      </c>
    </row>
    <row r="1836" spans="1:4" x14ac:dyDescent="0.3">
      <c r="A1836" t="s">
        <v>3676</v>
      </c>
      <c r="B1836" t="s">
        <v>3677</v>
      </c>
      <c r="C1836" t="s">
        <v>3772</v>
      </c>
      <c r="D1836" t="s">
        <v>3773</v>
      </c>
    </row>
    <row r="1837" spans="1:4" x14ac:dyDescent="0.3">
      <c r="A1837" t="s">
        <v>3676</v>
      </c>
      <c r="B1837" t="s">
        <v>3677</v>
      </c>
      <c r="C1837" t="s">
        <v>3774</v>
      </c>
      <c r="D1837" t="s">
        <v>3775</v>
      </c>
    </row>
    <row r="1838" spans="1:4" x14ac:dyDescent="0.3">
      <c r="A1838" t="s">
        <v>3676</v>
      </c>
      <c r="B1838" t="s">
        <v>3677</v>
      </c>
      <c r="C1838" t="s">
        <v>3776</v>
      </c>
      <c r="D1838" t="s">
        <v>3777</v>
      </c>
    </row>
    <row r="1839" spans="1:4" x14ac:dyDescent="0.3">
      <c r="A1839" t="s">
        <v>3676</v>
      </c>
      <c r="B1839" t="s">
        <v>3677</v>
      </c>
      <c r="C1839" t="s">
        <v>3778</v>
      </c>
      <c r="D1839" t="s">
        <v>1948</v>
      </c>
    </row>
    <row r="1840" spans="1:4" x14ac:dyDescent="0.3">
      <c r="A1840" t="s">
        <v>3676</v>
      </c>
      <c r="B1840" t="s">
        <v>3677</v>
      </c>
      <c r="C1840" t="s">
        <v>3779</v>
      </c>
      <c r="D1840" t="s">
        <v>3780</v>
      </c>
    </row>
    <row r="1841" spans="1:4" x14ac:dyDescent="0.3">
      <c r="A1841" t="s">
        <v>3781</v>
      </c>
      <c r="B1841" t="s">
        <v>3782</v>
      </c>
      <c r="C1841" t="s">
        <v>3783</v>
      </c>
      <c r="D1841" t="s">
        <v>3784</v>
      </c>
    </row>
    <row r="1842" spans="1:4" x14ac:dyDescent="0.3">
      <c r="A1842" t="s">
        <v>3781</v>
      </c>
      <c r="B1842" t="s">
        <v>3782</v>
      </c>
      <c r="C1842" t="s">
        <v>3785</v>
      </c>
      <c r="D1842" t="s">
        <v>3786</v>
      </c>
    </row>
    <row r="1843" spans="1:4" x14ac:dyDescent="0.3">
      <c r="A1843" t="s">
        <v>3781</v>
      </c>
      <c r="B1843" t="s">
        <v>3782</v>
      </c>
      <c r="C1843" t="s">
        <v>3787</v>
      </c>
      <c r="D1843" t="s">
        <v>3788</v>
      </c>
    </row>
    <row r="1844" spans="1:4" x14ac:dyDescent="0.3">
      <c r="A1844" t="s">
        <v>3781</v>
      </c>
      <c r="B1844" t="s">
        <v>3782</v>
      </c>
      <c r="C1844" t="s">
        <v>3789</v>
      </c>
      <c r="D1844" t="s">
        <v>3790</v>
      </c>
    </row>
    <row r="1845" spans="1:4" x14ac:dyDescent="0.3">
      <c r="A1845" t="s">
        <v>3781</v>
      </c>
      <c r="B1845" t="s">
        <v>3782</v>
      </c>
      <c r="C1845" t="s">
        <v>3791</v>
      </c>
      <c r="D1845" t="s">
        <v>3792</v>
      </c>
    </row>
    <row r="1846" spans="1:4" x14ac:dyDescent="0.3">
      <c r="A1846" t="s">
        <v>3781</v>
      </c>
      <c r="B1846" t="s">
        <v>3782</v>
      </c>
      <c r="C1846" t="s">
        <v>3793</v>
      </c>
      <c r="D1846" t="s">
        <v>3794</v>
      </c>
    </row>
    <row r="1847" spans="1:4" x14ac:dyDescent="0.3">
      <c r="A1847" t="s">
        <v>3781</v>
      </c>
      <c r="B1847" t="s">
        <v>3782</v>
      </c>
      <c r="C1847" t="s">
        <v>3795</v>
      </c>
      <c r="D1847" t="s">
        <v>3796</v>
      </c>
    </row>
    <row r="1848" spans="1:4" x14ac:dyDescent="0.3">
      <c r="A1848" t="s">
        <v>3781</v>
      </c>
      <c r="B1848" t="s">
        <v>3782</v>
      </c>
      <c r="C1848" t="s">
        <v>3797</v>
      </c>
      <c r="D1848" t="s">
        <v>3798</v>
      </c>
    </row>
    <row r="1849" spans="1:4" x14ac:dyDescent="0.3">
      <c r="A1849" t="s">
        <v>3781</v>
      </c>
      <c r="B1849" t="s">
        <v>3782</v>
      </c>
      <c r="C1849" t="s">
        <v>3799</v>
      </c>
      <c r="D1849" t="s">
        <v>3800</v>
      </c>
    </row>
    <row r="1850" spans="1:4" x14ac:dyDescent="0.3">
      <c r="A1850" t="s">
        <v>3781</v>
      </c>
      <c r="B1850" t="s">
        <v>3782</v>
      </c>
      <c r="C1850" t="s">
        <v>3801</v>
      </c>
      <c r="D1850" t="s">
        <v>3802</v>
      </c>
    </row>
    <row r="1851" spans="1:4" x14ac:dyDescent="0.3">
      <c r="A1851" t="s">
        <v>3781</v>
      </c>
      <c r="B1851" t="s">
        <v>3782</v>
      </c>
      <c r="C1851" t="s">
        <v>3803</v>
      </c>
      <c r="D1851" t="s">
        <v>3804</v>
      </c>
    </row>
    <row r="1852" spans="1:4" x14ac:dyDescent="0.3">
      <c r="A1852" t="s">
        <v>3781</v>
      </c>
      <c r="B1852" t="s">
        <v>3782</v>
      </c>
      <c r="C1852" t="s">
        <v>3805</v>
      </c>
      <c r="D1852" t="s">
        <v>3806</v>
      </c>
    </row>
    <row r="1853" spans="1:4" x14ac:dyDescent="0.3">
      <c r="A1853" t="s">
        <v>3781</v>
      </c>
      <c r="B1853" t="s">
        <v>3782</v>
      </c>
      <c r="C1853" t="s">
        <v>3807</v>
      </c>
      <c r="D1853" t="s">
        <v>3808</v>
      </c>
    </row>
    <row r="1854" spans="1:4" x14ac:dyDescent="0.3">
      <c r="A1854" t="s">
        <v>3781</v>
      </c>
      <c r="B1854" t="s">
        <v>3782</v>
      </c>
      <c r="C1854" t="s">
        <v>3809</v>
      </c>
      <c r="D1854" t="s">
        <v>3810</v>
      </c>
    </row>
    <row r="1855" spans="1:4" x14ac:dyDescent="0.3">
      <c r="A1855" t="s">
        <v>3781</v>
      </c>
      <c r="B1855" t="s">
        <v>3782</v>
      </c>
      <c r="C1855" t="s">
        <v>3811</v>
      </c>
      <c r="D1855" t="s">
        <v>3812</v>
      </c>
    </row>
    <row r="1856" spans="1:4" x14ac:dyDescent="0.3">
      <c r="A1856" t="s">
        <v>3813</v>
      </c>
      <c r="B1856" t="s">
        <v>3814</v>
      </c>
      <c r="C1856" t="s">
        <v>3815</v>
      </c>
      <c r="D1856" t="s">
        <v>3816</v>
      </c>
    </row>
    <row r="1857" spans="1:4" x14ac:dyDescent="0.3">
      <c r="A1857" t="s">
        <v>3813</v>
      </c>
      <c r="B1857" t="s">
        <v>3814</v>
      </c>
      <c r="C1857" t="s">
        <v>3817</v>
      </c>
      <c r="D1857" t="s">
        <v>3818</v>
      </c>
    </row>
    <row r="1858" spans="1:4" x14ac:dyDescent="0.3">
      <c r="A1858" t="s">
        <v>3813</v>
      </c>
      <c r="B1858" t="s">
        <v>3814</v>
      </c>
      <c r="C1858" t="s">
        <v>3819</v>
      </c>
      <c r="D1858" t="s">
        <v>3820</v>
      </c>
    </row>
    <row r="1859" spans="1:4" x14ac:dyDescent="0.3">
      <c r="A1859" t="s">
        <v>3813</v>
      </c>
      <c r="B1859" t="s">
        <v>3814</v>
      </c>
      <c r="C1859" t="s">
        <v>3821</v>
      </c>
      <c r="D1859" t="s">
        <v>3822</v>
      </c>
    </row>
    <row r="1860" spans="1:4" x14ac:dyDescent="0.3">
      <c r="A1860" t="s">
        <v>3813</v>
      </c>
      <c r="B1860" t="s">
        <v>3814</v>
      </c>
      <c r="C1860" t="s">
        <v>3823</v>
      </c>
      <c r="D1860" t="s">
        <v>3824</v>
      </c>
    </row>
    <row r="1861" spans="1:4" x14ac:dyDescent="0.3">
      <c r="A1861" t="s">
        <v>3813</v>
      </c>
      <c r="B1861" t="s">
        <v>3814</v>
      </c>
      <c r="C1861" t="s">
        <v>3825</v>
      </c>
      <c r="D1861" t="s">
        <v>3826</v>
      </c>
    </row>
    <row r="1862" spans="1:4" x14ac:dyDescent="0.3">
      <c r="A1862" t="s">
        <v>3813</v>
      </c>
      <c r="B1862" t="s">
        <v>3814</v>
      </c>
      <c r="C1862" t="s">
        <v>3827</v>
      </c>
      <c r="D1862" t="s">
        <v>3828</v>
      </c>
    </row>
    <row r="1863" spans="1:4" x14ac:dyDescent="0.3">
      <c r="A1863" t="s">
        <v>3813</v>
      </c>
      <c r="B1863" t="s">
        <v>3814</v>
      </c>
      <c r="C1863" t="s">
        <v>3829</v>
      </c>
      <c r="D1863" t="s">
        <v>3830</v>
      </c>
    </row>
    <row r="1864" spans="1:4" x14ac:dyDescent="0.3">
      <c r="A1864" t="s">
        <v>3813</v>
      </c>
      <c r="B1864" t="s">
        <v>3814</v>
      </c>
      <c r="C1864" t="s">
        <v>3831</v>
      </c>
      <c r="D1864" t="s">
        <v>3832</v>
      </c>
    </row>
    <row r="1865" spans="1:4" x14ac:dyDescent="0.3">
      <c r="A1865" t="s">
        <v>3813</v>
      </c>
      <c r="B1865" t="s">
        <v>3814</v>
      </c>
      <c r="C1865" t="s">
        <v>3833</v>
      </c>
      <c r="D1865" t="s">
        <v>3834</v>
      </c>
    </row>
    <row r="1866" spans="1:4" x14ac:dyDescent="0.3">
      <c r="A1866" t="s">
        <v>3813</v>
      </c>
      <c r="B1866" t="s">
        <v>3814</v>
      </c>
      <c r="C1866" t="s">
        <v>3835</v>
      </c>
      <c r="D1866" t="s">
        <v>3836</v>
      </c>
    </row>
    <row r="1867" spans="1:4" x14ac:dyDescent="0.3">
      <c r="A1867" t="s">
        <v>3813</v>
      </c>
      <c r="B1867" t="s">
        <v>3814</v>
      </c>
      <c r="C1867" t="s">
        <v>3837</v>
      </c>
      <c r="D1867" t="s">
        <v>3838</v>
      </c>
    </row>
    <row r="1868" spans="1:4" x14ac:dyDescent="0.3">
      <c r="A1868" t="s">
        <v>3813</v>
      </c>
      <c r="B1868" t="s">
        <v>3814</v>
      </c>
      <c r="C1868" t="s">
        <v>3839</v>
      </c>
      <c r="D1868" t="s">
        <v>3840</v>
      </c>
    </row>
    <row r="1869" spans="1:4" x14ac:dyDescent="0.3">
      <c r="A1869" t="s">
        <v>3813</v>
      </c>
      <c r="B1869" t="s">
        <v>3814</v>
      </c>
      <c r="C1869" t="s">
        <v>3841</v>
      </c>
      <c r="D1869" t="s">
        <v>3842</v>
      </c>
    </row>
    <row r="1870" spans="1:4" x14ac:dyDescent="0.3">
      <c r="A1870" t="s">
        <v>3813</v>
      </c>
      <c r="B1870" t="s">
        <v>3814</v>
      </c>
      <c r="C1870" t="s">
        <v>3843</v>
      </c>
      <c r="D1870" t="s">
        <v>3844</v>
      </c>
    </row>
    <row r="1871" spans="1:4" x14ac:dyDescent="0.3">
      <c r="A1871" t="s">
        <v>3813</v>
      </c>
      <c r="B1871" t="s">
        <v>3814</v>
      </c>
      <c r="C1871" t="s">
        <v>3845</v>
      </c>
      <c r="D1871" t="s">
        <v>3846</v>
      </c>
    </row>
    <row r="1872" spans="1:4" x14ac:dyDescent="0.3">
      <c r="A1872" t="s">
        <v>3813</v>
      </c>
      <c r="B1872" t="s">
        <v>3814</v>
      </c>
      <c r="C1872" t="s">
        <v>3847</v>
      </c>
      <c r="D1872" t="s">
        <v>3848</v>
      </c>
    </row>
    <row r="1873" spans="1:4" x14ac:dyDescent="0.3">
      <c r="A1873" t="s">
        <v>3813</v>
      </c>
      <c r="B1873" t="s">
        <v>3814</v>
      </c>
      <c r="C1873" t="s">
        <v>3849</v>
      </c>
      <c r="D1873" t="s">
        <v>3850</v>
      </c>
    </row>
    <row r="1874" spans="1:4" x14ac:dyDescent="0.3">
      <c r="A1874" t="s">
        <v>3813</v>
      </c>
      <c r="B1874" t="s">
        <v>3814</v>
      </c>
      <c r="C1874" t="s">
        <v>3851</v>
      </c>
      <c r="D1874" t="s">
        <v>3852</v>
      </c>
    </row>
    <row r="1875" spans="1:4" x14ac:dyDescent="0.3">
      <c r="A1875" t="s">
        <v>3813</v>
      </c>
      <c r="B1875" t="s">
        <v>3814</v>
      </c>
      <c r="C1875" t="s">
        <v>3853</v>
      </c>
      <c r="D1875" t="s">
        <v>3854</v>
      </c>
    </row>
    <row r="1876" spans="1:4" x14ac:dyDescent="0.3">
      <c r="A1876" t="s">
        <v>1984</v>
      </c>
      <c r="B1876" t="s">
        <v>3855</v>
      </c>
      <c r="C1876" t="s">
        <v>3856</v>
      </c>
      <c r="D1876" t="s">
        <v>3857</v>
      </c>
    </row>
    <row r="1877" spans="1:4" x14ac:dyDescent="0.3">
      <c r="A1877" t="s">
        <v>1984</v>
      </c>
      <c r="B1877" t="s">
        <v>3855</v>
      </c>
      <c r="C1877" t="s">
        <v>3858</v>
      </c>
      <c r="D1877" t="s">
        <v>3859</v>
      </c>
    </row>
    <row r="1878" spans="1:4" x14ac:dyDescent="0.3">
      <c r="A1878" t="s">
        <v>1984</v>
      </c>
      <c r="B1878" t="s">
        <v>3855</v>
      </c>
      <c r="C1878" t="s">
        <v>3860</v>
      </c>
      <c r="D1878" t="s">
        <v>3861</v>
      </c>
    </row>
    <row r="1879" spans="1:4" x14ac:dyDescent="0.3">
      <c r="A1879" t="s">
        <v>1984</v>
      </c>
      <c r="B1879" t="s">
        <v>3855</v>
      </c>
      <c r="C1879" t="s">
        <v>3862</v>
      </c>
      <c r="D1879" t="s">
        <v>3863</v>
      </c>
    </row>
    <row r="1880" spans="1:4" x14ac:dyDescent="0.3">
      <c r="A1880" t="s">
        <v>1984</v>
      </c>
      <c r="B1880" t="s">
        <v>3855</v>
      </c>
      <c r="C1880" t="s">
        <v>3864</v>
      </c>
      <c r="D1880" t="s">
        <v>3865</v>
      </c>
    </row>
    <row r="1881" spans="1:4" x14ac:dyDescent="0.3">
      <c r="A1881" t="s">
        <v>1984</v>
      </c>
      <c r="B1881" t="s">
        <v>3855</v>
      </c>
      <c r="C1881" t="s">
        <v>3866</v>
      </c>
      <c r="D1881" t="s">
        <v>3867</v>
      </c>
    </row>
    <row r="1882" spans="1:4" x14ac:dyDescent="0.3">
      <c r="A1882" t="s">
        <v>1984</v>
      </c>
      <c r="B1882" t="s">
        <v>3855</v>
      </c>
      <c r="C1882" t="s">
        <v>3868</v>
      </c>
      <c r="D1882" t="s">
        <v>3869</v>
      </c>
    </row>
    <row r="1883" spans="1:4" x14ac:dyDescent="0.3">
      <c r="A1883" t="s">
        <v>1984</v>
      </c>
      <c r="B1883" t="s">
        <v>3855</v>
      </c>
      <c r="C1883" t="s">
        <v>3870</v>
      </c>
      <c r="D1883" t="s">
        <v>3871</v>
      </c>
    </row>
    <row r="1884" spans="1:4" x14ac:dyDescent="0.3">
      <c r="A1884" t="s">
        <v>1984</v>
      </c>
      <c r="B1884" t="s">
        <v>3855</v>
      </c>
      <c r="C1884" t="s">
        <v>3872</v>
      </c>
      <c r="D1884" t="s">
        <v>3873</v>
      </c>
    </row>
    <row r="1885" spans="1:4" x14ac:dyDescent="0.3">
      <c r="A1885" t="s">
        <v>1984</v>
      </c>
      <c r="B1885" t="s">
        <v>3855</v>
      </c>
      <c r="C1885" t="s">
        <v>3874</v>
      </c>
      <c r="D1885" t="s">
        <v>3875</v>
      </c>
    </row>
    <row r="1886" spans="1:4" x14ac:dyDescent="0.3">
      <c r="A1886" t="s">
        <v>1984</v>
      </c>
      <c r="B1886" t="s">
        <v>3855</v>
      </c>
      <c r="C1886" t="s">
        <v>3876</v>
      </c>
      <c r="D1886" t="s">
        <v>3877</v>
      </c>
    </row>
    <row r="1887" spans="1:4" x14ac:dyDescent="0.3">
      <c r="A1887" t="s">
        <v>1984</v>
      </c>
      <c r="B1887" t="s">
        <v>3855</v>
      </c>
      <c r="C1887" t="s">
        <v>3878</v>
      </c>
      <c r="D1887" t="s">
        <v>3879</v>
      </c>
    </row>
    <row r="1888" spans="1:4" x14ac:dyDescent="0.3">
      <c r="A1888" t="s">
        <v>1984</v>
      </c>
      <c r="B1888" t="s">
        <v>3855</v>
      </c>
      <c r="C1888" t="s">
        <v>3880</v>
      </c>
      <c r="D1888" t="s">
        <v>3881</v>
      </c>
    </row>
    <row r="1889" spans="1:4" x14ac:dyDescent="0.3">
      <c r="A1889" t="s">
        <v>1984</v>
      </c>
      <c r="B1889" t="s">
        <v>3855</v>
      </c>
      <c r="C1889" t="s">
        <v>3882</v>
      </c>
      <c r="D1889" t="s">
        <v>3883</v>
      </c>
    </row>
    <row r="1890" spans="1:4" x14ac:dyDescent="0.3">
      <c r="A1890" t="s">
        <v>1984</v>
      </c>
      <c r="B1890" t="s">
        <v>3855</v>
      </c>
      <c r="C1890" t="s">
        <v>3884</v>
      </c>
      <c r="D1890" t="s">
        <v>3885</v>
      </c>
    </row>
    <row r="1891" spans="1:4" x14ac:dyDescent="0.3">
      <c r="A1891" t="s">
        <v>1984</v>
      </c>
      <c r="B1891" t="s">
        <v>3855</v>
      </c>
      <c r="C1891" t="s">
        <v>3886</v>
      </c>
      <c r="D1891" t="s">
        <v>3887</v>
      </c>
    </row>
    <row r="1892" spans="1:4" x14ac:dyDescent="0.3">
      <c r="A1892" t="s">
        <v>1984</v>
      </c>
      <c r="B1892" t="s">
        <v>3855</v>
      </c>
      <c r="C1892" t="s">
        <v>3888</v>
      </c>
      <c r="D1892" t="s">
        <v>3889</v>
      </c>
    </row>
    <row r="1893" spans="1:4" x14ac:dyDescent="0.3">
      <c r="A1893" t="s">
        <v>1984</v>
      </c>
      <c r="B1893" t="s">
        <v>3855</v>
      </c>
      <c r="C1893" t="s">
        <v>3890</v>
      </c>
      <c r="D1893" t="s">
        <v>3891</v>
      </c>
    </row>
    <row r="1894" spans="1:4" x14ac:dyDescent="0.3">
      <c r="A1894" t="s">
        <v>1984</v>
      </c>
      <c r="B1894" t="s">
        <v>3855</v>
      </c>
      <c r="C1894" t="s">
        <v>3892</v>
      </c>
      <c r="D1894" t="s">
        <v>3893</v>
      </c>
    </row>
    <row r="1895" spans="1:4" x14ac:dyDescent="0.3">
      <c r="A1895" t="s">
        <v>2679</v>
      </c>
      <c r="B1895" t="s">
        <v>3894</v>
      </c>
      <c r="C1895" t="s">
        <v>3895</v>
      </c>
      <c r="D1895" t="s">
        <v>3896</v>
      </c>
    </row>
    <row r="1896" spans="1:4" x14ac:dyDescent="0.3">
      <c r="A1896" t="s">
        <v>2679</v>
      </c>
      <c r="B1896" t="s">
        <v>3894</v>
      </c>
      <c r="C1896" t="s">
        <v>3897</v>
      </c>
      <c r="D1896" t="s">
        <v>3898</v>
      </c>
    </row>
    <row r="1897" spans="1:4" x14ac:dyDescent="0.3">
      <c r="A1897" t="s">
        <v>2679</v>
      </c>
      <c r="B1897" t="s">
        <v>3894</v>
      </c>
      <c r="C1897" t="s">
        <v>3899</v>
      </c>
      <c r="D1897" t="s">
        <v>3900</v>
      </c>
    </row>
    <row r="1898" spans="1:4" x14ac:dyDescent="0.3">
      <c r="A1898" t="s">
        <v>2679</v>
      </c>
      <c r="B1898" t="s">
        <v>3894</v>
      </c>
      <c r="C1898" t="s">
        <v>3901</v>
      </c>
      <c r="D1898" t="s">
        <v>3902</v>
      </c>
    </row>
    <row r="1899" spans="1:4" x14ac:dyDescent="0.3">
      <c r="A1899" t="s">
        <v>2679</v>
      </c>
      <c r="B1899" t="s">
        <v>3894</v>
      </c>
      <c r="C1899" t="s">
        <v>3903</v>
      </c>
      <c r="D1899" t="s">
        <v>3904</v>
      </c>
    </row>
    <row r="1900" spans="1:4" x14ac:dyDescent="0.3">
      <c r="A1900" t="s">
        <v>2679</v>
      </c>
      <c r="B1900" t="s">
        <v>3894</v>
      </c>
      <c r="C1900" t="s">
        <v>3905</v>
      </c>
      <c r="D1900" t="s">
        <v>3906</v>
      </c>
    </row>
    <row r="1901" spans="1:4" x14ac:dyDescent="0.3">
      <c r="A1901" t="s">
        <v>2679</v>
      </c>
      <c r="B1901" t="s">
        <v>3894</v>
      </c>
      <c r="C1901" t="s">
        <v>3907</v>
      </c>
      <c r="D1901" t="s">
        <v>1196</v>
      </c>
    </row>
    <row r="1902" spans="1:4" x14ac:dyDescent="0.3">
      <c r="A1902" t="s">
        <v>2679</v>
      </c>
      <c r="B1902" t="s">
        <v>3894</v>
      </c>
      <c r="C1902" t="s">
        <v>3908</v>
      </c>
      <c r="D1902" t="s">
        <v>3909</v>
      </c>
    </row>
    <row r="1903" spans="1:4" x14ac:dyDescent="0.3">
      <c r="A1903" t="s">
        <v>2679</v>
      </c>
      <c r="B1903" t="s">
        <v>3894</v>
      </c>
      <c r="C1903" t="s">
        <v>3910</v>
      </c>
      <c r="D1903" t="s">
        <v>3911</v>
      </c>
    </row>
    <row r="1904" spans="1:4" x14ac:dyDescent="0.3">
      <c r="A1904" t="s">
        <v>2679</v>
      </c>
      <c r="B1904" t="s">
        <v>3894</v>
      </c>
      <c r="C1904" t="s">
        <v>3912</v>
      </c>
      <c r="D1904" t="s">
        <v>3913</v>
      </c>
    </row>
    <row r="1905" spans="1:4" x14ac:dyDescent="0.3">
      <c r="A1905" t="s">
        <v>2679</v>
      </c>
      <c r="B1905" t="s">
        <v>3894</v>
      </c>
      <c r="C1905" t="s">
        <v>3914</v>
      </c>
      <c r="D1905" t="s">
        <v>433</v>
      </c>
    </row>
    <row r="1906" spans="1:4" x14ac:dyDescent="0.3">
      <c r="A1906" t="s">
        <v>2679</v>
      </c>
      <c r="B1906" t="s">
        <v>3894</v>
      </c>
      <c r="C1906" t="s">
        <v>3915</v>
      </c>
      <c r="D1906" t="s">
        <v>3916</v>
      </c>
    </row>
    <row r="1907" spans="1:4" x14ac:dyDescent="0.3">
      <c r="A1907" t="s">
        <v>3917</v>
      </c>
      <c r="B1907" t="s">
        <v>3918</v>
      </c>
      <c r="C1907" t="s">
        <v>3919</v>
      </c>
      <c r="D1907" t="s">
        <v>3920</v>
      </c>
    </row>
    <row r="1908" spans="1:4" x14ac:dyDescent="0.3">
      <c r="A1908" t="s">
        <v>3917</v>
      </c>
      <c r="B1908" t="s">
        <v>3918</v>
      </c>
      <c r="C1908" t="s">
        <v>3921</v>
      </c>
      <c r="D1908" t="s">
        <v>3922</v>
      </c>
    </row>
    <row r="1909" spans="1:4" x14ac:dyDescent="0.3">
      <c r="A1909" t="s">
        <v>3917</v>
      </c>
      <c r="B1909" t="s">
        <v>3918</v>
      </c>
      <c r="C1909" t="s">
        <v>3923</v>
      </c>
      <c r="D1909" t="s">
        <v>3924</v>
      </c>
    </row>
    <row r="1910" spans="1:4" x14ac:dyDescent="0.3">
      <c r="A1910" t="s">
        <v>3917</v>
      </c>
      <c r="B1910" t="s">
        <v>3918</v>
      </c>
      <c r="C1910" t="s">
        <v>3925</v>
      </c>
      <c r="D1910" t="s">
        <v>3926</v>
      </c>
    </row>
    <row r="1911" spans="1:4" x14ac:dyDescent="0.3">
      <c r="A1911" t="s">
        <v>3917</v>
      </c>
      <c r="B1911" t="s">
        <v>3918</v>
      </c>
      <c r="C1911" t="s">
        <v>3927</v>
      </c>
      <c r="D1911" t="s">
        <v>3928</v>
      </c>
    </row>
    <row r="1912" spans="1:4" x14ac:dyDescent="0.3">
      <c r="A1912" t="s">
        <v>3917</v>
      </c>
      <c r="B1912" t="s">
        <v>3918</v>
      </c>
      <c r="C1912" t="s">
        <v>3929</v>
      </c>
      <c r="D1912" t="s">
        <v>3930</v>
      </c>
    </row>
    <row r="1913" spans="1:4" x14ac:dyDescent="0.3">
      <c r="A1913" t="s">
        <v>3917</v>
      </c>
      <c r="B1913" t="s">
        <v>3918</v>
      </c>
      <c r="C1913" t="s">
        <v>3931</v>
      </c>
      <c r="D1913" t="s">
        <v>3932</v>
      </c>
    </row>
    <row r="1914" spans="1:4" x14ac:dyDescent="0.3">
      <c r="A1914" t="s">
        <v>3917</v>
      </c>
      <c r="B1914" t="s">
        <v>3918</v>
      </c>
      <c r="C1914" t="s">
        <v>3933</v>
      </c>
      <c r="D1914" t="s">
        <v>3934</v>
      </c>
    </row>
    <row r="1915" spans="1:4" x14ac:dyDescent="0.3">
      <c r="A1915" t="s">
        <v>3917</v>
      </c>
      <c r="B1915" t="s">
        <v>3918</v>
      </c>
      <c r="C1915" t="s">
        <v>3935</v>
      </c>
      <c r="D1915" t="s">
        <v>3936</v>
      </c>
    </row>
    <row r="1916" spans="1:4" x14ac:dyDescent="0.3">
      <c r="A1916" t="s">
        <v>3917</v>
      </c>
      <c r="B1916" t="s">
        <v>3918</v>
      </c>
      <c r="C1916" t="s">
        <v>3937</v>
      </c>
      <c r="D1916" t="s">
        <v>3938</v>
      </c>
    </row>
    <row r="1917" spans="1:4" x14ac:dyDescent="0.3">
      <c r="A1917" t="s">
        <v>3917</v>
      </c>
      <c r="B1917" t="s">
        <v>3918</v>
      </c>
      <c r="C1917" t="s">
        <v>3939</v>
      </c>
      <c r="D1917" t="s">
        <v>3940</v>
      </c>
    </row>
    <row r="1918" spans="1:4" x14ac:dyDescent="0.3">
      <c r="A1918" t="s">
        <v>3917</v>
      </c>
      <c r="B1918" t="s">
        <v>3918</v>
      </c>
      <c r="C1918" t="s">
        <v>3941</v>
      </c>
      <c r="D1918" t="s">
        <v>3942</v>
      </c>
    </row>
    <row r="1919" spans="1:4" x14ac:dyDescent="0.3">
      <c r="A1919" t="s">
        <v>3917</v>
      </c>
      <c r="B1919" t="s">
        <v>3918</v>
      </c>
      <c r="C1919" t="s">
        <v>3943</v>
      </c>
      <c r="D1919" t="s">
        <v>3944</v>
      </c>
    </row>
    <row r="1920" spans="1:4" x14ac:dyDescent="0.3">
      <c r="A1920" t="s">
        <v>3917</v>
      </c>
      <c r="B1920" t="s">
        <v>3918</v>
      </c>
      <c r="C1920" t="s">
        <v>3945</v>
      </c>
      <c r="D1920" t="s">
        <v>3946</v>
      </c>
    </row>
    <row r="1921" spans="1:4" x14ac:dyDescent="0.3">
      <c r="A1921" t="s">
        <v>3917</v>
      </c>
      <c r="B1921" t="s">
        <v>3918</v>
      </c>
      <c r="C1921" t="s">
        <v>3947</v>
      </c>
      <c r="D1921" t="s">
        <v>3948</v>
      </c>
    </row>
    <row r="1922" spans="1:4" x14ac:dyDescent="0.3">
      <c r="A1922" t="s">
        <v>3917</v>
      </c>
      <c r="B1922" t="s">
        <v>3918</v>
      </c>
      <c r="C1922" t="s">
        <v>3949</v>
      </c>
      <c r="D1922" t="s">
        <v>3950</v>
      </c>
    </row>
    <row r="1923" spans="1:4" x14ac:dyDescent="0.3">
      <c r="A1923" t="s">
        <v>3917</v>
      </c>
      <c r="B1923" t="s">
        <v>3918</v>
      </c>
      <c r="C1923" t="s">
        <v>3951</v>
      </c>
      <c r="D1923" t="s">
        <v>3952</v>
      </c>
    </row>
    <row r="1924" spans="1:4" x14ac:dyDescent="0.3">
      <c r="A1924" t="s">
        <v>3917</v>
      </c>
      <c r="B1924" t="s">
        <v>3918</v>
      </c>
      <c r="C1924" t="s">
        <v>3953</v>
      </c>
      <c r="D1924" t="s">
        <v>3954</v>
      </c>
    </row>
    <row r="1925" spans="1:4" x14ac:dyDescent="0.3">
      <c r="A1925" t="s">
        <v>3917</v>
      </c>
      <c r="B1925" t="s">
        <v>3918</v>
      </c>
      <c r="C1925" t="s">
        <v>3955</v>
      </c>
      <c r="D1925" t="s">
        <v>3956</v>
      </c>
    </row>
    <row r="1926" spans="1:4" x14ac:dyDescent="0.3">
      <c r="A1926" t="s">
        <v>3917</v>
      </c>
      <c r="B1926" t="s">
        <v>3918</v>
      </c>
      <c r="C1926" t="s">
        <v>3957</v>
      </c>
      <c r="D1926" t="s">
        <v>3958</v>
      </c>
    </row>
    <row r="1927" spans="1:4" x14ac:dyDescent="0.3">
      <c r="A1927" t="s">
        <v>3959</v>
      </c>
      <c r="B1927" t="s">
        <v>3960</v>
      </c>
      <c r="C1927" t="s">
        <v>3961</v>
      </c>
      <c r="D1927" t="s">
        <v>3962</v>
      </c>
    </row>
    <row r="1928" spans="1:4" x14ac:dyDescent="0.3">
      <c r="A1928" t="s">
        <v>3959</v>
      </c>
      <c r="B1928" t="s">
        <v>3960</v>
      </c>
      <c r="C1928" t="s">
        <v>3963</v>
      </c>
      <c r="D1928" t="s">
        <v>3964</v>
      </c>
    </row>
    <row r="1929" spans="1:4" x14ac:dyDescent="0.3">
      <c r="A1929" t="s">
        <v>3959</v>
      </c>
      <c r="B1929" t="s">
        <v>3960</v>
      </c>
      <c r="C1929" t="s">
        <v>3965</v>
      </c>
      <c r="D1929" t="s">
        <v>3966</v>
      </c>
    </row>
    <row r="1930" spans="1:4" x14ac:dyDescent="0.3">
      <c r="A1930" t="s">
        <v>3959</v>
      </c>
      <c r="B1930" t="s">
        <v>3960</v>
      </c>
      <c r="C1930" t="s">
        <v>3967</v>
      </c>
      <c r="D1930" t="s">
        <v>3968</v>
      </c>
    </row>
    <row r="1931" spans="1:4" x14ac:dyDescent="0.3">
      <c r="A1931" t="s">
        <v>3959</v>
      </c>
      <c r="B1931" t="s">
        <v>3960</v>
      </c>
      <c r="C1931" t="s">
        <v>3969</v>
      </c>
      <c r="D1931" t="s">
        <v>3970</v>
      </c>
    </row>
    <row r="1932" spans="1:4" x14ac:dyDescent="0.3">
      <c r="A1932" t="s">
        <v>3959</v>
      </c>
      <c r="B1932" t="s">
        <v>3960</v>
      </c>
      <c r="C1932" t="s">
        <v>3971</v>
      </c>
      <c r="D1932" t="s">
        <v>3972</v>
      </c>
    </row>
    <row r="1933" spans="1:4" x14ac:dyDescent="0.3">
      <c r="A1933" t="s">
        <v>3959</v>
      </c>
      <c r="B1933" t="s">
        <v>3960</v>
      </c>
      <c r="C1933" t="s">
        <v>3973</v>
      </c>
      <c r="D1933" t="s">
        <v>3974</v>
      </c>
    </row>
    <row r="1934" spans="1:4" x14ac:dyDescent="0.3">
      <c r="A1934" t="s">
        <v>3959</v>
      </c>
      <c r="B1934" t="s">
        <v>3960</v>
      </c>
      <c r="C1934" t="s">
        <v>3975</v>
      </c>
      <c r="D1934" t="s">
        <v>3976</v>
      </c>
    </row>
    <row r="1935" spans="1:4" x14ac:dyDescent="0.3">
      <c r="A1935" t="s">
        <v>3959</v>
      </c>
      <c r="B1935" t="s">
        <v>3960</v>
      </c>
      <c r="C1935" t="s">
        <v>3977</v>
      </c>
      <c r="D1935" t="s">
        <v>3978</v>
      </c>
    </row>
    <row r="1936" spans="1:4" x14ac:dyDescent="0.3">
      <c r="A1936" t="s">
        <v>3959</v>
      </c>
      <c r="B1936" t="s">
        <v>3960</v>
      </c>
      <c r="C1936" t="s">
        <v>3979</v>
      </c>
      <c r="D1936" t="s">
        <v>3980</v>
      </c>
    </row>
    <row r="1937" spans="1:4" x14ac:dyDescent="0.3">
      <c r="A1937" t="s">
        <v>3959</v>
      </c>
      <c r="B1937" t="s">
        <v>3960</v>
      </c>
      <c r="C1937" t="s">
        <v>3981</v>
      </c>
      <c r="D1937" t="s">
        <v>3982</v>
      </c>
    </row>
    <row r="1938" spans="1:4" x14ac:dyDescent="0.3">
      <c r="A1938" t="s">
        <v>3959</v>
      </c>
      <c r="B1938" t="s">
        <v>3960</v>
      </c>
      <c r="C1938" t="s">
        <v>3983</v>
      </c>
      <c r="D1938" t="s">
        <v>3984</v>
      </c>
    </row>
    <row r="1939" spans="1:4" x14ac:dyDescent="0.3">
      <c r="A1939" t="s">
        <v>3959</v>
      </c>
      <c r="B1939" t="s">
        <v>3960</v>
      </c>
      <c r="C1939" t="s">
        <v>3985</v>
      </c>
      <c r="D1939" t="s">
        <v>3986</v>
      </c>
    </row>
    <row r="1940" spans="1:4" x14ac:dyDescent="0.3">
      <c r="A1940" t="s">
        <v>3959</v>
      </c>
      <c r="B1940" t="s">
        <v>3960</v>
      </c>
      <c r="C1940" t="s">
        <v>3987</v>
      </c>
      <c r="D1940" t="s">
        <v>3988</v>
      </c>
    </row>
    <row r="1941" spans="1:4" x14ac:dyDescent="0.3">
      <c r="A1941" t="s">
        <v>3959</v>
      </c>
      <c r="B1941" t="s">
        <v>3960</v>
      </c>
      <c r="C1941" t="s">
        <v>3989</v>
      </c>
      <c r="D1941" t="s">
        <v>3990</v>
      </c>
    </row>
    <row r="1942" spans="1:4" x14ac:dyDescent="0.3">
      <c r="A1942" t="s">
        <v>3959</v>
      </c>
      <c r="B1942" t="s">
        <v>3960</v>
      </c>
      <c r="C1942" t="s">
        <v>3991</v>
      </c>
      <c r="D1942" t="s">
        <v>3992</v>
      </c>
    </row>
    <row r="1943" spans="1:4" x14ac:dyDescent="0.3">
      <c r="A1943" t="s">
        <v>3959</v>
      </c>
      <c r="B1943" t="s">
        <v>3960</v>
      </c>
      <c r="C1943" t="s">
        <v>3993</v>
      </c>
      <c r="D1943" t="s">
        <v>3994</v>
      </c>
    </row>
    <row r="1944" spans="1:4" x14ac:dyDescent="0.3">
      <c r="A1944" t="s">
        <v>3959</v>
      </c>
      <c r="B1944" t="s">
        <v>3960</v>
      </c>
      <c r="C1944" t="s">
        <v>3995</v>
      </c>
      <c r="D1944" t="s">
        <v>3996</v>
      </c>
    </row>
    <row r="1945" spans="1:4" x14ac:dyDescent="0.3">
      <c r="A1945" t="s">
        <v>3959</v>
      </c>
      <c r="B1945" t="s">
        <v>3960</v>
      </c>
      <c r="C1945" t="s">
        <v>3997</v>
      </c>
      <c r="D1945" t="s">
        <v>3998</v>
      </c>
    </row>
    <row r="1946" spans="1:4" x14ac:dyDescent="0.3">
      <c r="A1946" t="s">
        <v>3959</v>
      </c>
      <c r="B1946" t="s">
        <v>3960</v>
      </c>
      <c r="C1946" t="s">
        <v>3999</v>
      </c>
      <c r="D1946" t="s">
        <v>4000</v>
      </c>
    </row>
    <row r="1947" spans="1:4" x14ac:dyDescent="0.3">
      <c r="A1947" t="s">
        <v>3959</v>
      </c>
      <c r="B1947" t="s">
        <v>3960</v>
      </c>
      <c r="C1947" t="s">
        <v>4001</v>
      </c>
      <c r="D1947" t="s">
        <v>4002</v>
      </c>
    </row>
    <row r="1948" spans="1:4" x14ac:dyDescent="0.3">
      <c r="A1948" t="s">
        <v>3959</v>
      </c>
      <c r="B1948" t="s">
        <v>3960</v>
      </c>
      <c r="C1948" t="s">
        <v>4003</v>
      </c>
      <c r="D1948" t="s">
        <v>4004</v>
      </c>
    </row>
    <row r="1949" spans="1:4" x14ac:dyDescent="0.3">
      <c r="A1949" t="s">
        <v>3959</v>
      </c>
      <c r="B1949" t="s">
        <v>3960</v>
      </c>
      <c r="C1949" t="s">
        <v>4005</v>
      </c>
      <c r="D1949" t="s">
        <v>4006</v>
      </c>
    </row>
    <row r="1950" spans="1:4" x14ac:dyDescent="0.3">
      <c r="A1950" t="s">
        <v>3959</v>
      </c>
      <c r="B1950" t="s">
        <v>3960</v>
      </c>
      <c r="C1950" t="s">
        <v>4007</v>
      </c>
      <c r="D1950" t="s">
        <v>4008</v>
      </c>
    </row>
    <row r="1951" spans="1:4" x14ac:dyDescent="0.3">
      <c r="A1951" t="s">
        <v>3959</v>
      </c>
      <c r="B1951" t="s">
        <v>3960</v>
      </c>
      <c r="C1951" t="s">
        <v>4009</v>
      </c>
      <c r="D1951" t="s">
        <v>4010</v>
      </c>
    </row>
    <row r="1952" spans="1:4" x14ac:dyDescent="0.3">
      <c r="A1952" t="s">
        <v>3959</v>
      </c>
      <c r="B1952" t="s">
        <v>3960</v>
      </c>
      <c r="C1952" t="s">
        <v>4011</v>
      </c>
      <c r="D1952" t="s">
        <v>4012</v>
      </c>
    </row>
    <row r="1953" spans="1:4" x14ac:dyDescent="0.3">
      <c r="A1953" t="s">
        <v>3959</v>
      </c>
      <c r="B1953" t="s">
        <v>3960</v>
      </c>
      <c r="C1953" t="s">
        <v>4013</v>
      </c>
      <c r="D1953" t="s">
        <v>4014</v>
      </c>
    </row>
    <row r="1954" spans="1:4" x14ac:dyDescent="0.3">
      <c r="A1954" t="s">
        <v>3959</v>
      </c>
      <c r="B1954" t="s">
        <v>3960</v>
      </c>
      <c r="C1954" t="s">
        <v>4015</v>
      </c>
      <c r="D1954" t="s">
        <v>4016</v>
      </c>
    </row>
    <row r="1955" spans="1:4" x14ac:dyDescent="0.3">
      <c r="A1955" t="s">
        <v>3959</v>
      </c>
      <c r="B1955" t="s">
        <v>3960</v>
      </c>
      <c r="C1955" t="s">
        <v>4017</v>
      </c>
      <c r="D1955" t="s">
        <v>4018</v>
      </c>
    </row>
    <row r="1956" spans="1:4" x14ac:dyDescent="0.3">
      <c r="A1956" t="s">
        <v>3959</v>
      </c>
      <c r="B1956" t="s">
        <v>3960</v>
      </c>
      <c r="C1956" t="s">
        <v>4019</v>
      </c>
      <c r="D1956" t="s">
        <v>4020</v>
      </c>
    </row>
    <row r="1957" spans="1:4" x14ac:dyDescent="0.3">
      <c r="A1957" t="s">
        <v>3959</v>
      </c>
      <c r="B1957" t="s">
        <v>3960</v>
      </c>
      <c r="C1957" t="s">
        <v>4021</v>
      </c>
      <c r="D1957" t="s">
        <v>4022</v>
      </c>
    </row>
    <row r="1958" spans="1:4" x14ac:dyDescent="0.3">
      <c r="A1958" t="s">
        <v>3959</v>
      </c>
      <c r="B1958" t="s">
        <v>3960</v>
      </c>
      <c r="C1958" t="s">
        <v>4023</v>
      </c>
      <c r="D1958" t="s">
        <v>4024</v>
      </c>
    </row>
    <row r="1959" spans="1:4" x14ac:dyDescent="0.3">
      <c r="A1959" t="s">
        <v>3959</v>
      </c>
      <c r="B1959" t="s">
        <v>3960</v>
      </c>
      <c r="C1959" t="s">
        <v>4025</v>
      </c>
      <c r="D1959" t="s">
        <v>4026</v>
      </c>
    </row>
    <row r="1960" spans="1:4" x14ac:dyDescent="0.3">
      <c r="A1960" t="s">
        <v>3015</v>
      </c>
      <c r="B1960" t="s">
        <v>4027</v>
      </c>
      <c r="C1960" t="s">
        <v>4028</v>
      </c>
      <c r="D1960" t="s">
        <v>4029</v>
      </c>
    </row>
    <row r="1961" spans="1:4" x14ac:dyDescent="0.3">
      <c r="A1961" t="s">
        <v>3015</v>
      </c>
      <c r="B1961" t="s">
        <v>4027</v>
      </c>
      <c r="C1961" t="s">
        <v>4030</v>
      </c>
      <c r="D1961" t="s">
        <v>4031</v>
      </c>
    </row>
    <row r="1962" spans="1:4" x14ac:dyDescent="0.3">
      <c r="A1962" t="s">
        <v>3015</v>
      </c>
      <c r="B1962" t="s">
        <v>4027</v>
      </c>
      <c r="C1962" t="s">
        <v>4032</v>
      </c>
      <c r="D1962" t="s">
        <v>4033</v>
      </c>
    </row>
    <row r="1963" spans="1:4" x14ac:dyDescent="0.3">
      <c r="A1963" t="s">
        <v>3015</v>
      </c>
      <c r="B1963" t="s">
        <v>4027</v>
      </c>
      <c r="C1963" t="s">
        <v>4034</v>
      </c>
      <c r="D1963" t="s">
        <v>1583</v>
      </c>
    </row>
    <row r="1964" spans="1:4" x14ac:dyDescent="0.3">
      <c r="A1964" t="s">
        <v>3015</v>
      </c>
      <c r="B1964" t="s">
        <v>4027</v>
      </c>
      <c r="C1964" t="s">
        <v>4035</v>
      </c>
      <c r="D1964" t="s">
        <v>4036</v>
      </c>
    </row>
    <row r="1965" spans="1:4" x14ac:dyDescent="0.3">
      <c r="A1965" t="s">
        <v>3015</v>
      </c>
      <c r="B1965" t="s">
        <v>4027</v>
      </c>
      <c r="C1965" t="s">
        <v>4037</v>
      </c>
      <c r="D1965" t="s">
        <v>4038</v>
      </c>
    </row>
    <row r="1966" spans="1:4" x14ac:dyDescent="0.3">
      <c r="A1966" t="s">
        <v>3015</v>
      </c>
      <c r="B1966" t="s">
        <v>4027</v>
      </c>
      <c r="C1966" t="s">
        <v>4039</v>
      </c>
      <c r="D1966" t="s">
        <v>4040</v>
      </c>
    </row>
    <row r="1967" spans="1:4" x14ac:dyDescent="0.3">
      <c r="A1967" t="s">
        <v>3015</v>
      </c>
      <c r="B1967" t="s">
        <v>4027</v>
      </c>
      <c r="C1967" t="s">
        <v>4041</v>
      </c>
      <c r="D1967" t="s">
        <v>4042</v>
      </c>
    </row>
    <row r="1968" spans="1:4" x14ac:dyDescent="0.3">
      <c r="A1968" t="s">
        <v>3015</v>
      </c>
      <c r="B1968" t="s">
        <v>4027</v>
      </c>
      <c r="C1968" t="s">
        <v>4043</v>
      </c>
      <c r="D1968" t="s">
        <v>4044</v>
      </c>
    </row>
    <row r="1969" spans="1:4" x14ac:dyDescent="0.3">
      <c r="A1969" t="s">
        <v>3015</v>
      </c>
      <c r="B1969" t="s">
        <v>4027</v>
      </c>
      <c r="C1969" t="s">
        <v>4045</v>
      </c>
      <c r="D1969" t="s">
        <v>4046</v>
      </c>
    </row>
    <row r="1970" spans="1:4" x14ac:dyDescent="0.3">
      <c r="A1970" t="s">
        <v>3015</v>
      </c>
      <c r="B1970" t="s">
        <v>4027</v>
      </c>
      <c r="C1970" t="s">
        <v>4047</v>
      </c>
      <c r="D1970" t="s">
        <v>1843</v>
      </c>
    </row>
    <row r="1971" spans="1:4" x14ac:dyDescent="0.3">
      <c r="A1971" t="s">
        <v>3015</v>
      </c>
      <c r="B1971" t="s">
        <v>4027</v>
      </c>
      <c r="C1971" t="s">
        <v>4048</v>
      </c>
      <c r="D1971" t="s">
        <v>4049</v>
      </c>
    </row>
    <row r="1972" spans="1:4" x14ac:dyDescent="0.3">
      <c r="A1972" t="s">
        <v>3015</v>
      </c>
      <c r="B1972" t="s">
        <v>4027</v>
      </c>
      <c r="C1972" t="s">
        <v>4050</v>
      </c>
      <c r="D1972" t="s">
        <v>4051</v>
      </c>
    </row>
    <row r="1973" spans="1:4" x14ac:dyDescent="0.3">
      <c r="A1973" t="s">
        <v>3015</v>
      </c>
      <c r="B1973" t="s">
        <v>4027</v>
      </c>
      <c r="C1973" t="s">
        <v>4052</v>
      </c>
      <c r="D1973" t="s">
        <v>4053</v>
      </c>
    </row>
    <row r="1974" spans="1:4" x14ac:dyDescent="0.3">
      <c r="A1974" t="s">
        <v>3015</v>
      </c>
      <c r="B1974" t="s">
        <v>4027</v>
      </c>
      <c r="C1974" t="s">
        <v>4054</v>
      </c>
      <c r="D1974" t="s">
        <v>4055</v>
      </c>
    </row>
    <row r="1975" spans="1:4" x14ac:dyDescent="0.3">
      <c r="A1975" t="s">
        <v>3015</v>
      </c>
      <c r="B1975" t="s">
        <v>4027</v>
      </c>
      <c r="C1975" t="s">
        <v>4056</v>
      </c>
      <c r="D1975" t="s">
        <v>4057</v>
      </c>
    </row>
    <row r="1976" spans="1:4" x14ac:dyDescent="0.3">
      <c r="A1976" t="s">
        <v>3015</v>
      </c>
      <c r="B1976" t="s">
        <v>4027</v>
      </c>
      <c r="C1976" t="s">
        <v>4058</v>
      </c>
      <c r="D1976" t="s">
        <v>926</v>
      </c>
    </row>
    <row r="1977" spans="1:4" x14ac:dyDescent="0.3">
      <c r="A1977" t="s">
        <v>3015</v>
      </c>
      <c r="B1977" t="s">
        <v>4027</v>
      </c>
      <c r="C1977" t="s">
        <v>4059</v>
      </c>
      <c r="D1977" t="s">
        <v>4060</v>
      </c>
    </row>
    <row r="1978" spans="1:4" x14ac:dyDescent="0.3">
      <c r="A1978" t="s">
        <v>3015</v>
      </c>
      <c r="B1978" t="s">
        <v>4027</v>
      </c>
      <c r="C1978" t="s">
        <v>4061</v>
      </c>
      <c r="D1978" t="s">
        <v>4062</v>
      </c>
    </row>
    <row r="1979" spans="1:4" x14ac:dyDescent="0.3">
      <c r="A1979" t="s">
        <v>3015</v>
      </c>
      <c r="B1979" t="s">
        <v>4027</v>
      </c>
      <c r="C1979" t="s">
        <v>4063</v>
      </c>
      <c r="D1979" t="s">
        <v>4064</v>
      </c>
    </row>
    <row r="1980" spans="1:4" x14ac:dyDescent="0.3">
      <c r="A1980" t="s">
        <v>3015</v>
      </c>
      <c r="B1980" t="s">
        <v>4027</v>
      </c>
      <c r="C1980" t="s">
        <v>4065</v>
      </c>
      <c r="D1980" t="s">
        <v>4066</v>
      </c>
    </row>
    <row r="1981" spans="1:4" x14ac:dyDescent="0.3">
      <c r="A1981" t="s">
        <v>3015</v>
      </c>
      <c r="B1981" t="s">
        <v>4027</v>
      </c>
      <c r="C1981" t="s">
        <v>4067</v>
      </c>
      <c r="D1981" t="s">
        <v>4068</v>
      </c>
    </row>
    <row r="1982" spans="1:4" x14ac:dyDescent="0.3">
      <c r="A1982" t="s">
        <v>4069</v>
      </c>
      <c r="B1982" t="s">
        <v>4070</v>
      </c>
      <c r="C1982" t="s">
        <v>4071</v>
      </c>
      <c r="D1982" t="s">
        <v>4072</v>
      </c>
    </row>
    <row r="1983" spans="1:4" x14ac:dyDescent="0.3">
      <c r="A1983" t="s">
        <v>4069</v>
      </c>
      <c r="B1983" t="s">
        <v>4070</v>
      </c>
      <c r="C1983" t="s">
        <v>4073</v>
      </c>
      <c r="D1983" t="s">
        <v>4074</v>
      </c>
    </row>
    <row r="1984" spans="1:4" x14ac:dyDescent="0.3">
      <c r="A1984" t="s">
        <v>4069</v>
      </c>
      <c r="B1984" t="s">
        <v>4070</v>
      </c>
      <c r="C1984" t="s">
        <v>4075</v>
      </c>
      <c r="D1984" t="s">
        <v>4076</v>
      </c>
    </row>
    <row r="1985" spans="1:4" x14ac:dyDescent="0.3">
      <c r="A1985" t="s">
        <v>4069</v>
      </c>
      <c r="B1985" t="s">
        <v>4070</v>
      </c>
      <c r="C1985" t="s">
        <v>4077</v>
      </c>
      <c r="D1985" t="s">
        <v>4078</v>
      </c>
    </row>
    <row r="1986" spans="1:4" x14ac:dyDescent="0.3">
      <c r="A1986" t="s">
        <v>4069</v>
      </c>
      <c r="B1986" t="s">
        <v>4070</v>
      </c>
      <c r="C1986" t="s">
        <v>4079</v>
      </c>
      <c r="D1986" t="s">
        <v>4080</v>
      </c>
    </row>
    <row r="1987" spans="1:4" x14ac:dyDescent="0.3">
      <c r="A1987" t="s">
        <v>4069</v>
      </c>
      <c r="B1987" t="s">
        <v>4070</v>
      </c>
      <c r="C1987" t="s">
        <v>4081</v>
      </c>
      <c r="D1987" t="s">
        <v>702</v>
      </c>
    </row>
    <row r="1988" spans="1:4" x14ac:dyDescent="0.3">
      <c r="A1988" t="s">
        <v>4069</v>
      </c>
      <c r="B1988" t="s">
        <v>4070</v>
      </c>
      <c r="C1988" t="s">
        <v>4082</v>
      </c>
      <c r="D1988" t="s">
        <v>4083</v>
      </c>
    </row>
    <row r="1989" spans="1:4" x14ac:dyDescent="0.3">
      <c r="A1989" t="s">
        <v>4069</v>
      </c>
      <c r="B1989" t="s">
        <v>4070</v>
      </c>
      <c r="C1989" t="s">
        <v>4084</v>
      </c>
      <c r="D1989" t="s">
        <v>4085</v>
      </c>
    </row>
    <row r="1990" spans="1:4" x14ac:dyDescent="0.3">
      <c r="A1990" t="s">
        <v>4069</v>
      </c>
      <c r="B1990" t="s">
        <v>4070</v>
      </c>
      <c r="C1990" t="s">
        <v>4086</v>
      </c>
      <c r="D1990" t="s">
        <v>4087</v>
      </c>
    </row>
    <row r="1991" spans="1:4" x14ac:dyDescent="0.3">
      <c r="A1991" t="s">
        <v>4069</v>
      </c>
      <c r="B1991" t="s">
        <v>4070</v>
      </c>
      <c r="C1991" t="s">
        <v>4088</v>
      </c>
      <c r="D1991" t="s">
        <v>4089</v>
      </c>
    </row>
    <row r="1992" spans="1:4" x14ac:dyDescent="0.3">
      <c r="A1992" t="s">
        <v>4069</v>
      </c>
      <c r="B1992" t="s">
        <v>4070</v>
      </c>
      <c r="C1992" t="s">
        <v>4090</v>
      </c>
      <c r="D1992" t="s">
        <v>4091</v>
      </c>
    </row>
    <row r="1993" spans="1:4" x14ac:dyDescent="0.3">
      <c r="A1993" t="s">
        <v>4069</v>
      </c>
      <c r="B1993" t="s">
        <v>4070</v>
      </c>
      <c r="C1993" t="s">
        <v>4092</v>
      </c>
      <c r="D1993" t="s">
        <v>4093</v>
      </c>
    </row>
    <row r="1994" spans="1:4" x14ac:dyDescent="0.3">
      <c r="A1994" t="s">
        <v>4069</v>
      </c>
      <c r="B1994" t="s">
        <v>4070</v>
      </c>
      <c r="C1994" t="s">
        <v>4094</v>
      </c>
      <c r="D1994" t="s">
        <v>4095</v>
      </c>
    </row>
    <row r="1995" spans="1:4" x14ac:dyDescent="0.3">
      <c r="A1995" t="s">
        <v>4069</v>
      </c>
      <c r="B1995" t="s">
        <v>4070</v>
      </c>
      <c r="C1995" t="s">
        <v>4096</v>
      </c>
      <c r="D1995" t="s">
        <v>4097</v>
      </c>
    </row>
    <row r="1996" spans="1:4" x14ac:dyDescent="0.3">
      <c r="A1996" t="s">
        <v>4069</v>
      </c>
      <c r="B1996" t="s">
        <v>4070</v>
      </c>
      <c r="C1996" t="s">
        <v>4098</v>
      </c>
      <c r="D1996" t="s">
        <v>4099</v>
      </c>
    </row>
    <row r="1997" spans="1:4" x14ac:dyDescent="0.3">
      <c r="A1997" t="s">
        <v>4069</v>
      </c>
      <c r="B1997" t="s">
        <v>4070</v>
      </c>
      <c r="C1997" t="s">
        <v>4100</v>
      </c>
      <c r="D1997" t="s">
        <v>4101</v>
      </c>
    </row>
    <row r="1998" spans="1:4" x14ac:dyDescent="0.3">
      <c r="A1998" t="s">
        <v>4069</v>
      </c>
      <c r="B1998" t="s">
        <v>4070</v>
      </c>
      <c r="C1998" t="s">
        <v>4102</v>
      </c>
      <c r="D1998" t="s">
        <v>4103</v>
      </c>
    </row>
    <row r="1999" spans="1:4" x14ac:dyDescent="0.3">
      <c r="A1999" t="s">
        <v>4069</v>
      </c>
      <c r="B1999" t="s">
        <v>4070</v>
      </c>
      <c r="C1999" t="s">
        <v>2761</v>
      </c>
      <c r="D1999" t="s">
        <v>4104</v>
      </c>
    </row>
    <row r="2000" spans="1:4" x14ac:dyDescent="0.3">
      <c r="A2000" t="s">
        <v>4105</v>
      </c>
      <c r="B2000" t="s">
        <v>4106</v>
      </c>
      <c r="C2000" t="s">
        <v>4107</v>
      </c>
      <c r="D2000" t="s">
        <v>4108</v>
      </c>
    </row>
    <row r="2001" spans="1:4" x14ac:dyDescent="0.3">
      <c r="A2001" t="s">
        <v>4105</v>
      </c>
      <c r="B2001" t="s">
        <v>4106</v>
      </c>
      <c r="C2001" t="s">
        <v>4109</v>
      </c>
      <c r="D2001" t="s">
        <v>4110</v>
      </c>
    </row>
    <row r="2002" spans="1:4" x14ac:dyDescent="0.3">
      <c r="A2002" t="s">
        <v>4105</v>
      </c>
      <c r="B2002" t="s">
        <v>4106</v>
      </c>
      <c r="C2002" t="s">
        <v>4111</v>
      </c>
      <c r="D2002" t="s">
        <v>4112</v>
      </c>
    </row>
    <row r="2003" spans="1:4" x14ac:dyDescent="0.3">
      <c r="A2003" t="s">
        <v>4105</v>
      </c>
      <c r="B2003" t="s">
        <v>4106</v>
      </c>
      <c r="C2003" t="s">
        <v>4113</v>
      </c>
      <c r="D2003" t="s">
        <v>4114</v>
      </c>
    </row>
    <row r="2004" spans="1:4" x14ac:dyDescent="0.3">
      <c r="A2004" t="s">
        <v>4105</v>
      </c>
      <c r="B2004" t="s">
        <v>4106</v>
      </c>
      <c r="C2004" t="s">
        <v>4115</v>
      </c>
      <c r="D2004" t="s">
        <v>4116</v>
      </c>
    </row>
    <row r="2005" spans="1:4" x14ac:dyDescent="0.3">
      <c r="A2005" t="s">
        <v>4105</v>
      </c>
      <c r="B2005" t="s">
        <v>4106</v>
      </c>
      <c r="C2005" t="s">
        <v>4117</v>
      </c>
      <c r="D2005" t="s">
        <v>4118</v>
      </c>
    </row>
    <row r="2006" spans="1:4" x14ac:dyDescent="0.3">
      <c r="A2006" t="s">
        <v>4105</v>
      </c>
      <c r="B2006" t="s">
        <v>4106</v>
      </c>
      <c r="C2006" t="s">
        <v>4119</v>
      </c>
      <c r="D2006" t="s">
        <v>4120</v>
      </c>
    </row>
    <row r="2007" spans="1:4" x14ac:dyDescent="0.3">
      <c r="A2007" t="s">
        <v>4105</v>
      </c>
      <c r="B2007" t="s">
        <v>4106</v>
      </c>
      <c r="C2007" t="s">
        <v>4121</v>
      </c>
      <c r="D2007" t="s">
        <v>4122</v>
      </c>
    </row>
    <row r="2008" spans="1:4" x14ac:dyDescent="0.3">
      <c r="A2008" t="s">
        <v>4105</v>
      </c>
      <c r="B2008" t="s">
        <v>4106</v>
      </c>
      <c r="C2008" t="s">
        <v>4123</v>
      </c>
      <c r="D2008" t="s">
        <v>4124</v>
      </c>
    </row>
    <row r="2009" spans="1:4" x14ac:dyDescent="0.3">
      <c r="A2009" t="s">
        <v>4105</v>
      </c>
      <c r="B2009" t="s">
        <v>4106</v>
      </c>
      <c r="C2009" t="s">
        <v>4125</v>
      </c>
      <c r="D2009" t="s">
        <v>4126</v>
      </c>
    </row>
    <row r="2010" spans="1:4" x14ac:dyDescent="0.3">
      <c r="A2010" t="s">
        <v>4105</v>
      </c>
      <c r="B2010" t="s">
        <v>4106</v>
      </c>
      <c r="C2010" t="s">
        <v>4127</v>
      </c>
      <c r="D2010" t="s">
        <v>4128</v>
      </c>
    </row>
    <row r="2011" spans="1:4" x14ac:dyDescent="0.3">
      <c r="A2011" t="s">
        <v>4105</v>
      </c>
      <c r="B2011" t="s">
        <v>4106</v>
      </c>
      <c r="C2011" t="s">
        <v>4129</v>
      </c>
      <c r="D2011" t="s">
        <v>4130</v>
      </c>
    </row>
    <row r="2012" spans="1:4" x14ac:dyDescent="0.3">
      <c r="A2012" t="s">
        <v>4105</v>
      </c>
      <c r="B2012" t="s">
        <v>4106</v>
      </c>
      <c r="C2012" t="s">
        <v>4131</v>
      </c>
      <c r="D2012" t="s">
        <v>4132</v>
      </c>
    </row>
    <row r="2013" spans="1:4" x14ac:dyDescent="0.3">
      <c r="A2013" t="s">
        <v>4105</v>
      </c>
      <c r="B2013" t="s">
        <v>4106</v>
      </c>
      <c r="C2013" t="s">
        <v>4133</v>
      </c>
      <c r="D2013" t="s">
        <v>4134</v>
      </c>
    </row>
    <row r="2014" spans="1:4" x14ac:dyDescent="0.3">
      <c r="A2014" t="s">
        <v>4105</v>
      </c>
      <c r="B2014" t="s">
        <v>4106</v>
      </c>
      <c r="C2014" t="s">
        <v>4135</v>
      </c>
      <c r="D2014" t="s">
        <v>4136</v>
      </c>
    </row>
    <row r="2015" spans="1:4" x14ac:dyDescent="0.3">
      <c r="A2015" t="s">
        <v>4105</v>
      </c>
      <c r="B2015" t="s">
        <v>4106</v>
      </c>
      <c r="C2015" t="s">
        <v>4137</v>
      </c>
      <c r="D2015" t="s">
        <v>4138</v>
      </c>
    </row>
    <row r="2016" spans="1:4" x14ac:dyDescent="0.3">
      <c r="A2016" t="s">
        <v>4105</v>
      </c>
      <c r="B2016" t="s">
        <v>4106</v>
      </c>
      <c r="C2016" t="s">
        <v>4139</v>
      </c>
      <c r="D2016" t="s">
        <v>4140</v>
      </c>
    </row>
    <row r="2017" spans="1:4" x14ac:dyDescent="0.3">
      <c r="A2017" t="s">
        <v>4105</v>
      </c>
      <c r="B2017" t="s">
        <v>4106</v>
      </c>
      <c r="C2017" t="s">
        <v>4141</v>
      </c>
      <c r="D2017" t="s">
        <v>4142</v>
      </c>
    </row>
    <row r="2018" spans="1:4" x14ac:dyDescent="0.3">
      <c r="A2018" t="s">
        <v>4105</v>
      </c>
      <c r="B2018" t="s">
        <v>4106</v>
      </c>
      <c r="C2018" t="s">
        <v>4143</v>
      </c>
      <c r="D2018" t="s">
        <v>4144</v>
      </c>
    </row>
    <row r="2019" spans="1:4" x14ac:dyDescent="0.3">
      <c r="A2019" t="s">
        <v>4105</v>
      </c>
      <c r="B2019" t="s">
        <v>4106</v>
      </c>
      <c r="C2019" t="s">
        <v>4145</v>
      </c>
      <c r="D2019" t="s">
        <v>4146</v>
      </c>
    </row>
    <row r="2020" spans="1:4" x14ac:dyDescent="0.3">
      <c r="A2020" t="s">
        <v>4105</v>
      </c>
      <c r="B2020" t="s">
        <v>4106</v>
      </c>
      <c r="C2020" t="s">
        <v>4147</v>
      </c>
      <c r="D2020" t="s">
        <v>4148</v>
      </c>
    </row>
    <row r="2021" spans="1:4" x14ac:dyDescent="0.3">
      <c r="A2021" t="s">
        <v>4105</v>
      </c>
      <c r="B2021" t="s">
        <v>4106</v>
      </c>
      <c r="C2021" t="s">
        <v>4149</v>
      </c>
      <c r="D2021" t="s">
        <v>4150</v>
      </c>
    </row>
    <row r="2022" spans="1:4" x14ac:dyDescent="0.3">
      <c r="A2022" t="s">
        <v>4105</v>
      </c>
      <c r="B2022" t="s">
        <v>4106</v>
      </c>
      <c r="C2022" t="s">
        <v>4151</v>
      </c>
      <c r="D2022" t="s">
        <v>4152</v>
      </c>
    </row>
    <row r="2023" spans="1:4" x14ac:dyDescent="0.3">
      <c r="A2023" t="s">
        <v>4105</v>
      </c>
      <c r="B2023" t="s">
        <v>4106</v>
      </c>
      <c r="C2023" t="s">
        <v>4153</v>
      </c>
      <c r="D2023" t="s">
        <v>4154</v>
      </c>
    </row>
    <row r="2024" spans="1:4" x14ac:dyDescent="0.3">
      <c r="A2024" t="s">
        <v>4105</v>
      </c>
      <c r="B2024" t="s">
        <v>4106</v>
      </c>
      <c r="C2024" t="s">
        <v>4155</v>
      </c>
      <c r="D2024" t="s">
        <v>4156</v>
      </c>
    </row>
    <row r="2025" spans="1:4" x14ac:dyDescent="0.3">
      <c r="A2025" t="s">
        <v>4105</v>
      </c>
      <c r="B2025" t="s">
        <v>4106</v>
      </c>
      <c r="C2025" t="s">
        <v>4157</v>
      </c>
      <c r="D2025" t="s">
        <v>4158</v>
      </c>
    </row>
    <row r="2026" spans="1:4" x14ac:dyDescent="0.3">
      <c r="A2026" t="s">
        <v>4105</v>
      </c>
      <c r="B2026" t="s">
        <v>4106</v>
      </c>
      <c r="C2026" t="s">
        <v>4159</v>
      </c>
      <c r="D2026" t="s">
        <v>4160</v>
      </c>
    </row>
    <row r="2027" spans="1:4" x14ac:dyDescent="0.3">
      <c r="A2027" t="s">
        <v>4105</v>
      </c>
      <c r="B2027" t="s">
        <v>4106</v>
      </c>
      <c r="C2027" t="s">
        <v>4161</v>
      </c>
      <c r="D2027" t="s">
        <v>4162</v>
      </c>
    </row>
    <row r="2028" spans="1:4" x14ac:dyDescent="0.3">
      <c r="A2028" t="s">
        <v>4105</v>
      </c>
      <c r="B2028" t="s">
        <v>4106</v>
      </c>
      <c r="C2028" t="s">
        <v>4163</v>
      </c>
      <c r="D2028" t="s">
        <v>4164</v>
      </c>
    </row>
    <row r="2029" spans="1:4" x14ac:dyDescent="0.3">
      <c r="A2029" t="s">
        <v>4105</v>
      </c>
      <c r="B2029" t="s">
        <v>4106</v>
      </c>
      <c r="C2029" t="s">
        <v>4165</v>
      </c>
      <c r="D2029" t="s">
        <v>4166</v>
      </c>
    </row>
    <row r="2030" spans="1:4" x14ac:dyDescent="0.3">
      <c r="A2030" t="s">
        <v>4105</v>
      </c>
      <c r="B2030" t="s">
        <v>4106</v>
      </c>
      <c r="C2030" t="s">
        <v>4167</v>
      </c>
      <c r="D2030" t="s">
        <v>4168</v>
      </c>
    </row>
    <row r="2031" spans="1:4" x14ac:dyDescent="0.3">
      <c r="A2031" t="s">
        <v>4105</v>
      </c>
      <c r="B2031" t="s">
        <v>4106</v>
      </c>
      <c r="C2031" t="s">
        <v>4169</v>
      </c>
      <c r="D2031" t="s">
        <v>4170</v>
      </c>
    </row>
    <row r="2032" spans="1:4" x14ac:dyDescent="0.3">
      <c r="A2032" t="s">
        <v>4171</v>
      </c>
      <c r="B2032" t="s">
        <v>4172</v>
      </c>
      <c r="C2032" t="s">
        <v>4173</v>
      </c>
      <c r="D2032" t="s">
        <v>4174</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workbookViewId="0">
      <selection activeCell="AE67" sqref="AE67"/>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10.375" bestFit="1" customWidth="1"/>
    <col min="16" max="16" width="10.375" customWidth="1"/>
    <col min="17" max="17" width="22.625" bestFit="1" customWidth="1"/>
    <col min="23" max="23" width="10.375" bestFit="1" customWidth="1"/>
    <col min="24" max="24" width="13.75" bestFit="1" customWidth="1"/>
    <col min="28" max="28" width="17.5" customWidth="1"/>
    <col min="29" max="29" width="16.5" bestFit="1" customWidth="1"/>
    <col min="30" max="30" width="16.75" bestFit="1" customWidth="1"/>
    <col min="31" max="31" width="15" customWidth="1"/>
  </cols>
  <sheetData>
    <row r="1" spans="24:32" x14ac:dyDescent="0.3">
      <c r="X1" t="s">
        <v>4175</v>
      </c>
    </row>
    <row r="2" spans="24:32" x14ac:dyDescent="0.3">
      <c r="X2" t="s">
        <v>4176</v>
      </c>
      <c r="Y2" t="s">
        <v>4177</v>
      </c>
      <c r="AB2" t="s">
        <v>4178</v>
      </c>
    </row>
    <row r="3" spans="24:32" x14ac:dyDescent="0.3">
      <c r="X3" t="s">
        <v>4179</v>
      </c>
      <c r="Y3">
        <f>SUM(F21:F464)</f>
        <v>0</v>
      </c>
      <c r="AB3" t="s">
        <v>4180</v>
      </c>
      <c r="AC3" t="s">
        <v>4210</v>
      </c>
      <c r="AD3" t="s">
        <v>4181</v>
      </c>
      <c r="AE3" t="s">
        <v>4182</v>
      </c>
      <c r="AF3" t="s">
        <v>54</v>
      </c>
    </row>
    <row r="4" spans="24:32" x14ac:dyDescent="0.3">
      <c r="X4" t="s">
        <v>31</v>
      </c>
      <c r="Y4">
        <f>+Y3-COUNTIF(N21:N226,"=Operational (no students)")</f>
        <v>0</v>
      </c>
      <c r="AB4">
        <v>1</v>
      </c>
      <c r="AC4">
        <v>1</v>
      </c>
      <c r="AD4" s="42">
        <f>SUM(Term1_Day_1[Instructional Time])</f>
        <v>0</v>
      </c>
      <c r="AE4" s="42">
        <f>SUM(Term1_Day_1[Assigned Time (Non-Instructional)])</f>
        <v>0</v>
      </c>
      <c r="AF4">
        <f t="shared" ref="AF4:AF74" si="0">+AD4+AE4</f>
        <v>0</v>
      </c>
    </row>
    <row r="5" spans="24:32" x14ac:dyDescent="0.3">
      <c r="X5" t="s">
        <v>50</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4211</v>
      </c>
      <c r="AB8">
        <v>5</v>
      </c>
      <c r="AC8">
        <v>1</v>
      </c>
      <c r="AD8" s="42">
        <f>SUM(Term1_Day_5[Instructional Time])</f>
        <v>0</v>
      </c>
      <c r="AE8" s="42">
        <f>SUM(Term1_Day_5[Assigned Time (Non-Instructional)])</f>
        <v>0</v>
      </c>
      <c r="AF8">
        <f t="shared" si="0"/>
        <v>0</v>
      </c>
    </row>
    <row r="9" spans="24:32" x14ac:dyDescent="0.3">
      <c r="X9" t="s">
        <v>30</v>
      </c>
      <c r="Y9" t="s">
        <v>4210</v>
      </c>
      <c r="AB9">
        <v>6</v>
      </c>
      <c r="AC9">
        <v>1</v>
      </c>
      <c r="AD9" s="42">
        <f>SUM(Term1_Day_6[Instructional Time])</f>
        <v>0</v>
      </c>
      <c r="AE9" s="42">
        <f>SUM(Term1_Day_6[Assigned Time (Non-Instructional)])</f>
        <v>0</v>
      </c>
      <c r="AF9">
        <f t="shared" si="0"/>
        <v>0</v>
      </c>
    </row>
    <row r="10" spans="24:32" x14ac:dyDescent="0.3">
      <c r="X10" s="37">
        <f>First_Operational_Day</f>
        <v>0</v>
      </c>
      <c r="Y10">
        <v>1</v>
      </c>
      <c r="AB10">
        <v>7</v>
      </c>
      <c r="AC10">
        <v>1</v>
      </c>
      <c r="AD10" s="42">
        <f>SUM(Term1_Day_7[Instructional Time])</f>
        <v>0</v>
      </c>
      <c r="AE10" s="42">
        <f>SUM(Term1_Day_7[Assigned Time (Non-Instructional)])</f>
        <v>0</v>
      </c>
      <c r="AF10" s="42">
        <f t="shared" ref="AF10:AF12" si="1">+AD10+AE10</f>
        <v>0</v>
      </c>
    </row>
    <row r="11" spans="24:32" x14ac:dyDescent="0.3">
      <c r="X11" s="37" t="str">
        <f>IF(ISBLANK(First_Instructional_Day2),"",First_Instructional_Day2)</f>
        <v/>
      </c>
      <c r="Y11">
        <v>2</v>
      </c>
      <c r="AB11">
        <v>8</v>
      </c>
      <c r="AC11">
        <v>1</v>
      </c>
      <c r="AD11" s="42">
        <f>SUM(Term1_Day_8[Instructional Time])</f>
        <v>0</v>
      </c>
      <c r="AE11" s="42">
        <f>SUM(Term1_Day_8[Assigned Time (Non-Instructional)])</f>
        <v>0</v>
      </c>
      <c r="AF11" s="42">
        <f t="shared" si="1"/>
        <v>0</v>
      </c>
    </row>
    <row r="12" spans="24:32" x14ac:dyDescent="0.3">
      <c r="X12" s="37" t="str">
        <f>IF(ISBLANK(First_Instructional_Day3),"",First_Instructional_Day3)</f>
        <v/>
      </c>
      <c r="Y12">
        <v>3</v>
      </c>
      <c r="AB12">
        <v>9</v>
      </c>
      <c r="AC12">
        <v>1</v>
      </c>
      <c r="AD12" s="42">
        <f>SUM(Term1_Day_9[Instructional Time])</f>
        <v>0</v>
      </c>
      <c r="AE12" s="42">
        <f>SUM(Term1_Day_9[Assigned Time (Non-Instructional)])</f>
        <v>0</v>
      </c>
      <c r="AF12" s="42">
        <f t="shared" si="1"/>
        <v>0</v>
      </c>
    </row>
    <row r="13" spans="24:32" x14ac:dyDescent="0.3">
      <c r="X13" s="37" t="str">
        <f>IF(ISBLANK(First_Instructional_Day4),"",First_Instructional_Day4)</f>
        <v/>
      </c>
      <c r="Y13">
        <v>4</v>
      </c>
      <c r="AB13">
        <v>10</v>
      </c>
      <c r="AC13">
        <v>1</v>
      </c>
      <c r="AD13" s="42">
        <f>SUM(Term1_Day_10[Instructional Time])</f>
        <v>0</v>
      </c>
      <c r="AE13" s="42">
        <f>SUM(Term1_Day_10[Assigned Time (Non-Instructional)])</f>
        <v>0</v>
      </c>
      <c r="AF13">
        <f t="shared" si="0"/>
        <v>0</v>
      </c>
    </row>
    <row r="14" spans="24:32" x14ac:dyDescent="0.3">
      <c r="AB14">
        <v>90</v>
      </c>
      <c r="AC14">
        <v>1</v>
      </c>
      <c r="AD14" s="42">
        <f>SUM(Term1_Early_Dismissal_1[Instructional Time])</f>
        <v>0</v>
      </c>
      <c r="AE14" s="42">
        <f>SUM(Term1_Early_Dismissal_1[Assigned Time (Non-Instructional)])</f>
        <v>0</v>
      </c>
      <c r="AF14" s="42">
        <f t="shared" ref="AF14:AF20" si="2">+AD14+AE14</f>
        <v>0</v>
      </c>
    </row>
    <row r="15" spans="24:32" x14ac:dyDescent="0.3">
      <c r="AB15">
        <v>91</v>
      </c>
      <c r="AC15">
        <v>1</v>
      </c>
      <c r="AD15" s="42">
        <f>SUM(Term1_Early_Dismissal_1[Instructional Time])</f>
        <v>0</v>
      </c>
      <c r="AE15" s="42">
        <f>SUM(Term1_Early_Dismissal_2[Assigned Time (Non-Instructional)])</f>
        <v>0</v>
      </c>
      <c r="AF15" s="42">
        <f t="shared" si="2"/>
        <v>0</v>
      </c>
    </row>
    <row r="16" spans="24:32" x14ac:dyDescent="0.3">
      <c r="AB16">
        <v>92</v>
      </c>
      <c r="AC16">
        <v>1</v>
      </c>
      <c r="AD16" s="42">
        <f>SUM(Term1_Early_Dismissal_3[Instructional Time])</f>
        <v>0</v>
      </c>
      <c r="AE16" s="42">
        <f>SUM(Term1_Early_Dismissal_3[Assigned Time (Non-Instructional)])</f>
        <v>0</v>
      </c>
      <c r="AF16" s="42">
        <f t="shared" si="2"/>
        <v>0</v>
      </c>
    </row>
    <row r="17" spans="3:32" x14ac:dyDescent="0.3">
      <c r="X17" t="s">
        <v>4211</v>
      </c>
      <c r="AB17">
        <v>95</v>
      </c>
      <c r="AC17">
        <v>1</v>
      </c>
      <c r="AD17" s="42">
        <f>SUM(Term1_Special_Day_1[Instructional Time])</f>
        <v>0</v>
      </c>
      <c r="AE17" s="42">
        <f>SUM(Term1_Special_Day_1[Assigned Time (Non-Instructional)])</f>
        <v>0</v>
      </c>
      <c r="AF17" s="42">
        <f t="shared" si="2"/>
        <v>0</v>
      </c>
    </row>
    <row r="18" spans="3:32" x14ac:dyDescent="0.3">
      <c r="X18" t="s">
        <v>30</v>
      </c>
      <c r="Y18" t="s">
        <v>4210</v>
      </c>
      <c r="Z18" t="s">
        <v>4180</v>
      </c>
      <c r="AB18">
        <v>96</v>
      </c>
      <c r="AC18">
        <v>1</v>
      </c>
      <c r="AD18" s="42">
        <f>SUM(Term1_Special_Day_2[Instructional Time])</f>
        <v>0</v>
      </c>
      <c r="AE18" s="42">
        <f>SUM(Term1_Special_Day_2[Assigned Time (Non-Instructional)])</f>
        <v>0</v>
      </c>
      <c r="AF18" s="42">
        <f t="shared" si="2"/>
        <v>0</v>
      </c>
    </row>
    <row r="19" spans="3:32" x14ac:dyDescent="0.3">
      <c r="X19" s="37">
        <f>First_Instructional_Day1</f>
        <v>0</v>
      </c>
      <c r="Y19">
        <v>1</v>
      </c>
      <c r="Z19">
        <v>1</v>
      </c>
      <c r="AB19">
        <v>97</v>
      </c>
      <c r="AC19">
        <v>1</v>
      </c>
      <c r="AD19" s="42">
        <f>SUM(Term1_Special_Day_3[Instructional Time])</f>
        <v>0</v>
      </c>
      <c r="AE19" s="42">
        <f>SUM(Term1_Special_Day_3[Assigned Time (Non-Instructional)])</f>
        <v>0</v>
      </c>
      <c r="AF19" s="42">
        <f t="shared" si="2"/>
        <v>0</v>
      </c>
    </row>
    <row r="20" spans="3:32" x14ac:dyDescent="0.3">
      <c r="C20" t="s">
        <v>29</v>
      </c>
      <c r="D20" s="37" t="s">
        <v>30</v>
      </c>
      <c r="E20" t="s">
        <v>20</v>
      </c>
      <c r="F20" t="s">
        <v>4185</v>
      </c>
      <c r="J20" t="s">
        <v>29</v>
      </c>
      <c r="K20" s="37" t="s">
        <v>30</v>
      </c>
      <c r="L20" s="37" t="s">
        <v>20</v>
      </c>
      <c r="M20" t="s">
        <v>4185</v>
      </c>
      <c r="N20" t="s">
        <v>4186</v>
      </c>
      <c r="O20" t="s">
        <v>4187</v>
      </c>
      <c r="P20" t="s">
        <v>4188</v>
      </c>
      <c r="Q20" t="s">
        <v>4184</v>
      </c>
      <c r="R20" t="s">
        <v>4210</v>
      </c>
      <c r="S20" t="s">
        <v>31</v>
      </c>
      <c r="T20" t="s">
        <v>53</v>
      </c>
      <c r="X20" s="37" t="str">
        <f>IF(ISBLANK(First_Instructional_Day2),"",First_Instructional_Day2)</f>
        <v/>
      </c>
      <c r="Y20">
        <v>2</v>
      </c>
      <c r="Z20">
        <v>1</v>
      </c>
      <c r="AB20">
        <v>99</v>
      </c>
      <c r="AC20">
        <v>1</v>
      </c>
      <c r="AD20">
        <v>0</v>
      </c>
      <c r="AE20">
        <v>360</v>
      </c>
      <c r="AF20" s="42">
        <f t="shared" si="2"/>
        <v>360</v>
      </c>
    </row>
    <row r="21" spans="3:32" x14ac:dyDescent="0.3">
      <c r="C21">
        <v>8</v>
      </c>
      <c r="D21" s="37" cm="1">
        <f t="array" ref="D21:D27">TRANSPOSE(Calendar!B11:H11)</f>
        <v>45137</v>
      </c>
      <c r="E21" cm="1">
        <f t="array" ref="E21:E27">TRANSPOSE(Calendar!B12:H12)</f>
        <v>0</v>
      </c>
      <c r="F21">
        <f t="shared" ref="F21:F84" si="3">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4">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100</v>
      </c>
      <c r="AC21">
        <v>1</v>
      </c>
      <c r="AD21">
        <v>0</v>
      </c>
      <c r="AE21">
        <v>0</v>
      </c>
      <c r="AF21" s="42">
        <f>+AD21+AE21</f>
        <v>0</v>
      </c>
    </row>
    <row r="22" spans="3:32" x14ac:dyDescent="0.3">
      <c r="C22">
        <v>8</v>
      </c>
      <c r="D22" s="37">
        <v>45138</v>
      </c>
      <c r="E22">
        <v>0</v>
      </c>
      <c r="F22">
        <f t="shared" si="3"/>
        <v>0</v>
      </c>
      <c r="K22" s="37"/>
      <c r="L22"/>
      <c r="N22" t="str">
        <f t="shared" ref="N22:N85" si="5">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4"/>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1</v>
      </c>
      <c r="AC22">
        <v>2</v>
      </c>
      <c r="AD22" s="42">
        <f>SUM(Term2_Day_1[Instructional Time])</f>
        <v>0</v>
      </c>
      <c r="AE22" s="42">
        <f>SUM(Term2_Day_1[Assigned Time (Non-Instructional)])</f>
        <v>0</v>
      </c>
      <c r="AF22" s="42">
        <f t="shared" ref="AF22:AF38" si="6">+AD22+AE22</f>
        <v>0</v>
      </c>
    </row>
    <row r="23" spans="3:32" x14ac:dyDescent="0.3">
      <c r="C23">
        <v>8</v>
      </c>
      <c r="D23" s="37">
        <v>45139</v>
      </c>
      <c r="E23">
        <v>0</v>
      </c>
      <c r="F23">
        <f t="shared" si="3"/>
        <v>0</v>
      </c>
      <c r="K23" s="37"/>
      <c r="L23"/>
      <c r="N23" t="str">
        <f t="shared" si="5"/>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4"/>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2</v>
      </c>
      <c r="AC23">
        <v>2</v>
      </c>
      <c r="AD23" s="42">
        <f>SUM(Term2_Day_2[Instructional Time])</f>
        <v>0</v>
      </c>
      <c r="AE23" s="42">
        <f>SUM(Term2_Day_2[Assigned Time (Non-Instructional)])</f>
        <v>0</v>
      </c>
      <c r="AF23" s="42">
        <f t="shared" si="6"/>
        <v>0</v>
      </c>
    </row>
    <row r="24" spans="3:32" x14ac:dyDescent="0.3">
      <c r="C24">
        <v>8</v>
      </c>
      <c r="D24" s="37">
        <v>45140</v>
      </c>
      <c r="E24">
        <v>0</v>
      </c>
      <c r="F24">
        <f t="shared" si="3"/>
        <v>0</v>
      </c>
      <c r="K24" s="37"/>
      <c r="L24"/>
      <c r="N24" t="str">
        <f t="shared" si="5"/>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4"/>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3</v>
      </c>
      <c r="AC24">
        <v>2</v>
      </c>
      <c r="AD24" s="42">
        <f>SUM(Term2_Day_3[Instructional Time])</f>
        <v>0</v>
      </c>
      <c r="AE24" s="42">
        <f>SUM(Term2_Day_3[Assigned Time (Non-Instructional)])</f>
        <v>0</v>
      </c>
      <c r="AF24" s="42">
        <f t="shared" si="6"/>
        <v>0</v>
      </c>
    </row>
    <row r="25" spans="3:32" x14ac:dyDescent="0.3">
      <c r="C25">
        <v>8</v>
      </c>
      <c r="D25" s="37">
        <v>45141</v>
      </c>
      <c r="E25">
        <v>0</v>
      </c>
      <c r="F25">
        <f t="shared" si="3"/>
        <v>0</v>
      </c>
      <c r="K25" s="37"/>
      <c r="L25"/>
      <c r="N25" t="str">
        <f t="shared" si="5"/>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4"/>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4</v>
      </c>
      <c r="AC25">
        <v>2</v>
      </c>
      <c r="AD25" s="42">
        <f>SUM(Term2_Day_4[Instructional Time])</f>
        <v>0</v>
      </c>
      <c r="AE25" s="42">
        <f>SUM(Term2_Day_4[Assigned Time (Non-Instructional)])</f>
        <v>0</v>
      </c>
      <c r="AF25" s="42">
        <f t="shared" si="6"/>
        <v>0</v>
      </c>
    </row>
    <row r="26" spans="3:32" x14ac:dyDescent="0.3">
      <c r="C26">
        <v>8</v>
      </c>
      <c r="D26" s="37">
        <v>45142</v>
      </c>
      <c r="E26">
        <v>0</v>
      </c>
      <c r="F26">
        <f t="shared" si="3"/>
        <v>0</v>
      </c>
      <c r="K26" s="37"/>
      <c r="L26"/>
      <c r="N26" t="str">
        <f t="shared" si="5"/>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4"/>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5</v>
      </c>
      <c r="AC26">
        <v>2</v>
      </c>
      <c r="AD26" s="42">
        <f>SUM(Term2_Day_5[Instructional Time])</f>
        <v>0</v>
      </c>
      <c r="AE26" s="42">
        <f>SUM(Term2_Day_5[Assigned Time (Non-Instructional)])</f>
        <v>0</v>
      </c>
      <c r="AF26" s="42">
        <f t="shared" si="6"/>
        <v>0</v>
      </c>
    </row>
    <row r="27" spans="3:32" x14ac:dyDescent="0.3">
      <c r="C27">
        <v>8</v>
      </c>
      <c r="D27" s="37">
        <v>45143</v>
      </c>
      <c r="E27">
        <v>0</v>
      </c>
      <c r="F27">
        <f t="shared" si="3"/>
        <v>0</v>
      </c>
      <c r="K27" s="37"/>
      <c r="L27"/>
      <c r="N27" t="str">
        <f t="shared" si="5"/>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4"/>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6</v>
      </c>
      <c r="AC27">
        <v>2</v>
      </c>
      <c r="AD27" s="42">
        <f>SUM(Term2_Day_6[Instructional Time])</f>
        <v>0</v>
      </c>
      <c r="AE27" s="42">
        <f>SUM(Term2_Day_6[Assigned Time (Non-Instructional)])</f>
        <v>0</v>
      </c>
      <c r="AF27" s="42">
        <f t="shared" si="6"/>
        <v>0</v>
      </c>
    </row>
    <row r="28" spans="3:32" x14ac:dyDescent="0.3">
      <c r="C28">
        <v>8</v>
      </c>
      <c r="D28" s="37" cm="1">
        <f t="array" ref="D28:D34">TRANSPOSE(Calendar!B13:H13)</f>
        <v>45144</v>
      </c>
      <c r="E28" cm="1">
        <f t="array" ref="E28:E34">TRANSPOSE(Calendar!B14:H14)</f>
        <v>0</v>
      </c>
      <c r="F28">
        <f t="shared" si="3"/>
        <v>0</v>
      </c>
      <c r="K28" s="37"/>
      <c r="L28"/>
      <c r="N28" t="str">
        <f t="shared" si="5"/>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4"/>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7</v>
      </c>
      <c r="AC28">
        <v>2</v>
      </c>
      <c r="AD28" s="42">
        <f>SUM(Term2_Day_7[Instructional Time])</f>
        <v>0</v>
      </c>
      <c r="AE28" s="42">
        <f>SUM(Term2_Day_7[Assigned Time (Non-Instructional)])</f>
        <v>0</v>
      </c>
      <c r="AF28" s="42">
        <f t="shared" ref="AF28:AF30" si="7">+AD28+AE28</f>
        <v>0</v>
      </c>
    </row>
    <row r="29" spans="3:32" x14ac:dyDescent="0.3">
      <c r="C29">
        <v>8</v>
      </c>
      <c r="D29" s="37">
        <v>45145</v>
      </c>
      <c r="E29">
        <v>0</v>
      </c>
      <c r="F29">
        <f t="shared" si="3"/>
        <v>0</v>
      </c>
      <c r="K29" s="37"/>
      <c r="L29"/>
      <c r="N29" t="str">
        <f t="shared" si="5"/>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4"/>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8</v>
      </c>
      <c r="AC29">
        <v>2</v>
      </c>
      <c r="AD29" s="42">
        <f>SUM(Term2_Day_8[Instructional Time])</f>
        <v>0</v>
      </c>
      <c r="AE29" s="42">
        <f>SUM(Term2_Day_8[Assigned Time (Non-Instructional)])</f>
        <v>0</v>
      </c>
      <c r="AF29" s="42">
        <f t="shared" si="7"/>
        <v>0</v>
      </c>
    </row>
    <row r="30" spans="3:32" x14ac:dyDescent="0.3">
      <c r="C30">
        <v>8</v>
      </c>
      <c r="D30" s="37">
        <v>45146</v>
      </c>
      <c r="E30">
        <v>0</v>
      </c>
      <c r="F30">
        <f t="shared" si="3"/>
        <v>0</v>
      </c>
      <c r="K30" s="37"/>
      <c r="L30"/>
      <c r="N30" t="str">
        <f t="shared" si="5"/>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4"/>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9</v>
      </c>
      <c r="AC30">
        <v>2</v>
      </c>
      <c r="AD30" s="42">
        <f>SUM(Term2_Day_9[Instructional Time])</f>
        <v>0</v>
      </c>
      <c r="AE30" s="42">
        <f>SUM(Term2_Day_9[Assigned Time (Non-Instructional)])</f>
        <v>0</v>
      </c>
      <c r="AF30" s="42">
        <f t="shared" si="7"/>
        <v>0</v>
      </c>
    </row>
    <row r="31" spans="3:32" x14ac:dyDescent="0.3">
      <c r="C31">
        <v>8</v>
      </c>
      <c r="D31" s="37">
        <v>45147</v>
      </c>
      <c r="E31">
        <v>0</v>
      </c>
      <c r="F31">
        <f t="shared" si="3"/>
        <v>0</v>
      </c>
      <c r="K31" s="37"/>
      <c r="L31"/>
      <c r="N31" t="str">
        <f t="shared" si="5"/>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4"/>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10</v>
      </c>
      <c r="AC31">
        <v>2</v>
      </c>
      <c r="AD31" s="42">
        <f>SUM(Term2_Day_10[Instructional Time])</f>
        <v>0</v>
      </c>
      <c r="AE31" s="42">
        <f>SUM(Term2_Day_10[Assigned Time (Non-Instructional)])</f>
        <v>0</v>
      </c>
      <c r="AF31" s="42">
        <f t="shared" si="6"/>
        <v>0</v>
      </c>
    </row>
    <row r="32" spans="3:32" x14ac:dyDescent="0.3">
      <c r="C32">
        <v>8</v>
      </c>
      <c r="D32" s="37">
        <v>45148</v>
      </c>
      <c r="E32">
        <v>0</v>
      </c>
      <c r="F32">
        <f t="shared" si="3"/>
        <v>0</v>
      </c>
      <c r="K32" s="37"/>
      <c r="L32"/>
      <c r="N32" t="str">
        <f t="shared" si="5"/>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4"/>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90</v>
      </c>
      <c r="AC32">
        <v>2</v>
      </c>
      <c r="AD32" s="42">
        <f>SUM(Term2_Early_Dismissal_1[Instructional Time])</f>
        <v>0</v>
      </c>
      <c r="AE32" s="42">
        <f>SUM(Term2_Early_Dismissal_1[Assigned Time (Non-Instructional)])</f>
        <v>0</v>
      </c>
      <c r="AF32">
        <f t="shared" si="6"/>
        <v>0</v>
      </c>
    </row>
    <row r="33" spans="3:32" x14ac:dyDescent="0.3">
      <c r="C33">
        <v>8</v>
      </c>
      <c r="D33" s="37">
        <v>45149</v>
      </c>
      <c r="E33">
        <v>0</v>
      </c>
      <c r="F33">
        <f t="shared" si="3"/>
        <v>0</v>
      </c>
      <c r="K33" s="37"/>
      <c r="L33"/>
      <c r="N33" t="str">
        <f t="shared" si="5"/>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4"/>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91</v>
      </c>
      <c r="AC33">
        <v>2</v>
      </c>
      <c r="AD33" s="42">
        <f>SUM(Term2_Early_Dismissal_1[Instructional Time])</f>
        <v>0</v>
      </c>
      <c r="AE33" s="42">
        <f>SUM(Term2_Early_Dismissal_2[Assigned Time (Non-Instructional)])</f>
        <v>0</v>
      </c>
      <c r="AF33">
        <f t="shared" si="6"/>
        <v>0</v>
      </c>
    </row>
    <row r="34" spans="3:32" x14ac:dyDescent="0.3">
      <c r="C34">
        <v>8</v>
      </c>
      <c r="D34" s="37">
        <v>45150</v>
      </c>
      <c r="E34">
        <v>0</v>
      </c>
      <c r="F34">
        <f t="shared" si="3"/>
        <v>0</v>
      </c>
      <c r="K34" s="37"/>
      <c r="L34"/>
      <c r="N34" t="str">
        <f t="shared" si="5"/>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4"/>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92</v>
      </c>
      <c r="AC34">
        <v>2</v>
      </c>
      <c r="AD34" s="42">
        <f>SUM(Term2_Early_Dismissal_3[Instructional Time])</f>
        <v>0</v>
      </c>
      <c r="AE34" s="42">
        <f>SUM(Term2_Early_Dismissal_3[Assigned Time (Non-Instructional)])</f>
        <v>0</v>
      </c>
      <c r="AF34">
        <f t="shared" si="6"/>
        <v>0</v>
      </c>
    </row>
    <row r="35" spans="3:32" x14ac:dyDescent="0.3">
      <c r="C35">
        <v>8</v>
      </c>
      <c r="D35" s="37" cm="1">
        <f t="array" ref="D35:D41">TRANSPOSE(Calendar!B15:H15)</f>
        <v>45151</v>
      </c>
      <c r="E35" cm="1">
        <f t="array" ref="E35:E41">TRANSPOSE(Calendar!B16:H16)</f>
        <v>0</v>
      </c>
      <c r="F35">
        <f t="shared" si="3"/>
        <v>0</v>
      </c>
      <c r="K35" s="37"/>
      <c r="L35"/>
      <c r="N35" t="str">
        <f t="shared" si="5"/>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4"/>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95</v>
      </c>
      <c r="AC35">
        <v>2</v>
      </c>
      <c r="AD35" s="42">
        <f>SUM(Term2_Special_Day_1[Instructional Time])</f>
        <v>0</v>
      </c>
      <c r="AE35" s="42">
        <f>SUM(Term2_Special_Day_1[Assigned Time (Non-Instructional)])</f>
        <v>0</v>
      </c>
      <c r="AF35">
        <f t="shared" si="6"/>
        <v>0</v>
      </c>
    </row>
    <row r="36" spans="3:32" x14ac:dyDescent="0.3">
      <c r="C36">
        <v>8</v>
      </c>
      <c r="D36" s="37">
        <v>45152</v>
      </c>
      <c r="E36">
        <v>0</v>
      </c>
      <c r="F36">
        <f t="shared" si="3"/>
        <v>0</v>
      </c>
      <c r="K36" s="37"/>
      <c r="L36"/>
      <c r="N36" t="str">
        <f t="shared" si="5"/>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4"/>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96</v>
      </c>
      <c r="AC36">
        <v>2</v>
      </c>
      <c r="AD36" s="42">
        <f>SUM(Term2_Special_Day_2[Instructional Time])</f>
        <v>0</v>
      </c>
      <c r="AE36" s="42">
        <f>SUM(Term2_Special_Day_2[Assigned Time (Non-Instructional)])</f>
        <v>0</v>
      </c>
      <c r="AF36">
        <f t="shared" si="6"/>
        <v>0</v>
      </c>
    </row>
    <row r="37" spans="3:32" x14ac:dyDescent="0.3">
      <c r="C37">
        <v>8</v>
      </c>
      <c r="D37" s="37">
        <v>45153</v>
      </c>
      <c r="E37">
        <v>0</v>
      </c>
      <c r="F37">
        <f t="shared" si="3"/>
        <v>0</v>
      </c>
      <c r="K37" s="37"/>
      <c r="L37"/>
      <c r="N37" t="str">
        <f t="shared" si="5"/>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4"/>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97</v>
      </c>
      <c r="AC37">
        <v>2</v>
      </c>
      <c r="AD37" s="42">
        <f>SUM(Term2_Special_Day_3[Instructional Time])</f>
        <v>0</v>
      </c>
      <c r="AE37" s="42">
        <f>SUM(Term2_Special_Day_3[Assigned Time (Non-Instructional)])</f>
        <v>0</v>
      </c>
      <c r="AF37">
        <f t="shared" si="6"/>
        <v>0</v>
      </c>
    </row>
    <row r="38" spans="3:32" x14ac:dyDescent="0.3">
      <c r="C38">
        <v>8</v>
      </c>
      <c r="D38" s="37">
        <v>45154</v>
      </c>
      <c r="E38">
        <v>0</v>
      </c>
      <c r="F38">
        <f t="shared" si="3"/>
        <v>0</v>
      </c>
      <c r="K38" s="37"/>
      <c r="L38"/>
      <c r="N38" t="str">
        <f t="shared" si="5"/>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4"/>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99</v>
      </c>
      <c r="AC38">
        <v>2</v>
      </c>
      <c r="AD38">
        <v>0</v>
      </c>
      <c r="AE38">
        <v>360</v>
      </c>
      <c r="AF38">
        <f t="shared" si="6"/>
        <v>360</v>
      </c>
    </row>
    <row r="39" spans="3:32" x14ac:dyDescent="0.3">
      <c r="C39">
        <v>8</v>
      </c>
      <c r="D39" s="37">
        <v>45155</v>
      </c>
      <c r="E39">
        <v>0</v>
      </c>
      <c r="F39">
        <f t="shared" si="3"/>
        <v>0</v>
      </c>
      <c r="K39" s="37"/>
      <c r="L39"/>
      <c r="N39" t="str">
        <f t="shared" si="5"/>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4"/>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100</v>
      </c>
      <c r="AC39">
        <v>2</v>
      </c>
      <c r="AD39">
        <v>0</v>
      </c>
      <c r="AE39">
        <v>0</v>
      </c>
      <c r="AF39" s="42">
        <f>+AD39+AE39</f>
        <v>0</v>
      </c>
    </row>
    <row r="40" spans="3:32" x14ac:dyDescent="0.3">
      <c r="C40">
        <v>8</v>
      </c>
      <c r="D40" s="37">
        <v>45156</v>
      </c>
      <c r="E40">
        <v>0</v>
      </c>
      <c r="F40">
        <f t="shared" si="3"/>
        <v>0</v>
      </c>
      <c r="K40" s="37"/>
      <c r="L40"/>
      <c r="N40" t="str">
        <f t="shared" si="5"/>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4"/>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1</v>
      </c>
      <c r="AC40">
        <v>3</v>
      </c>
      <c r="AD40" s="42">
        <f>SUM(Term3_Day_1[Instructional Time])</f>
        <v>0</v>
      </c>
      <c r="AE40" s="42">
        <f>SUM(Term3_Day_1[Assigned Time (Non-Instructional)])</f>
        <v>0</v>
      </c>
      <c r="AF40" s="42">
        <f t="shared" ref="AF40:AF56" si="8">+AD40+AE40</f>
        <v>0</v>
      </c>
    </row>
    <row r="41" spans="3:32" x14ac:dyDescent="0.3">
      <c r="C41">
        <v>8</v>
      </c>
      <c r="D41" s="37">
        <v>45157</v>
      </c>
      <c r="E41">
        <v>0</v>
      </c>
      <c r="F41">
        <f t="shared" si="3"/>
        <v>0</v>
      </c>
      <c r="K41" s="37"/>
      <c r="L41"/>
      <c r="N41" t="str">
        <f t="shared" si="5"/>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4"/>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2</v>
      </c>
      <c r="AC41">
        <v>3</v>
      </c>
      <c r="AD41" s="42">
        <f>SUM(Term3_Day_2[Instructional Time])</f>
        <v>0</v>
      </c>
      <c r="AE41" s="42">
        <f>SUM(Term3_Day_2[Assigned Time (Non-Instructional)])</f>
        <v>0</v>
      </c>
      <c r="AF41" s="42">
        <f t="shared" si="8"/>
        <v>0</v>
      </c>
    </row>
    <row r="42" spans="3:32" x14ac:dyDescent="0.3">
      <c r="C42">
        <v>8</v>
      </c>
      <c r="D42" s="37" cm="1">
        <f t="array" ref="D42:D48">TRANSPOSE(Calendar!B17:H17)</f>
        <v>45158</v>
      </c>
      <c r="E42" cm="1">
        <f t="array" ref="E42:E48">TRANSPOSE(Calendar!B18:H18)</f>
        <v>0</v>
      </c>
      <c r="F42">
        <f t="shared" si="3"/>
        <v>0</v>
      </c>
      <c r="K42" s="37"/>
      <c r="L42"/>
      <c r="N42" t="str">
        <f t="shared" si="5"/>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4"/>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3</v>
      </c>
      <c r="AC42">
        <v>3</v>
      </c>
      <c r="AD42" s="42">
        <f>SUM(Term3_Day_3[Instructional Time])</f>
        <v>0</v>
      </c>
      <c r="AE42" s="42">
        <f>SUM(Term3_Day_3[Assigned Time (Non-Instructional)])</f>
        <v>0</v>
      </c>
      <c r="AF42" s="42">
        <f t="shared" si="8"/>
        <v>0</v>
      </c>
    </row>
    <row r="43" spans="3:32" x14ac:dyDescent="0.3">
      <c r="C43">
        <v>8</v>
      </c>
      <c r="D43" s="37">
        <v>45159</v>
      </c>
      <c r="E43">
        <v>0</v>
      </c>
      <c r="F43">
        <f t="shared" si="3"/>
        <v>0</v>
      </c>
      <c r="K43" s="37"/>
      <c r="L43"/>
      <c r="N43" t="str">
        <f t="shared" si="5"/>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4"/>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4</v>
      </c>
      <c r="AC43">
        <v>3</v>
      </c>
      <c r="AD43" s="42">
        <f>SUM(Term3_Day_4[Instructional Time])</f>
        <v>0</v>
      </c>
      <c r="AE43" s="42">
        <f>SUM(Term3_Day_4[Assigned Time (Non-Instructional)])</f>
        <v>0</v>
      </c>
      <c r="AF43" s="42">
        <f t="shared" si="8"/>
        <v>0</v>
      </c>
    </row>
    <row r="44" spans="3:32" x14ac:dyDescent="0.3">
      <c r="C44">
        <v>8</v>
      </c>
      <c r="D44" s="37">
        <v>45160</v>
      </c>
      <c r="E44">
        <v>0</v>
      </c>
      <c r="F44">
        <f t="shared" si="3"/>
        <v>0</v>
      </c>
      <c r="K44" s="37"/>
      <c r="L44"/>
      <c r="N44" t="str">
        <f t="shared" si="5"/>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4"/>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5</v>
      </c>
      <c r="AC44">
        <v>3</v>
      </c>
      <c r="AD44" s="42">
        <f>SUM(Term3_Day_5[Instructional Time])</f>
        <v>0</v>
      </c>
      <c r="AE44" s="42">
        <f>SUM(Term3_Day_5[Assigned Time (Non-Instructional)])</f>
        <v>0</v>
      </c>
      <c r="AF44" s="42">
        <f t="shared" si="8"/>
        <v>0</v>
      </c>
    </row>
    <row r="45" spans="3:32" x14ac:dyDescent="0.3">
      <c r="C45">
        <v>8</v>
      </c>
      <c r="D45" s="37">
        <v>45161</v>
      </c>
      <c r="E45">
        <v>0</v>
      </c>
      <c r="F45">
        <f t="shared" si="3"/>
        <v>0</v>
      </c>
      <c r="K45" s="37"/>
      <c r="L45"/>
      <c r="N45" t="str">
        <f t="shared" si="5"/>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4"/>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6</v>
      </c>
      <c r="AC45">
        <v>3</v>
      </c>
      <c r="AD45" s="42">
        <f>SUM(Term3_Day_6[Instructional Time])</f>
        <v>0</v>
      </c>
      <c r="AE45" s="42">
        <f>SUM(Term3_Day_6[Assigned Time (Non-Instructional)])</f>
        <v>0</v>
      </c>
      <c r="AF45" s="42">
        <f t="shared" si="8"/>
        <v>0</v>
      </c>
    </row>
    <row r="46" spans="3:32" x14ac:dyDescent="0.3">
      <c r="C46">
        <v>8</v>
      </c>
      <c r="D46" s="37">
        <v>45162</v>
      </c>
      <c r="E46">
        <v>0</v>
      </c>
      <c r="F46">
        <f t="shared" si="3"/>
        <v>0</v>
      </c>
      <c r="K46" s="37"/>
      <c r="L46"/>
      <c r="N46" t="str">
        <f t="shared" si="5"/>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4"/>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7</v>
      </c>
      <c r="AC46">
        <v>3</v>
      </c>
      <c r="AD46" s="42">
        <f>SUM(Term3_Day_7[Instructional Time])</f>
        <v>0</v>
      </c>
      <c r="AE46" s="42">
        <f>SUM(Term3_Day_7[Assigned Time (Non-Instructional)])</f>
        <v>0</v>
      </c>
      <c r="AF46" s="42">
        <f t="shared" ref="AF46:AF48" si="9">+AD46+AE46</f>
        <v>0</v>
      </c>
    </row>
    <row r="47" spans="3:32" x14ac:dyDescent="0.3">
      <c r="C47">
        <v>8</v>
      </c>
      <c r="D47" s="37">
        <v>45163</v>
      </c>
      <c r="E47">
        <v>0</v>
      </c>
      <c r="F47">
        <f t="shared" si="3"/>
        <v>0</v>
      </c>
      <c r="K47" s="37"/>
      <c r="L47"/>
      <c r="N47" t="str">
        <f t="shared" si="5"/>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4"/>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8</v>
      </c>
      <c r="AC47">
        <v>3</v>
      </c>
      <c r="AD47" s="42">
        <f>SUM(Term3_Day_8[Instructional Time])</f>
        <v>0</v>
      </c>
      <c r="AE47" s="42">
        <f>SUM(Term3_Day_8[Assigned Time (Non-Instructional)])</f>
        <v>0</v>
      </c>
      <c r="AF47" s="42">
        <f t="shared" si="9"/>
        <v>0</v>
      </c>
    </row>
    <row r="48" spans="3:32" x14ac:dyDescent="0.3">
      <c r="C48">
        <v>8</v>
      </c>
      <c r="D48" s="37">
        <v>45164</v>
      </c>
      <c r="E48">
        <v>0</v>
      </c>
      <c r="F48">
        <f t="shared" si="3"/>
        <v>0</v>
      </c>
      <c r="K48" s="37"/>
      <c r="L48"/>
      <c r="N48" t="str">
        <f t="shared" si="5"/>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4"/>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9</v>
      </c>
      <c r="AC48">
        <v>3</v>
      </c>
      <c r="AD48" s="42">
        <f>SUM(Term3_Day_9[Instructional Time])</f>
        <v>0</v>
      </c>
      <c r="AE48" s="42">
        <f>SUM(Term3_Day_9[Assigned Time (Non-Instructional)])</f>
        <v>0</v>
      </c>
      <c r="AF48" s="42">
        <f t="shared" si="9"/>
        <v>0</v>
      </c>
    </row>
    <row r="49" spans="3:32" x14ac:dyDescent="0.3">
      <c r="C49">
        <v>8</v>
      </c>
      <c r="D49" s="37" cm="1">
        <f t="array" ref="D49:D55">TRANSPOSE(Calendar!B19:H19)</f>
        <v>45165</v>
      </c>
      <c r="E49" cm="1">
        <f t="array" ref="E49:E55">TRANSPOSE(Calendar!B20:H20)</f>
        <v>0</v>
      </c>
      <c r="F49">
        <f t="shared" si="3"/>
        <v>0</v>
      </c>
      <c r="K49" s="37"/>
      <c r="L49"/>
      <c r="N49" t="str">
        <f t="shared" si="5"/>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4"/>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10</v>
      </c>
      <c r="AC49">
        <v>3</v>
      </c>
      <c r="AD49" s="42">
        <f>SUM(Term3_Day_10[Instructional Time])</f>
        <v>0</v>
      </c>
      <c r="AE49" s="42">
        <f>SUM(Term3_Day_10[Assigned Time (Non-Instructional)])</f>
        <v>0</v>
      </c>
      <c r="AF49" s="42">
        <f t="shared" si="8"/>
        <v>0</v>
      </c>
    </row>
    <row r="50" spans="3:32" x14ac:dyDescent="0.3">
      <c r="C50">
        <v>8</v>
      </c>
      <c r="D50" s="37">
        <v>45166</v>
      </c>
      <c r="E50">
        <v>0</v>
      </c>
      <c r="F50">
        <f t="shared" si="3"/>
        <v>0</v>
      </c>
      <c r="K50" s="37"/>
      <c r="L50"/>
      <c r="N50" t="str">
        <f t="shared" si="5"/>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4"/>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90</v>
      </c>
      <c r="AC50">
        <v>3</v>
      </c>
      <c r="AD50" s="42">
        <f>SUM(Term3_Early_Dismissal_1[Instructional Time])</f>
        <v>0</v>
      </c>
      <c r="AE50" s="42">
        <f>SUM(Term3_Early_Dismissal_1[Assigned Time (Non-Instructional)])</f>
        <v>0</v>
      </c>
      <c r="AF50">
        <f t="shared" si="8"/>
        <v>0</v>
      </c>
    </row>
    <row r="51" spans="3:32" x14ac:dyDescent="0.3">
      <c r="C51">
        <v>8</v>
      </c>
      <c r="D51" s="37">
        <v>45167</v>
      </c>
      <c r="E51">
        <v>0</v>
      </c>
      <c r="F51">
        <f t="shared" si="3"/>
        <v>0</v>
      </c>
      <c r="K51" s="37"/>
      <c r="L51"/>
      <c r="N51" t="str">
        <f t="shared" si="5"/>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4"/>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91</v>
      </c>
      <c r="AC51">
        <v>3</v>
      </c>
      <c r="AD51" s="42">
        <f>SUM(Term3_Early_Dismissal_1[Instructional Time])</f>
        <v>0</v>
      </c>
      <c r="AE51" s="42">
        <f>SUM(Term3_Early_Dismissal_2[Assigned Time (Non-Instructional)])</f>
        <v>0</v>
      </c>
      <c r="AF51">
        <f t="shared" si="8"/>
        <v>0</v>
      </c>
    </row>
    <row r="52" spans="3:32" x14ac:dyDescent="0.3">
      <c r="C52">
        <v>8</v>
      </c>
      <c r="D52" s="37">
        <v>45168</v>
      </c>
      <c r="E52">
        <v>0</v>
      </c>
      <c r="F52">
        <f t="shared" si="3"/>
        <v>0</v>
      </c>
      <c r="K52" s="37"/>
      <c r="L52"/>
      <c r="N52" t="str">
        <f t="shared" si="5"/>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4"/>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92</v>
      </c>
      <c r="AC52">
        <v>3</v>
      </c>
      <c r="AD52" s="42">
        <f>SUM(Term3_Early_Dismissal_3[Instructional Time])</f>
        <v>0</v>
      </c>
      <c r="AE52" s="42">
        <f>SUM(Term3_Early_Dismissal_3[Assigned Time (Non-Instructional)])</f>
        <v>0</v>
      </c>
      <c r="AF52">
        <f t="shared" si="8"/>
        <v>0</v>
      </c>
    </row>
    <row r="53" spans="3:32" x14ac:dyDescent="0.3">
      <c r="C53">
        <v>8</v>
      </c>
      <c r="D53" s="37">
        <v>45169</v>
      </c>
      <c r="E53">
        <v>0</v>
      </c>
      <c r="F53">
        <f t="shared" si="3"/>
        <v>0</v>
      </c>
      <c r="K53" s="37"/>
      <c r="L53"/>
      <c r="N53" t="str">
        <f t="shared" si="5"/>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10">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95</v>
      </c>
      <c r="AC53">
        <v>3</v>
      </c>
      <c r="AD53" s="42">
        <f>SUM(Term3_Special_Day_1[Instructional Time])</f>
        <v>0</v>
      </c>
      <c r="AE53" s="42">
        <f>SUM(Term3_Special_Day_1[Assigned Time (Non-Instructional)])</f>
        <v>0</v>
      </c>
      <c r="AF53">
        <f t="shared" si="8"/>
        <v>0</v>
      </c>
    </row>
    <row r="54" spans="3:32" x14ac:dyDescent="0.3">
      <c r="C54">
        <v>8</v>
      </c>
      <c r="D54" s="37">
        <v>45170</v>
      </c>
      <c r="E54">
        <v>0</v>
      </c>
      <c r="F54">
        <f t="shared" si="3"/>
        <v>0</v>
      </c>
      <c r="K54" s="37"/>
      <c r="L54"/>
      <c r="N54" t="str">
        <f t="shared" si="5"/>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10"/>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96</v>
      </c>
      <c r="AC54">
        <v>3</v>
      </c>
      <c r="AD54" s="42">
        <f>SUM(Term3_Special_Day_2[Instructional Time])</f>
        <v>0</v>
      </c>
      <c r="AE54" s="42">
        <f>SUM(Term3_Special_Day_2[Assigned Time (Non-Instructional)])</f>
        <v>0</v>
      </c>
      <c r="AF54">
        <f t="shared" si="8"/>
        <v>0</v>
      </c>
    </row>
    <row r="55" spans="3:32" x14ac:dyDescent="0.3">
      <c r="C55">
        <v>8</v>
      </c>
      <c r="D55" s="37">
        <v>45171</v>
      </c>
      <c r="E55">
        <v>0</v>
      </c>
      <c r="F55">
        <f t="shared" si="3"/>
        <v>0</v>
      </c>
      <c r="K55" s="37"/>
      <c r="L55"/>
      <c r="N55" t="str">
        <f t="shared" si="5"/>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10"/>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97</v>
      </c>
      <c r="AC55">
        <v>3</v>
      </c>
      <c r="AD55" s="42">
        <f>SUM(Term3_Special_Day_3[Instructional Time])</f>
        <v>0</v>
      </c>
      <c r="AE55" s="42">
        <f>SUM(Term3_Special_Day_3[Assigned Time (Non-Instructional)])</f>
        <v>0</v>
      </c>
      <c r="AF55">
        <f t="shared" si="8"/>
        <v>0</v>
      </c>
    </row>
    <row r="56" spans="3:32" x14ac:dyDescent="0.3">
      <c r="C56">
        <v>8</v>
      </c>
      <c r="D56" s="37" cm="1">
        <f t="array" ref="D56:D57">TRANSPOSE(Calendar!B21:C21)</f>
        <v>45172</v>
      </c>
      <c r="E56" cm="1">
        <f t="array" ref="E56:E57">TRANSPOSE(Calendar!B22:C22)</f>
        <v>0</v>
      </c>
      <c r="F56">
        <f t="shared" si="3"/>
        <v>0</v>
      </c>
      <c r="K56" s="37"/>
      <c r="L56"/>
      <c r="N56" t="str">
        <f t="shared" si="5"/>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10"/>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99</v>
      </c>
      <c r="AC56">
        <v>3</v>
      </c>
      <c r="AD56">
        <v>0</v>
      </c>
      <c r="AE56">
        <v>360</v>
      </c>
      <c r="AF56">
        <f t="shared" si="8"/>
        <v>360</v>
      </c>
    </row>
    <row r="57" spans="3:32" x14ac:dyDescent="0.3">
      <c r="C57">
        <v>8</v>
      </c>
      <c r="D57" s="37">
        <v>45173</v>
      </c>
      <c r="E57">
        <v>0</v>
      </c>
      <c r="F57">
        <f t="shared" si="3"/>
        <v>0</v>
      </c>
      <c r="K57" s="37"/>
      <c r="L57"/>
      <c r="N57" t="str">
        <f t="shared" si="5"/>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10"/>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100</v>
      </c>
      <c r="AC57">
        <v>3</v>
      </c>
      <c r="AD57">
        <v>0</v>
      </c>
      <c r="AE57">
        <v>0</v>
      </c>
      <c r="AF57" s="42">
        <f>+AD57+AE57</f>
        <v>0</v>
      </c>
    </row>
    <row r="58" spans="3:32" x14ac:dyDescent="0.3">
      <c r="C58">
        <v>9</v>
      </c>
      <c r="D58" s="37" cm="1">
        <f t="array" ref="D58:D64">TRANSPOSE(Calendar!B27:H27)</f>
        <v>45165</v>
      </c>
      <c r="E58" cm="1">
        <f t="array" ref="E58:E64">TRANSPOSE(Calendar!B28:H28)</f>
        <v>0</v>
      </c>
      <c r="F58">
        <f t="shared" si="3"/>
        <v>0</v>
      </c>
      <c r="K58" s="37"/>
      <c r="L58"/>
      <c r="N58" t="str">
        <f t="shared" si="5"/>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10"/>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1</v>
      </c>
      <c r="AC58">
        <v>4</v>
      </c>
      <c r="AD58" s="42">
        <f>SUM(Term4_Day_1[Instructional Time])</f>
        <v>0</v>
      </c>
      <c r="AE58" s="42">
        <f>SUM(Term4_Day_1[Assigned Time (Non-Instructional)])</f>
        <v>0</v>
      </c>
      <c r="AF58" s="42">
        <f t="shared" ref="AF58:AF67" si="11">+AD58+AE58</f>
        <v>0</v>
      </c>
    </row>
    <row r="59" spans="3:32" x14ac:dyDescent="0.3">
      <c r="C59">
        <v>9</v>
      </c>
      <c r="D59" s="37">
        <v>45166</v>
      </c>
      <c r="E59">
        <v>0</v>
      </c>
      <c r="F59">
        <f t="shared" si="3"/>
        <v>0</v>
      </c>
      <c r="K59" s="37"/>
      <c r="L59"/>
      <c r="N59" t="str">
        <f t="shared" si="5"/>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10"/>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2</v>
      </c>
      <c r="AC59">
        <v>4</v>
      </c>
      <c r="AD59" s="42">
        <f>SUM(Term4_Day_2[Instructional Time])</f>
        <v>0</v>
      </c>
      <c r="AE59" s="42">
        <f>SUM(Term4_Day_2[Assigned Time (Non-Instructional)])</f>
        <v>0</v>
      </c>
      <c r="AF59" s="42">
        <f t="shared" si="11"/>
        <v>0</v>
      </c>
    </row>
    <row r="60" spans="3:32" x14ac:dyDescent="0.3">
      <c r="C60">
        <v>9</v>
      </c>
      <c r="D60" s="37">
        <v>45167</v>
      </c>
      <c r="E60">
        <v>0</v>
      </c>
      <c r="F60">
        <f t="shared" si="3"/>
        <v>0</v>
      </c>
      <c r="K60" s="37"/>
      <c r="L60"/>
      <c r="N60" t="str">
        <f t="shared" si="5"/>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10"/>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3</v>
      </c>
      <c r="AC60">
        <v>4</v>
      </c>
      <c r="AD60" s="42">
        <f>SUM(Term4_Day_3[Instructional Time])</f>
        <v>0</v>
      </c>
      <c r="AE60" s="42">
        <f>SUM(Term4_Day_3[Assigned Time (Non-Instructional)])</f>
        <v>0</v>
      </c>
      <c r="AF60" s="42">
        <f t="shared" si="11"/>
        <v>0</v>
      </c>
    </row>
    <row r="61" spans="3:32" x14ac:dyDescent="0.3">
      <c r="C61">
        <v>9</v>
      </c>
      <c r="D61" s="37">
        <v>45168</v>
      </c>
      <c r="E61">
        <v>0</v>
      </c>
      <c r="F61">
        <f t="shared" si="3"/>
        <v>0</v>
      </c>
      <c r="K61" s="37"/>
      <c r="L61"/>
      <c r="N61" t="str">
        <f t="shared" si="5"/>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10"/>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4</v>
      </c>
      <c r="AC61">
        <v>4</v>
      </c>
      <c r="AD61" s="42">
        <f>SUM(Term4_Day_4[Instructional Time])</f>
        <v>0</v>
      </c>
      <c r="AE61" s="42">
        <f>SUM(Term4_Day_4[Assigned Time (Non-Instructional)])</f>
        <v>0</v>
      </c>
      <c r="AF61" s="42">
        <f t="shared" si="11"/>
        <v>0</v>
      </c>
    </row>
    <row r="62" spans="3:32" x14ac:dyDescent="0.3">
      <c r="C62">
        <v>9</v>
      </c>
      <c r="D62" s="37">
        <v>45169</v>
      </c>
      <c r="E62">
        <v>0</v>
      </c>
      <c r="F62">
        <f t="shared" si="3"/>
        <v>0</v>
      </c>
      <c r="K62" s="37"/>
      <c r="L62"/>
      <c r="N62" t="str">
        <f t="shared" si="5"/>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10"/>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5</v>
      </c>
      <c r="AC62">
        <v>4</v>
      </c>
      <c r="AD62" s="42">
        <f>SUM(Term4_Day_5[Instructional Time])</f>
        <v>0</v>
      </c>
      <c r="AE62" s="42">
        <f>SUM(Term4_Day_5[Assigned Time (Non-Instructional)])</f>
        <v>0</v>
      </c>
      <c r="AF62" s="42">
        <f t="shared" si="11"/>
        <v>0</v>
      </c>
    </row>
    <row r="63" spans="3:32" x14ac:dyDescent="0.3">
      <c r="C63">
        <v>9</v>
      </c>
      <c r="D63" s="37">
        <v>45170</v>
      </c>
      <c r="E63">
        <v>0</v>
      </c>
      <c r="F63">
        <f t="shared" si="3"/>
        <v>0</v>
      </c>
      <c r="K63" s="37"/>
      <c r="L63"/>
      <c r="N63" t="str">
        <f t="shared" si="5"/>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10"/>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6</v>
      </c>
      <c r="AC63">
        <v>4</v>
      </c>
      <c r="AD63" s="42">
        <f>SUM(Term4_Day_6[Instructional Time])</f>
        <v>0</v>
      </c>
      <c r="AE63" s="42">
        <f>SUM(Term4_Day_6[Assigned Time (Non-Instructional)])</f>
        <v>0</v>
      </c>
      <c r="AF63" s="42">
        <f t="shared" si="11"/>
        <v>0</v>
      </c>
    </row>
    <row r="64" spans="3:32" x14ac:dyDescent="0.3">
      <c r="C64">
        <v>9</v>
      </c>
      <c r="D64" s="37">
        <v>45171</v>
      </c>
      <c r="E64">
        <v>0</v>
      </c>
      <c r="F64">
        <f t="shared" si="3"/>
        <v>0</v>
      </c>
      <c r="K64" s="37"/>
      <c r="L64"/>
      <c r="N64" t="str">
        <f t="shared" si="5"/>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10"/>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c r="AB64">
        <v>7</v>
      </c>
      <c r="AC64">
        <v>4</v>
      </c>
      <c r="AD64" s="42">
        <f>SUM(Term4_Day_7[Instructional Time])</f>
        <v>0</v>
      </c>
      <c r="AE64" s="42">
        <f>SUM(Term4_Day_7[Assigned Time (Non-Instructional)])</f>
        <v>0</v>
      </c>
      <c r="AF64" s="42">
        <f t="shared" ref="AF64:AF66" si="12">+AD64+AE64</f>
        <v>0</v>
      </c>
    </row>
    <row r="65" spans="3:32" x14ac:dyDescent="0.3">
      <c r="C65">
        <v>9</v>
      </c>
      <c r="D65" s="37" cm="1">
        <f t="array" ref="D65:D71">TRANSPOSE(Calendar!B29:H29)</f>
        <v>45172</v>
      </c>
      <c r="E65" cm="1">
        <f t="array" ref="E65:E71">TRANSPOSE(Calendar!B30:H30)</f>
        <v>0</v>
      </c>
      <c r="F65">
        <f t="shared" si="3"/>
        <v>0</v>
      </c>
      <c r="K65" s="37"/>
      <c r="L65"/>
      <c r="N65" t="str">
        <f t="shared" si="5"/>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10"/>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c r="AB65">
        <v>8</v>
      </c>
      <c r="AC65">
        <v>4</v>
      </c>
      <c r="AD65" s="42">
        <f>SUM(Term4_Day_8[Instructional Time])</f>
        <v>0</v>
      </c>
      <c r="AE65" s="42">
        <f>SUM(Term4_Day_8[Assigned Time (Non-Instructional)])</f>
        <v>0</v>
      </c>
      <c r="AF65" s="42">
        <f t="shared" si="12"/>
        <v>0</v>
      </c>
    </row>
    <row r="66" spans="3:32" x14ac:dyDescent="0.3">
      <c r="C66">
        <v>9</v>
      </c>
      <c r="D66" s="37">
        <v>45173</v>
      </c>
      <c r="E66" t="str">
        <v>Closed (non-operational)</v>
      </c>
      <c r="F66">
        <f t="shared" si="3"/>
        <v>0</v>
      </c>
      <c r="K66" s="37"/>
      <c r="L66"/>
      <c r="N66" t="str">
        <f t="shared" si="5"/>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10"/>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c r="AB66">
        <v>9</v>
      </c>
      <c r="AC66">
        <v>4</v>
      </c>
      <c r="AD66" s="42">
        <f>SUM(Term4_Day_9[Instructional Time])</f>
        <v>0</v>
      </c>
      <c r="AE66" s="42">
        <f>SUM(Term4_Day_9[Assigned Time (Non-Instructional)])</f>
        <v>0</v>
      </c>
      <c r="AF66" s="42">
        <f t="shared" si="12"/>
        <v>0</v>
      </c>
    </row>
    <row r="67" spans="3:32" x14ac:dyDescent="0.3">
      <c r="C67">
        <v>9</v>
      </c>
      <c r="D67" s="37">
        <v>45174</v>
      </c>
      <c r="E67">
        <v>0</v>
      </c>
      <c r="F67">
        <f t="shared" si="3"/>
        <v>0</v>
      </c>
      <c r="K67" s="37"/>
      <c r="L67"/>
      <c r="N67" t="str">
        <f t="shared" si="5"/>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10"/>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c r="AB67">
        <v>10</v>
      </c>
      <c r="AC67">
        <v>4</v>
      </c>
      <c r="AD67" s="42">
        <f>SUM(Term4_Day_10[Instructional Time])</f>
        <v>0</v>
      </c>
      <c r="AE67" s="42">
        <f>SUM(Term4_Day_10[Assigned Time (Non-Instructional)])</f>
        <v>0</v>
      </c>
      <c r="AF67" s="42">
        <f t="shared" si="11"/>
        <v>0</v>
      </c>
    </row>
    <row r="68" spans="3:32" x14ac:dyDescent="0.3">
      <c r="C68">
        <v>9</v>
      </c>
      <c r="D68" s="37">
        <v>45175</v>
      </c>
      <c r="E68">
        <v>0</v>
      </c>
      <c r="F68">
        <f t="shared" si="3"/>
        <v>0</v>
      </c>
      <c r="K68" s="37"/>
      <c r="L68"/>
      <c r="N68" t="str">
        <f t="shared" si="5"/>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10"/>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c r="AB68">
        <v>90</v>
      </c>
      <c r="AC68">
        <v>4</v>
      </c>
      <c r="AD68" s="42">
        <f>SUM(Term4_Early_Dismissal_1[Instructional Time])</f>
        <v>0</v>
      </c>
      <c r="AE68" s="42">
        <f>SUM(Term4_Early_Dismissal_1[Assigned Time (Non-Instructional)])</f>
        <v>0</v>
      </c>
      <c r="AF68">
        <f t="shared" si="0"/>
        <v>0</v>
      </c>
    </row>
    <row r="69" spans="3:32" x14ac:dyDescent="0.3">
      <c r="C69">
        <v>9</v>
      </c>
      <c r="D69" s="37">
        <v>45176</v>
      </c>
      <c r="E69">
        <v>0</v>
      </c>
      <c r="F69">
        <f t="shared" si="3"/>
        <v>0</v>
      </c>
      <c r="K69" s="37"/>
      <c r="L69"/>
      <c r="N69" t="str">
        <f t="shared" si="5"/>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10"/>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c r="AB69">
        <v>91</v>
      </c>
      <c r="AC69">
        <v>4</v>
      </c>
      <c r="AD69" s="42">
        <f>SUM(Term4_Early_Dismissal_1[Instructional Time])</f>
        <v>0</v>
      </c>
      <c r="AE69" s="42">
        <f>SUM(Term4_Early_Dismissal_2[Assigned Time (Non-Instructional)])</f>
        <v>0</v>
      </c>
      <c r="AF69">
        <f t="shared" si="0"/>
        <v>0</v>
      </c>
    </row>
    <row r="70" spans="3:32" x14ac:dyDescent="0.3">
      <c r="C70">
        <v>9</v>
      </c>
      <c r="D70" s="37">
        <v>45177</v>
      </c>
      <c r="E70">
        <v>0</v>
      </c>
      <c r="F70">
        <f t="shared" si="3"/>
        <v>0</v>
      </c>
      <c r="K70" s="37"/>
      <c r="L70"/>
      <c r="N70" t="str">
        <f t="shared" si="5"/>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10"/>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c r="AB70">
        <v>92</v>
      </c>
      <c r="AC70">
        <v>4</v>
      </c>
      <c r="AD70" s="42">
        <f>SUM(Term4_Early_Dismissal_3[Instructional Time])</f>
        <v>0</v>
      </c>
      <c r="AE70" s="42">
        <f>SUM(Term4_Early_Dismissal_3[Assigned Time (Non-Instructional)])</f>
        <v>0</v>
      </c>
      <c r="AF70">
        <f t="shared" si="0"/>
        <v>0</v>
      </c>
    </row>
    <row r="71" spans="3:32" x14ac:dyDescent="0.3">
      <c r="C71">
        <v>9</v>
      </c>
      <c r="D71" s="37">
        <v>45178</v>
      </c>
      <c r="E71">
        <v>0</v>
      </c>
      <c r="F71">
        <f t="shared" si="3"/>
        <v>0</v>
      </c>
      <c r="K71" s="37"/>
      <c r="L71"/>
      <c r="N71" t="str">
        <f t="shared" si="5"/>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10"/>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c r="AB71">
        <v>95</v>
      </c>
      <c r="AC71">
        <v>4</v>
      </c>
      <c r="AD71" s="42">
        <f>SUM(Term4_Special_Day_1[Instructional Time])</f>
        <v>0</v>
      </c>
      <c r="AE71" s="42">
        <f>SUM(Term4_Special_Day_1[Assigned Time (Non-Instructional)])</f>
        <v>0</v>
      </c>
      <c r="AF71">
        <f t="shared" si="0"/>
        <v>0</v>
      </c>
    </row>
    <row r="72" spans="3:32" x14ac:dyDescent="0.3">
      <c r="C72">
        <v>9</v>
      </c>
      <c r="D72" s="37" cm="1">
        <f t="array" ref="D72:D78">TRANSPOSE(Calendar!B31:H31)</f>
        <v>45179</v>
      </c>
      <c r="E72" cm="1">
        <f t="array" ref="E72:E78">TRANSPOSE(Calendar!B32:H32)</f>
        <v>0</v>
      </c>
      <c r="F72">
        <f t="shared" si="3"/>
        <v>0</v>
      </c>
      <c r="K72" s="37"/>
      <c r="L72"/>
      <c r="N72" t="str">
        <f t="shared" si="5"/>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10"/>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c r="AB72">
        <v>96</v>
      </c>
      <c r="AC72">
        <v>4</v>
      </c>
      <c r="AD72" s="42">
        <f>SUM(Term4_Special_Day_2[Instructional Time])</f>
        <v>0</v>
      </c>
      <c r="AE72" s="42">
        <f>SUM(Term4_Special_Day_2[Assigned Time (Non-Instructional)])</f>
        <v>0</v>
      </c>
      <c r="AF72">
        <f t="shared" si="0"/>
        <v>0</v>
      </c>
    </row>
    <row r="73" spans="3:32" x14ac:dyDescent="0.3">
      <c r="C73">
        <v>9</v>
      </c>
      <c r="D73" s="37">
        <v>45180</v>
      </c>
      <c r="E73">
        <v>0</v>
      </c>
      <c r="F73">
        <f t="shared" si="3"/>
        <v>0</v>
      </c>
      <c r="K73" s="37"/>
      <c r="L73"/>
      <c r="N73" t="str">
        <f t="shared" si="5"/>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10"/>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c r="AB73">
        <v>97</v>
      </c>
      <c r="AC73">
        <v>4</v>
      </c>
      <c r="AD73" s="42">
        <f>SUM(Term4_Special_Day_3[Instructional Time])</f>
        <v>0</v>
      </c>
      <c r="AE73" s="42">
        <f>SUM(Term4_Special_Day_3[Assigned Time (Non-Instructional)])</f>
        <v>0</v>
      </c>
      <c r="AF73">
        <f t="shared" si="0"/>
        <v>0</v>
      </c>
    </row>
    <row r="74" spans="3:32" x14ac:dyDescent="0.3">
      <c r="C74">
        <v>9</v>
      </c>
      <c r="D74" s="37">
        <v>45181</v>
      </c>
      <c r="E74">
        <v>0</v>
      </c>
      <c r="F74">
        <f t="shared" si="3"/>
        <v>0</v>
      </c>
      <c r="K74" s="37"/>
      <c r="L74"/>
      <c r="N74" t="str">
        <f t="shared" si="5"/>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10"/>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c r="AB74">
        <v>99</v>
      </c>
      <c r="AC74">
        <v>4</v>
      </c>
      <c r="AD74">
        <v>0</v>
      </c>
      <c r="AE74">
        <v>360</v>
      </c>
      <c r="AF74">
        <f t="shared" si="0"/>
        <v>360</v>
      </c>
    </row>
    <row r="75" spans="3:32" x14ac:dyDescent="0.3">
      <c r="C75">
        <v>9</v>
      </c>
      <c r="D75" s="37">
        <v>45182</v>
      </c>
      <c r="E75">
        <v>0</v>
      </c>
      <c r="F75">
        <f t="shared" si="3"/>
        <v>0</v>
      </c>
      <c r="K75" s="37"/>
      <c r="L75"/>
      <c r="N75" t="str">
        <f t="shared" si="5"/>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10"/>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c r="AB75">
        <v>100</v>
      </c>
      <c r="AC75">
        <v>4</v>
      </c>
      <c r="AD75">
        <v>0</v>
      </c>
      <c r="AE75">
        <v>0</v>
      </c>
      <c r="AF75" s="42">
        <f>+AD75+AE75</f>
        <v>0</v>
      </c>
    </row>
    <row r="76" spans="3:32" x14ac:dyDescent="0.3">
      <c r="C76">
        <v>9</v>
      </c>
      <c r="D76" s="37">
        <v>45183</v>
      </c>
      <c r="E76">
        <v>0</v>
      </c>
      <c r="F76">
        <f t="shared" si="3"/>
        <v>0</v>
      </c>
      <c r="K76" s="37"/>
      <c r="L76"/>
      <c r="N76" t="str">
        <f t="shared" si="5"/>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10"/>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row>
    <row r="77" spans="3:32" x14ac:dyDescent="0.3">
      <c r="C77">
        <v>9</v>
      </c>
      <c r="D77" s="37">
        <v>45184</v>
      </c>
      <c r="E77">
        <v>0</v>
      </c>
      <c r="F77">
        <f t="shared" si="3"/>
        <v>0</v>
      </c>
      <c r="K77" s="37"/>
      <c r="L77"/>
      <c r="N77" t="str">
        <f t="shared" si="5"/>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10"/>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row>
    <row r="78" spans="3:32" x14ac:dyDescent="0.3">
      <c r="C78">
        <v>9</v>
      </c>
      <c r="D78" s="37">
        <v>45185</v>
      </c>
      <c r="E78">
        <v>0</v>
      </c>
      <c r="F78">
        <f t="shared" si="3"/>
        <v>0</v>
      </c>
      <c r="K78" s="37"/>
      <c r="L78"/>
      <c r="N78" t="str">
        <f t="shared" si="5"/>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10"/>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row>
    <row r="79" spans="3:32" x14ac:dyDescent="0.3">
      <c r="C79">
        <v>9</v>
      </c>
      <c r="D79" s="37" cm="1">
        <f t="array" ref="D79:D85">TRANSPOSE(Calendar!B33:H33)</f>
        <v>45186</v>
      </c>
      <c r="E79" cm="1">
        <f t="array" ref="E79:E85">TRANSPOSE(Calendar!B34:H34)</f>
        <v>0</v>
      </c>
      <c r="F79">
        <f t="shared" si="3"/>
        <v>0</v>
      </c>
      <c r="K79" s="37"/>
      <c r="L79"/>
      <c r="N79" t="str">
        <f t="shared" si="5"/>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10"/>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row>
    <row r="80" spans="3:32" x14ac:dyDescent="0.3">
      <c r="C80">
        <v>9</v>
      </c>
      <c r="D80" s="37">
        <v>45187</v>
      </c>
      <c r="E80">
        <v>0</v>
      </c>
      <c r="F80">
        <f t="shared" si="3"/>
        <v>0</v>
      </c>
      <c r="K80" s="37"/>
      <c r="L80"/>
      <c r="N80" t="str">
        <f t="shared" si="5"/>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10"/>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row>
    <row r="81" spans="3:29" x14ac:dyDescent="0.3">
      <c r="C81">
        <v>9</v>
      </c>
      <c r="D81" s="37">
        <v>45188</v>
      </c>
      <c r="E81">
        <v>0</v>
      </c>
      <c r="F81">
        <f t="shared" si="3"/>
        <v>0</v>
      </c>
      <c r="K81" s="37"/>
      <c r="L81"/>
      <c r="N81" t="str">
        <f t="shared" si="5"/>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10"/>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row>
    <row r="82" spans="3:29" x14ac:dyDescent="0.3">
      <c r="C82">
        <v>9</v>
      </c>
      <c r="D82" s="37">
        <v>45189</v>
      </c>
      <c r="E82">
        <v>0</v>
      </c>
      <c r="F82">
        <f t="shared" si="3"/>
        <v>0</v>
      </c>
      <c r="K82" s="37"/>
      <c r="L82"/>
      <c r="N82" t="str">
        <f t="shared" si="5"/>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10"/>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row>
    <row r="83" spans="3:29" x14ac:dyDescent="0.3">
      <c r="C83">
        <v>9</v>
      </c>
      <c r="D83" s="37">
        <v>45190</v>
      </c>
      <c r="E83">
        <v>0</v>
      </c>
      <c r="F83">
        <f t="shared" si="3"/>
        <v>0</v>
      </c>
      <c r="K83" s="37"/>
      <c r="L83"/>
      <c r="N83" t="str">
        <f t="shared" si="5"/>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10"/>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row>
    <row r="84" spans="3:29" x14ac:dyDescent="0.3">
      <c r="C84">
        <v>9</v>
      </c>
      <c r="D84" s="37">
        <v>45191</v>
      </c>
      <c r="E84">
        <v>0</v>
      </c>
      <c r="F84">
        <f t="shared" si="3"/>
        <v>0</v>
      </c>
      <c r="K84" s="37"/>
      <c r="L84"/>
      <c r="N84" t="str">
        <f t="shared" si="5"/>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10"/>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row>
    <row r="85" spans="3:29" x14ac:dyDescent="0.3">
      <c r="C85">
        <v>9</v>
      </c>
      <c r="D85" s="37">
        <v>45192</v>
      </c>
      <c r="E85">
        <v>0</v>
      </c>
      <c r="F85">
        <f t="shared" ref="F85:F148" si="13">IF(AND(MONTH(D85)=C85,D85&gt;=First_Operational_Day,D85&lt;=Last_Operational_Day,WEEKDAY(D85)&lt;&gt;1,WEEKDAY(D85)&lt;&gt;7,E85&lt;&gt;"Closed (non-operational)"),1,0)</f>
        <v>0</v>
      </c>
      <c r="K85" s="37"/>
      <c r="L85"/>
      <c r="N85" t="str">
        <f t="shared" si="5"/>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4">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row>
    <row r="86" spans="3:29" x14ac:dyDescent="0.3">
      <c r="C86">
        <v>9</v>
      </c>
      <c r="D86" s="37" cm="1">
        <f t="array" ref="D86:D92">TRANSPOSE(Calendar!B35:H35)</f>
        <v>45193</v>
      </c>
      <c r="E86" cm="1">
        <f t="array" ref="E86:E92">TRANSPOSE(Calendar!B36:H36)</f>
        <v>0</v>
      </c>
      <c r="F86">
        <f t="shared" si="13"/>
        <v>0</v>
      </c>
      <c r="K86" s="37"/>
      <c r="L86"/>
      <c r="N86" t="str">
        <f t="shared" ref="N86:N149" si="15">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4"/>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row>
    <row r="87" spans="3:29" x14ac:dyDescent="0.3">
      <c r="C87">
        <v>9</v>
      </c>
      <c r="D87" s="37">
        <v>45194</v>
      </c>
      <c r="E87">
        <v>0</v>
      </c>
      <c r="F87">
        <f t="shared" si="13"/>
        <v>0</v>
      </c>
      <c r="K87" s="37"/>
      <c r="L87"/>
      <c r="N87" t="str">
        <f t="shared" si="15"/>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4"/>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row>
    <row r="88" spans="3:29" x14ac:dyDescent="0.3">
      <c r="C88">
        <v>9</v>
      </c>
      <c r="D88" s="37">
        <v>45195</v>
      </c>
      <c r="E88">
        <v>0</v>
      </c>
      <c r="F88">
        <f t="shared" si="13"/>
        <v>0</v>
      </c>
      <c r="K88" s="37"/>
      <c r="L88"/>
      <c r="N88" t="str">
        <f t="shared" si="15"/>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4"/>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row>
    <row r="89" spans="3:29" x14ac:dyDescent="0.3">
      <c r="C89">
        <v>9</v>
      </c>
      <c r="D89" s="37">
        <v>45196</v>
      </c>
      <c r="E89">
        <v>0</v>
      </c>
      <c r="F89">
        <f t="shared" si="13"/>
        <v>0</v>
      </c>
      <c r="K89" s="37"/>
      <c r="L89"/>
      <c r="N89" t="str">
        <f t="shared" si="15"/>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4"/>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row>
    <row r="90" spans="3:29" x14ac:dyDescent="0.3">
      <c r="C90">
        <v>9</v>
      </c>
      <c r="D90" s="37">
        <v>45197</v>
      </c>
      <c r="E90">
        <v>0</v>
      </c>
      <c r="F90">
        <f t="shared" si="13"/>
        <v>0</v>
      </c>
      <c r="K90" s="37"/>
      <c r="L90"/>
      <c r="N90" t="str">
        <f t="shared" si="15"/>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4"/>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29" x14ac:dyDescent="0.3">
      <c r="C91">
        <v>9</v>
      </c>
      <c r="D91" s="37">
        <v>45198</v>
      </c>
      <c r="E91">
        <v>0</v>
      </c>
      <c r="F91">
        <f t="shared" si="13"/>
        <v>0</v>
      </c>
      <c r="K91" s="37"/>
      <c r="L91"/>
      <c r="N91" t="str">
        <f t="shared" si="15"/>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4"/>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29" x14ac:dyDescent="0.3">
      <c r="C92">
        <v>9</v>
      </c>
      <c r="D92" s="37">
        <v>45199</v>
      </c>
      <c r="E92">
        <v>0</v>
      </c>
      <c r="F92">
        <f t="shared" si="13"/>
        <v>0</v>
      </c>
      <c r="K92" s="37"/>
      <c r="L92"/>
      <c r="N92" t="str">
        <f t="shared" si="15"/>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4"/>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29" x14ac:dyDescent="0.3">
      <c r="C93">
        <v>9</v>
      </c>
      <c r="D93" s="37" cm="1">
        <f t="array" ref="D93:D94">TRANSPOSE(Calendar!B37:C37)</f>
        <v>45200</v>
      </c>
      <c r="E93" cm="1">
        <f t="array" ref="E93:E94">TRANSPOSE(Calendar!B38:C38)</f>
        <v>0</v>
      </c>
      <c r="F93">
        <f t="shared" si="13"/>
        <v>0</v>
      </c>
      <c r="K93" s="37"/>
      <c r="L93"/>
      <c r="N93" t="str">
        <f t="shared" si="15"/>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4"/>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c r="AB93" t="s">
        <v>4183</v>
      </c>
      <c r="AC93" t="s">
        <v>4184</v>
      </c>
    </row>
    <row r="94" spans="3:29" x14ac:dyDescent="0.3">
      <c r="C94">
        <v>9</v>
      </c>
      <c r="D94" s="37">
        <v>45201</v>
      </c>
      <c r="E94">
        <v>0</v>
      </c>
      <c r="F94">
        <f t="shared" si="13"/>
        <v>0</v>
      </c>
      <c r="K94" s="37"/>
      <c r="L94"/>
      <c r="N94" t="str">
        <f t="shared" si="15"/>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4"/>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c r="AB94" t="s">
        <v>23</v>
      </c>
      <c r="AC94">
        <v>90</v>
      </c>
    </row>
    <row r="95" spans="3:29" x14ac:dyDescent="0.3">
      <c r="C95">
        <f>+C58+1</f>
        <v>10</v>
      </c>
      <c r="D95" s="37" cm="1">
        <f t="array" ref="D95:D101">TRANSPOSE(Calendar!B43:H43)</f>
        <v>45200</v>
      </c>
      <c r="E95" cm="1">
        <f t="array" ref="E95:E101">TRANSPOSE(Calendar!B44:H44)</f>
        <v>0</v>
      </c>
      <c r="F95">
        <f t="shared" si="13"/>
        <v>0</v>
      </c>
      <c r="K95" s="37"/>
      <c r="L95"/>
      <c r="N95" t="str">
        <f t="shared" si="15"/>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4"/>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c r="AB95" t="s">
        <v>24</v>
      </c>
      <c r="AC95">
        <v>91</v>
      </c>
    </row>
    <row r="96" spans="3:29" x14ac:dyDescent="0.3">
      <c r="C96">
        <f t="shared" ref="C96:C159" si="16">+C59+1</f>
        <v>10</v>
      </c>
      <c r="D96" s="37">
        <v>45201</v>
      </c>
      <c r="E96">
        <v>0</v>
      </c>
      <c r="F96">
        <f t="shared" si="13"/>
        <v>0</v>
      </c>
      <c r="K96" s="37"/>
      <c r="L96"/>
      <c r="N96" t="str">
        <f t="shared" si="15"/>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4"/>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c r="AB96" t="s">
        <v>25</v>
      </c>
      <c r="AC96">
        <v>92</v>
      </c>
    </row>
    <row r="97" spans="3:31" x14ac:dyDescent="0.3">
      <c r="C97">
        <f t="shared" si="16"/>
        <v>10</v>
      </c>
      <c r="D97" s="37">
        <v>45202</v>
      </c>
      <c r="E97">
        <v>0</v>
      </c>
      <c r="F97">
        <f t="shared" si="13"/>
        <v>0</v>
      </c>
      <c r="K97" s="37"/>
      <c r="L97"/>
      <c r="N97" t="str">
        <f t="shared" si="15"/>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4"/>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c r="AB97" t="s">
        <v>26</v>
      </c>
      <c r="AC97">
        <v>95</v>
      </c>
    </row>
    <row r="98" spans="3:31" x14ac:dyDescent="0.3">
      <c r="C98">
        <f t="shared" si="16"/>
        <v>10</v>
      </c>
      <c r="D98" s="37">
        <v>45203</v>
      </c>
      <c r="E98">
        <v>0</v>
      </c>
      <c r="F98">
        <f t="shared" si="13"/>
        <v>0</v>
      </c>
      <c r="K98" s="37"/>
      <c r="L98"/>
      <c r="N98" t="str">
        <f t="shared" si="15"/>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4"/>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27</v>
      </c>
      <c r="AC98">
        <v>96</v>
      </c>
    </row>
    <row r="99" spans="3:31" x14ac:dyDescent="0.3">
      <c r="C99">
        <f t="shared" si="16"/>
        <v>10</v>
      </c>
      <c r="D99" s="37">
        <v>45204</v>
      </c>
      <c r="E99">
        <v>0</v>
      </c>
      <c r="F99">
        <f t="shared" si="13"/>
        <v>0</v>
      </c>
      <c r="K99" s="37"/>
      <c r="L99"/>
      <c r="N99" t="str">
        <f t="shared" si="15"/>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4"/>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28</v>
      </c>
      <c r="AC99">
        <v>97</v>
      </c>
    </row>
    <row r="100" spans="3:31" x14ac:dyDescent="0.3">
      <c r="C100">
        <f t="shared" si="16"/>
        <v>10</v>
      </c>
      <c r="D100" s="37">
        <v>45205</v>
      </c>
      <c r="E100">
        <v>0</v>
      </c>
      <c r="F100">
        <f t="shared" si="13"/>
        <v>0</v>
      </c>
      <c r="K100" s="37"/>
      <c r="L100"/>
      <c r="N100" t="str">
        <f t="shared" si="15"/>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4"/>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4189</v>
      </c>
      <c r="AC100">
        <v>99</v>
      </c>
    </row>
    <row r="101" spans="3:31" x14ac:dyDescent="0.3">
      <c r="C101">
        <f t="shared" si="16"/>
        <v>10</v>
      </c>
      <c r="D101" s="37">
        <v>45206</v>
      </c>
      <c r="E101">
        <v>0</v>
      </c>
      <c r="F101">
        <f t="shared" si="13"/>
        <v>0</v>
      </c>
      <c r="K101" s="37"/>
      <c r="L101"/>
      <c r="N101" t="str">
        <f t="shared" si="15"/>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4"/>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4223</v>
      </c>
      <c r="AC101">
        <v>100</v>
      </c>
    </row>
    <row r="102" spans="3:31" x14ac:dyDescent="0.3">
      <c r="C102">
        <f t="shared" si="16"/>
        <v>10</v>
      </c>
      <c r="D102" s="37" cm="1">
        <f t="array" ref="D102:D108">TRANSPOSE(Calendar!B45:H45)</f>
        <v>45207</v>
      </c>
      <c r="E102" cm="1">
        <f t="array" ref="E102:E108">TRANSPOSE(Calendar!B46:H46)</f>
        <v>0</v>
      </c>
      <c r="F102">
        <f t="shared" si="13"/>
        <v>0</v>
      </c>
      <c r="K102" s="37"/>
      <c r="L102"/>
      <c r="N102" t="str">
        <f t="shared" si="15"/>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4"/>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row>
    <row r="103" spans="3:31" x14ac:dyDescent="0.3">
      <c r="C103">
        <f t="shared" si="16"/>
        <v>10</v>
      </c>
      <c r="D103" s="37">
        <v>45208</v>
      </c>
      <c r="E103" t="str">
        <v>Closed (non-operational)</v>
      </c>
      <c r="F103">
        <f t="shared" si="13"/>
        <v>0</v>
      </c>
      <c r="K103" s="37"/>
      <c r="L103"/>
      <c r="N103" t="str">
        <f t="shared" si="15"/>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4"/>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row>
    <row r="104" spans="3:31" x14ac:dyDescent="0.3">
      <c r="C104">
        <f t="shared" si="16"/>
        <v>10</v>
      </c>
      <c r="D104" s="37">
        <v>45209</v>
      </c>
      <c r="E104">
        <v>0</v>
      </c>
      <c r="F104">
        <f t="shared" si="13"/>
        <v>0</v>
      </c>
      <c r="K104" s="37"/>
      <c r="L104"/>
      <c r="N104" t="str">
        <f t="shared" si="15"/>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4"/>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row>
    <row r="105" spans="3:31" x14ac:dyDescent="0.3">
      <c r="C105">
        <f t="shared" si="16"/>
        <v>10</v>
      </c>
      <c r="D105" s="37">
        <v>45210</v>
      </c>
      <c r="E105">
        <v>0</v>
      </c>
      <c r="F105">
        <f t="shared" si="13"/>
        <v>0</v>
      </c>
      <c r="K105" s="37"/>
      <c r="L105"/>
      <c r="N105" t="str">
        <f t="shared" si="15"/>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4"/>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row>
    <row r="106" spans="3:31" x14ac:dyDescent="0.3">
      <c r="C106">
        <f t="shared" si="16"/>
        <v>10</v>
      </c>
      <c r="D106" s="37">
        <v>45211</v>
      </c>
      <c r="E106">
        <v>0</v>
      </c>
      <c r="F106">
        <f t="shared" si="13"/>
        <v>0</v>
      </c>
      <c r="K106" s="37"/>
      <c r="L106"/>
      <c r="N106" t="str">
        <f t="shared" si="15"/>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4"/>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29</v>
      </c>
      <c r="AC106" t="s">
        <v>4190</v>
      </c>
      <c r="AD106" t="s">
        <v>4181</v>
      </c>
      <c r="AE106" t="s">
        <v>4191</v>
      </c>
    </row>
    <row r="107" spans="3:31" x14ac:dyDescent="0.3">
      <c r="C107">
        <f t="shared" si="16"/>
        <v>10</v>
      </c>
      <c r="D107" s="37">
        <v>45212</v>
      </c>
      <c r="E107">
        <v>0</v>
      </c>
      <c r="F107">
        <f t="shared" si="13"/>
        <v>0</v>
      </c>
      <c r="K107" s="37"/>
      <c r="L107"/>
      <c r="N107" t="str">
        <f t="shared" si="15"/>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4"/>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c r="AB107" t="s">
        <v>6</v>
      </c>
      <c r="AC107">
        <v>8</v>
      </c>
      <c r="AD107">
        <f>SUMIFS($S$21:$S$226,$J$21:$J$226,"="&amp;AC107)</f>
        <v>0</v>
      </c>
      <c r="AE107">
        <f>SUMIFS($T$21:$T$226,$J$21:$J$226,"="&amp;AC107)</f>
        <v>0</v>
      </c>
    </row>
    <row r="108" spans="3:31" x14ac:dyDescent="0.3">
      <c r="C108">
        <f t="shared" si="16"/>
        <v>10</v>
      </c>
      <c r="D108" s="37">
        <v>45213</v>
      </c>
      <c r="E108">
        <v>0</v>
      </c>
      <c r="F108">
        <f t="shared" si="13"/>
        <v>0</v>
      </c>
      <c r="K108" s="37"/>
      <c r="L108"/>
      <c r="N108" t="str">
        <f t="shared" si="15"/>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4"/>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c r="AB108" t="s">
        <v>36</v>
      </c>
      <c r="AC108">
        <v>9</v>
      </c>
      <c r="AD108">
        <f t="shared" ref="AD108:AD118" si="17">SUMIFS($S$21:$S$226,$J$21:$J$226,"="&amp;AC108)</f>
        <v>0</v>
      </c>
      <c r="AE108">
        <f t="shared" ref="AE108:AE118" si="18">SUMIFS($T$21:$T$226,$J$21:$J$226,"="&amp;AC108)</f>
        <v>0</v>
      </c>
    </row>
    <row r="109" spans="3:31" x14ac:dyDescent="0.3">
      <c r="C109">
        <f t="shared" si="16"/>
        <v>10</v>
      </c>
      <c r="D109" s="37" cm="1">
        <f t="array" ref="D109:D115">TRANSPOSE(Calendar!B47:H47)</f>
        <v>45214</v>
      </c>
      <c r="E109" cm="1">
        <f t="array" ref="E109:E115">TRANSPOSE(Calendar!B48:H48)</f>
        <v>0</v>
      </c>
      <c r="F109">
        <f t="shared" si="13"/>
        <v>0</v>
      </c>
      <c r="K109" s="37"/>
      <c r="L109"/>
      <c r="N109" t="str">
        <f t="shared" si="15"/>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4"/>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37</v>
      </c>
      <c r="AC109">
        <v>10</v>
      </c>
      <c r="AD109">
        <f t="shared" si="17"/>
        <v>0</v>
      </c>
      <c r="AE109">
        <f t="shared" si="18"/>
        <v>0</v>
      </c>
    </row>
    <row r="110" spans="3:31" x14ac:dyDescent="0.3">
      <c r="C110">
        <f t="shared" si="16"/>
        <v>10</v>
      </c>
      <c r="D110" s="37">
        <v>45215</v>
      </c>
      <c r="E110">
        <v>0</v>
      </c>
      <c r="F110">
        <f t="shared" si="13"/>
        <v>0</v>
      </c>
      <c r="K110" s="37"/>
      <c r="L110"/>
      <c r="N110" t="str">
        <f t="shared" si="15"/>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4"/>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c r="AB110" t="s">
        <v>38</v>
      </c>
      <c r="AC110">
        <v>11</v>
      </c>
      <c r="AD110">
        <f t="shared" si="17"/>
        <v>0</v>
      </c>
      <c r="AE110">
        <f t="shared" si="18"/>
        <v>0</v>
      </c>
    </row>
    <row r="111" spans="3:31" x14ac:dyDescent="0.3">
      <c r="C111">
        <f t="shared" si="16"/>
        <v>10</v>
      </c>
      <c r="D111" s="37">
        <v>45216</v>
      </c>
      <c r="E111">
        <v>0</v>
      </c>
      <c r="F111">
        <f t="shared" si="13"/>
        <v>0</v>
      </c>
      <c r="K111" s="37"/>
      <c r="L111"/>
      <c r="N111" t="str">
        <f t="shared" si="15"/>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4"/>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c r="AB111" t="s">
        <v>39</v>
      </c>
      <c r="AC111">
        <v>12</v>
      </c>
      <c r="AD111">
        <f t="shared" si="17"/>
        <v>0</v>
      </c>
      <c r="AE111">
        <f t="shared" si="18"/>
        <v>0</v>
      </c>
    </row>
    <row r="112" spans="3:31" x14ac:dyDescent="0.3">
      <c r="C112">
        <f t="shared" si="16"/>
        <v>10</v>
      </c>
      <c r="D112" s="37">
        <v>45217</v>
      </c>
      <c r="E112">
        <v>0</v>
      </c>
      <c r="F112">
        <f t="shared" si="13"/>
        <v>0</v>
      </c>
      <c r="K112" s="37"/>
      <c r="L112"/>
      <c r="N112" t="str">
        <f t="shared" si="15"/>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4"/>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c r="AB112" t="s">
        <v>40</v>
      </c>
      <c r="AC112">
        <v>1</v>
      </c>
      <c r="AD112">
        <f t="shared" si="17"/>
        <v>0</v>
      </c>
      <c r="AE112">
        <f t="shared" si="18"/>
        <v>0</v>
      </c>
    </row>
    <row r="113" spans="3:31" x14ac:dyDescent="0.3">
      <c r="C113">
        <f t="shared" si="16"/>
        <v>10</v>
      </c>
      <c r="D113" s="37">
        <v>45218</v>
      </c>
      <c r="E113">
        <v>0</v>
      </c>
      <c r="F113">
        <f t="shared" si="13"/>
        <v>0</v>
      </c>
      <c r="K113" s="37"/>
      <c r="L113"/>
      <c r="N113" t="str">
        <f t="shared" si="15"/>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4"/>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c r="AB113" t="s">
        <v>41</v>
      </c>
      <c r="AC113">
        <v>2</v>
      </c>
      <c r="AD113">
        <f t="shared" si="17"/>
        <v>0</v>
      </c>
      <c r="AE113">
        <f t="shared" si="18"/>
        <v>0</v>
      </c>
    </row>
    <row r="114" spans="3:31" x14ac:dyDescent="0.3">
      <c r="C114">
        <f t="shared" si="16"/>
        <v>10</v>
      </c>
      <c r="D114" s="37">
        <v>45219</v>
      </c>
      <c r="E114">
        <v>0</v>
      </c>
      <c r="F114">
        <f t="shared" si="13"/>
        <v>0</v>
      </c>
      <c r="K114" s="37"/>
      <c r="L114"/>
      <c r="N114" t="str">
        <f t="shared" si="15"/>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4"/>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c r="AB114" t="s">
        <v>42</v>
      </c>
      <c r="AC114">
        <v>3</v>
      </c>
      <c r="AD114">
        <f t="shared" si="17"/>
        <v>0</v>
      </c>
      <c r="AE114">
        <f t="shared" si="18"/>
        <v>0</v>
      </c>
    </row>
    <row r="115" spans="3:31" x14ac:dyDescent="0.3">
      <c r="C115">
        <f t="shared" si="16"/>
        <v>10</v>
      </c>
      <c r="D115" s="37">
        <v>45220</v>
      </c>
      <c r="E115">
        <v>0</v>
      </c>
      <c r="F115">
        <f t="shared" si="13"/>
        <v>0</v>
      </c>
      <c r="K115" s="37"/>
      <c r="L115"/>
      <c r="N115" t="str">
        <f t="shared" si="15"/>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4"/>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c r="AB115" t="s">
        <v>43</v>
      </c>
      <c r="AC115">
        <v>4</v>
      </c>
      <c r="AD115">
        <f t="shared" si="17"/>
        <v>0</v>
      </c>
      <c r="AE115">
        <f t="shared" si="18"/>
        <v>0</v>
      </c>
    </row>
    <row r="116" spans="3:31" x14ac:dyDescent="0.3">
      <c r="C116">
        <f t="shared" si="16"/>
        <v>10</v>
      </c>
      <c r="D116" s="37" cm="1">
        <f t="array" ref="D116:D122">TRANSPOSE(Calendar!B49:H49)</f>
        <v>45221</v>
      </c>
      <c r="E116" cm="1">
        <f t="array" ref="E116:E122">TRANSPOSE(Calendar!B50:H50)</f>
        <v>0</v>
      </c>
      <c r="F116">
        <f t="shared" si="13"/>
        <v>0</v>
      </c>
      <c r="K116" s="37"/>
      <c r="L116"/>
      <c r="N116" t="str">
        <f t="shared" si="15"/>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4"/>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c r="AB116" t="s">
        <v>44</v>
      </c>
      <c r="AC116">
        <v>5</v>
      </c>
      <c r="AD116">
        <f t="shared" si="17"/>
        <v>0</v>
      </c>
      <c r="AE116">
        <f t="shared" si="18"/>
        <v>0</v>
      </c>
    </row>
    <row r="117" spans="3:31" x14ac:dyDescent="0.3">
      <c r="C117">
        <f t="shared" si="16"/>
        <v>10</v>
      </c>
      <c r="D117" s="37">
        <v>45222</v>
      </c>
      <c r="E117">
        <v>0</v>
      </c>
      <c r="F117">
        <f t="shared" si="13"/>
        <v>0</v>
      </c>
      <c r="K117" s="37"/>
      <c r="L117"/>
      <c r="N117" t="str">
        <f t="shared" si="15"/>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4"/>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c r="AB117" t="s">
        <v>45</v>
      </c>
      <c r="AC117">
        <v>6</v>
      </c>
      <c r="AD117">
        <f t="shared" si="17"/>
        <v>0</v>
      </c>
      <c r="AE117">
        <f t="shared" si="18"/>
        <v>0</v>
      </c>
    </row>
    <row r="118" spans="3:31" x14ac:dyDescent="0.3">
      <c r="C118">
        <f t="shared" si="16"/>
        <v>10</v>
      </c>
      <c r="D118" s="37">
        <v>45223</v>
      </c>
      <c r="E118">
        <v>0</v>
      </c>
      <c r="F118">
        <f t="shared" si="13"/>
        <v>0</v>
      </c>
      <c r="K118" s="37"/>
      <c r="L118"/>
      <c r="N118" t="str">
        <f t="shared" si="15"/>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4"/>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46</v>
      </c>
      <c r="AC118">
        <v>7</v>
      </c>
      <c r="AD118">
        <f t="shared" si="17"/>
        <v>0</v>
      </c>
      <c r="AE118">
        <f t="shared" si="18"/>
        <v>0</v>
      </c>
    </row>
    <row r="119" spans="3:31" x14ac:dyDescent="0.3">
      <c r="C119">
        <f t="shared" si="16"/>
        <v>10</v>
      </c>
      <c r="D119" s="37">
        <v>45224</v>
      </c>
      <c r="E119">
        <v>0</v>
      </c>
      <c r="F119">
        <f t="shared" si="13"/>
        <v>0</v>
      </c>
      <c r="K119" s="37"/>
      <c r="L119"/>
      <c r="N119" t="str">
        <f t="shared" si="15"/>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4"/>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row>
    <row r="120" spans="3:31" x14ac:dyDescent="0.3">
      <c r="C120">
        <f t="shared" si="16"/>
        <v>10</v>
      </c>
      <c r="D120" s="37">
        <v>45225</v>
      </c>
      <c r="E120">
        <v>0</v>
      </c>
      <c r="F120">
        <f t="shared" si="13"/>
        <v>0</v>
      </c>
      <c r="K120" s="37"/>
      <c r="L120"/>
      <c r="N120" t="str">
        <f t="shared" si="15"/>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4"/>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row>
    <row r="121" spans="3:31" x14ac:dyDescent="0.3">
      <c r="C121">
        <f t="shared" si="16"/>
        <v>10</v>
      </c>
      <c r="D121" s="37">
        <v>45226</v>
      </c>
      <c r="E121">
        <v>0</v>
      </c>
      <c r="F121">
        <f t="shared" si="13"/>
        <v>0</v>
      </c>
      <c r="K121" s="37"/>
      <c r="L121"/>
      <c r="N121" t="str">
        <f t="shared" si="15"/>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4"/>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4192</v>
      </c>
    </row>
    <row r="122" spans="3:31" x14ac:dyDescent="0.3">
      <c r="C122">
        <f t="shared" si="16"/>
        <v>10</v>
      </c>
      <c r="D122" s="37">
        <v>45227</v>
      </c>
      <c r="E122">
        <v>0</v>
      </c>
      <c r="F122">
        <f t="shared" si="13"/>
        <v>0</v>
      </c>
      <c r="K122" s="37"/>
      <c r="L122"/>
      <c r="N122" t="str">
        <f t="shared" si="15"/>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4"/>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29</v>
      </c>
      <c r="AC122" t="s">
        <v>31</v>
      </c>
      <c r="AD122" t="s">
        <v>22</v>
      </c>
      <c r="AE122" t="s">
        <v>54</v>
      </c>
    </row>
    <row r="123" spans="3:31" x14ac:dyDescent="0.3">
      <c r="C123">
        <f t="shared" si="16"/>
        <v>10</v>
      </c>
      <c r="D123" s="37" cm="1">
        <f t="array" ref="D123:D129">TRANSPOSE(Calendar!B51:H51)</f>
        <v>45228</v>
      </c>
      <c r="E123" cm="1">
        <f t="array" ref="E123:E129">TRANSPOSE(Calendar!B52:H52)</f>
        <v>0</v>
      </c>
      <c r="F123">
        <f t="shared" si="13"/>
        <v>0</v>
      </c>
      <c r="K123" s="37"/>
      <c r="L123"/>
      <c r="N123" t="str">
        <f t="shared" si="15"/>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4"/>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c r="AB123" t="s">
        <v>6</v>
      </c>
      <c r="AC123">
        <f>SUMIFS(Exceptions[Instructional],Exceptions[Month],"="&amp;AB123)</f>
        <v>0</v>
      </c>
      <c r="AD123" s="42">
        <f>(SUMIFS(Exceptions[Assigned Time (Non-Instructional)],Exceptions[Month],"="&amp;AB123))</f>
        <v>0</v>
      </c>
      <c r="AE123">
        <f>+Exception_Totals[[#This Row],[Non-Instructional]]+Exception_Totals[[#This Row],[Instructional]]</f>
        <v>0</v>
      </c>
    </row>
    <row r="124" spans="3:31" x14ac:dyDescent="0.3">
      <c r="C124">
        <f t="shared" si="16"/>
        <v>10</v>
      </c>
      <c r="D124" s="37">
        <v>45229</v>
      </c>
      <c r="E124">
        <v>0</v>
      </c>
      <c r="F124">
        <f t="shared" si="13"/>
        <v>0</v>
      </c>
      <c r="K124" s="37"/>
      <c r="L124"/>
      <c r="N124" t="str">
        <f t="shared" si="15"/>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4"/>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c r="AB124" t="s">
        <v>36</v>
      </c>
      <c r="AC124" s="42"/>
      <c r="AD124" s="42">
        <f>(SUMIFS(Exceptions[Assigned Time (Non-Instructional)],Exceptions[Month],"="&amp;AB124))</f>
        <v>0</v>
      </c>
      <c r="AE124" s="42">
        <f>+Exception_Totals[[#This Row],[Non-Instructional]]+Exception_Totals[[#This Row],[Instructional]]</f>
        <v>0</v>
      </c>
    </row>
    <row r="125" spans="3:31" x14ac:dyDescent="0.3">
      <c r="C125">
        <f t="shared" si="16"/>
        <v>10</v>
      </c>
      <c r="D125" s="37">
        <v>45230</v>
      </c>
      <c r="E125">
        <v>0</v>
      </c>
      <c r="F125">
        <f t="shared" si="13"/>
        <v>0</v>
      </c>
      <c r="K125" s="37"/>
      <c r="L125"/>
      <c r="N125" t="str">
        <f t="shared" si="15"/>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4"/>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c r="AB125" t="s">
        <v>37</v>
      </c>
      <c r="AC125" s="42"/>
      <c r="AD125" s="42">
        <f>(SUMIFS(Exceptions[Assigned Time (Non-Instructional)],Exceptions[Month],"="&amp;AB125))</f>
        <v>0</v>
      </c>
      <c r="AE125" s="42">
        <f>+Exception_Totals[[#This Row],[Non-Instructional]]+Exception_Totals[[#This Row],[Instructional]]</f>
        <v>0</v>
      </c>
    </row>
    <row r="126" spans="3:31" x14ac:dyDescent="0.3">
      <c r="C126">
        <f t="shared" si="16"/>
        <v>10</v>
      </c>
      <c r="D126" s="37">
        <v>45231</v>
      </c>
      <c r="E126">
        <v>0</v>
      </c>
      <c r="F126">
        <f t="shared" si="13"/>
        <v>0</v>
      </c>
      <c r="K126" s="37"/>
      <c r="L126"/>
      <c r="N126" t="str">
        <f t="shared" si="15"/>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4"/>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c r="AB126" t="s">
        <v>38</v>
      </c>
      <c r="AC126" s="42"/>
      <c r="AD126" s="42">
        <f>(SUMIFS(Exceptions[Assigned Time (Non-Instructional)],Exceptions[Month],"="&amp;AB126))</f>
        <v>0</v>
      </c>
      <c r="AE126" s="42">
        <f>+Exception_Totals[[#This Row],[Non-Instructional]]+Exception_Totals[[#This Row],[Instructional]]</f>
        <v>0</v>
      </c>
    </row>
    <row r="127" spans="3:31" x14ac:dyDescent="0.3">
      <c r="C127">
        <f t="shared" si="16"/>
        <v>10</v>
      </c>
      <c r="D127" s="37">
        <v>45232</v>
      </c>
      <c r="E127">
        <v>0</v>
      </c>
      <c r="F127">
        <f t="shared" si="13"/>
        <v>0</v>
      </c>
      <c r="K127" s="37"/>
      <c r="L127"/>
      <c r="N127" t="str">
        <f t="shared" si="15"/>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4"/>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c r="AB127" t="s">
        <v>39</v>
      </c>
      <c r="AC127" s="42"/>
      <c r="AD127" s="42">
        <f>(SUMIFS(Exceptions[Assigned Time (Non-Instructional)],Exceptions[Month],"="&amp;AB127))</f>
        <v>0</v>
      </c>
      <c r="AE127" s="42">
        <f>+Exception_Totals[[#This Row],[Non-Instructional]]+Exception_Totals[[#This Row],[Instructional]]</f>
        <v>0</v>
      </c>
    </row>
    <row r="128" spans="3:31" x14ac:dyDescent="0.3">
      <c r="C128">
        <f t="shared" si="16"/>
        <v>10</v>
      </c>
      <c r="D128" s="37">
        <v>45233</v>
      </c>
      <c r="E128">
        <v>0</v>
      </c>
      <c r="F128">
        <f t="shared" si="13"/>
        <v>0</v>
      </c>
      <c r="K128" s="37"/>
      <c r="L128"/>
      <c r="N128" t="str">
        <f t="shared" si="15"/>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4"/>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c r="AB128" t="s">
        <v>40</v>
      </c>
      <c r="AC128" s="42"/>
      <c r="AD128" s="42">
        <f>(SUMIFS(Exceptions[Assigned Time (Non-Instructional)],Exceptions[Month],"="&amp;AB128))</f>
        <v>0</v>
      </c>
      <c r="AE128" s="42">
        <f>+Exception_Totals[[#This Row],[Non-Instructional]]+Exception_Totals[[#This Row],[Instructional]]</f>
        <v>0</v>
      </c>
    </row>
    <row r="129" spans="3:31" x14ac:dyDescent="0.3">
      <c r="C129">
        <f t="shared" si="16"/>
        <v>10</v>
      </c>
      <c r="D129" s="37">
        <v>45234</v>
      </c>
      <c r="E129">
        <v>0</v>
      </c>
      <c r="F129">
        <f t="shared" si="13"/>
        <v>0</v>
      </c>
      <c r="K129" s="37"/>
      <c r="L129"/>
      <c r="N129" t="str">
        <f t="shared" si="15"/>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4"/>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c r="AB129" t="s">
        <v>41</v>
      </c>
      <c r="AC129" s="42"/>
      <c r="AD129" s="42">
        <f>(SUMIFS(Exceptions[Assigned Time (Non-Instructional)],Exceptions[Month],"="&amp;AB129))</f>
        <v>0</v>
      </c>
      <c r="AE129" s="42">
        <f>+Exception_Totals[[#This Row],[Non-Instructional]]+Exception_Totals[[#This Row],[Instructional]]</f>
        <v>0</v>
      </c>
    </row>
    <row r="130" spans="3:31" x14ac:dyDescent="0.3">
      <c r="C130">
        <f t="shared" si="16"/>
        <v>10</v>
      </c>
      <c r="D130" s="37" cm="1">
        <f t="array" ref="D130:D131">TRANSPOSE(Calendar!B53:C53)</f>
        <v>45235</v>
      </c>
      <c r="E130" cm="1">
        <f t="array" ref="E130:E131">TRANSPOSE(Calendar!B54:C54)</f>
        <v>0</v>
      </c>
      <c r="F130">
        <f t="shared" si="13"/>
        <v>0</v>
      </c>
      <c r="K130" s="37"/>
      <c r="L130"/>
      <c r="N130" t="str">
        <f t="shared" si="15"/>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4"/>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c r="AB130" t="s">
        <v>42</v>
      </c>
      <c r="AC130" s="42"/>
      <c r="AD130" s="42">
        <f>(SUMIFS(Exceptions[Assigned Time (Non-Instructional)],Exceptions[Month],"="&amp;AB130))</f>
        <v>0</v>
      </c>
      <c r="AE130" s="42">
        <f>+Exception_Totals[[#This Row],[Non-Instructional]]+Exception_Totals[[#This Row],[Instructional]]</f>
        <v>0</v>
      </c>
    </row>
    <row r="131" spans="3:31" x14ac:dyDescent="0.3">
      <c r="C131">
        <f t="shared" si="16"/>
        <v>10</v>
      </c>
      <c r="D131" s="37">
        <v>45236</v>
      </c>
      <c r="E131">
        <v>0</v>
      </c>
      <c r="F131">
        <f t="shared" si="13"/>
        <v>0</v>
      </c>
      <c r="K131" s="37"/>
      <c r="L131"/>
      <c r="N131" t="str">
        <f t="shared" si="15"/>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4"/>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c r="AB131" t="s">
        <v>43</v>
      </c>
      <c r="AC131" s="42"/>
      <c r="AD131" s="42">
        <f>(SUMIFS(Exceptions[Assigned Time (Non-Instructional)],Exceptions[Month],"="&amp;AB131))</f>
        <v>0</v>
      </c>
      <c r="AE131" s="42">
        <f>+Exception_Totals[[#This Row],[Non-Instructional]]+Exception_Totals[[#This Row],[Instructional]]</f>
        <v>0</v>
      </c>
    </row>
    <row r="132" spans="3:31" x14ac:dyDescent="0.3">
      <c r="C132">
        <f t="shared" si="16"/>
        <v>11</v>
      </c>
      <c r="D132" s="37" cm="1">
        <f t="array" ref="D132:D138">TRANSPOSE(Calendar!B59:H59)</f>
        <v>45228</v>
      </c>
      <c r="E132" cm="1">
        <f t="array" ref="E132:E138">TRANSPOSE(Calendar!B60:H60)</f>
        <v>0</v>
      </c>
      <c r="F132">
        <f t="shared" si="13"/>
        <v>0</v>
      </c>
      <c r="K132" s="37"/>
      <c r="L132"/>
      <c r="N132" t="str">
        <f t="shared" si="15"/>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4"/>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c r="AB132" t="s">
        <v>44</v>
      </c>
      <c r="AC132" s="42"/>
      <c r="AD132" s="42">
        <f>(SUMIFS(Exceptions[Assigned Time (Non-Instructional)],Exceptions[Month],"="&amp;AB132))</f>
        <v>0</v>
      </c>
      <c r="AE132" s="42">
        <f>+Exception_Totals[[#This Row],[Non-Instructional]]+Exception_Totals[[#This Row],[Instructional]]</f>
        <v>0</v>
      </c>
    </row>
    <row r="133" spans="3:31" x14ac:dyDescent="0.3">
      <c r="C133">
        <f t="shared" si="16"/>
        <v>11</v>
      </c>
      <c r="D133" s="37">
        <v>45229</v>
      </c>
      <c r="E133">
        <v>0</v>
      </c>
      <c r="F133">
        <f t="shared" si="13"/>
        <v>0</v>
      </c>
      <c r="K133" s="37"/>
      <c r="L133"/>
      <c r="N133" t="str">
        <f t="shared" si="15"/>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4"/>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c r="AB133" t="s">
        <v>45</v>
      </c>
      <c r="AC133" s="42"/>
      <c r="AD133" s="42">
        <f>(SUMIFS(Exceptions[Assigned Time (Non-Instructional)],Exceptions[Month],"="&amp;AB133))</f>
        <v>0</v>
      </c>
      <c r="AE133" s="42">
        <f>+Exception_Totals[[#This Row],[Non-Instructional]]+Exception_Totals[[#This Row],[Instructional]]</f>
        <v>0</v>
      </c>
    </row>
    <row r="134" spans="3:31" x14ac:dyDescent="0.3">
      <c r="C134">
        <f t="shared" si="16"/>
        <v>11</v>
      </c>
      <c r="D134" s="37">
        <v>45230</v>
      </c>
      <c r="E134">
        <v>0</v>
      </c>
      <c r="F134">
        <f t="shared" si="13"/>
        <v>0</v>
      </c>
      <c r="K134" s="37"/>
      <c r="L134"/>
      <c r="N134" t="str">
        <f t="shared" si="15"/>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4"/>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c r="AB134" t="s">
        <v>46</v>
      </c>
      <c r="AC134" s="42"/>
      <c r="AD134" s="42">
        <f>(SUMIFS(Exceptions[Assigned Time (Non-Instructional)],Exceptions[Month],"="&amp;AB134))</f>
        <v>0</v>
      </c>
      <c r="AE134" s="42">
        <f>+Exception_Totals[[#This Row],[Non-Instructional]]+Exception_Totals[[#This Row],[Instructional]]</f>
        <v>0</v>
      </c>
    </row>
    <row r="135" spans="3:31" x14ac:dyDescent="0.3">
      <c r="C135">
        <f t="shared" si="16"/>
        <v>11</v>
      </c>
      <c r="D135" s="37">
        <v>45231</v>
      </c>
      <c r="E135">
        <v>0</v>
      </c>
      <c r="F135">
        <f t="shared" si="13"/>
        <v>0</v>
      </c>
      <c r="K135" s="37"/>
      <c r="L135"/>
      <c r="N135" t="str">
        <f t="shared" si="15"/>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4"/>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row>
    <row r="136" spans="3:31" x14ac:dyDescent="0.3">
      <c r="C136">
        <f t="shared" si="16"/>
        <v>11</v>
      </c>
      <c r="D136" s="37">
        <v>45232</v>
      </c>
      <c r="E136">
        <v>0</v>
      </c>
      <c r="F136">
        <f t="shared" si="13"/>
        <v>0</v>
      </c>
      <c r="K136" s="37"/>
      <c r="L136"/>
      <c r="N136" t="str">
        <f t="shared" si="15"/>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4"/>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row>
    <row r="137" spans="3:31" x14ac:dyDescent="0.3">
      <c r="C137">
        <f t="shared" si="16"/>
        <v>11</v>
      </c>
      <c r="D137" s="37">
        <v>45233</v>
      </c>
      <c r="E137">
        <v>0</v>
      </c>
      <c r="F137">
        <f t="shared" si="13"/>
        <v>0</v>
      </c>
      <c r="K137" s="37"/>
      <c r="L137"/>
      <c r="N137" t="str">
        <f t="shared" si="15"/>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4"/>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row>
    <row r="138" spans="3:31" x14ac:dyDescent="0.3">
      <c r="C138">
        <f t="shared" si="16"/>
        <v>11</v>
      </c>
      <c r="D138" s="37">
        <v>45234</v>
      </c>
      <c r="E138">
        <v>0</v>
      </c>
      <c r="F138">
        <f t="shared" si="13"/>
        <v>0</v>
      </c>
      <c r="K138" s="37"/>
      <c r="L138"/>
      <c r="N138" t="str">
        <f t="shared" si="15"/>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4"/>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row>
    <row r="139" spans="3:31" x14ac:dyDescent="0.3">
      <c r="C139">
        <f t="shared" si="16"/>
        <v>11</v>
      </c>
      <c r="D139" s="37" cm="1">
        <f t="array" ref="D139:D145">TRANSPOSE(Calendar!B61:H61)</f>
        <v>45235</v>
      </c>
      <c r="E139" cm="1">
        <f t="array" ref="E139:E145">TRANSPOSE(Calendar!B62:H62)</f>
        <v>0</v>
      </c>
      <c r="F139">
        <f t="shared" si="13"/>
        <v>0</v>
      </c>
      <c r="K139" s="37"/>
      <c r="L139"/>
      <c r="N139" t="str">
        <f t="shared" si="15"/>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4"/>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row>
    <row r="140" spans="3:31" x14ac:dyDescent="0.3">
      <c r="C140">
        <f t="shared" si="16"/>
        <v>11</v>
      </c>
      <c r="D140" s="37">
        <v>45236</v>
      </c>
      <c r="E140">
        <v>0</v>
      </c>
      <c r="F140">
        <f t="shared" si="13"/>
        <v>0</v>
      </c>
      <c r="K140" s="37"/>
      <c r="L140"/>
      <c r="N140" t="str">
        <f t="shared" si="15"/>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4"/>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row>
    <row r="141" spans="3:31" x14ac:dyDescent="0.3">
      <c r="C141">
        <f t="shared" si="16"/>
        <v>11</v>
      </c>
      <c r="D141" s="37">
        <v>45237</v>
      </c>
      <c r="E141">
        <v>0</v>
      </c>
      <c r="F141">
        <f t="shared" si="13"/>
        <v>0</v>
      </c>
      <c r="K141" s="37"/>
      <c r="L141"/>
      <c r="N141" t="str">
        <f t="shared" si="15"/>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4"/>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row>
    <row r="142" spans="3:31" x14ac:dyDescent="0.3">
      <c r="C142">
        <f t="shared" si="16"/>
        <v>11</v>
      </c>
      <c r="D142" s="37">
        <v>45238</v>
      </c>
      <c r="E142">
        <v>0</v>
      </c>
      <c r="F142">
        <f t="shared" si="13"/>
        <v>0</v>
      </c>
      <c r="K142" s="37"/>
      <c r="L142"/>
      <c r="N142" t="str">
        <f t="shared" si="15"/>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4"/>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row>
    <row r="143" spans="3:31" x14ac:dyDescent="0.3">
      <c r="C143">
        <f t="shared" si="16"/>
        <v>11</v>
      </c>
      <c r="D143" s="37">
        <v>45239</v>
      </c>
      <c r="E143">
        <v>0</v>
      </c>
      <c r="F143">
        <f t="shared" si="13"/>
        <v>0</v>
      </c>
      <c r="K143" s="37"/>
      <c r="L143"/>
      <c r="N143" t="str">
        <f t="shared" si="15"/>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4"/>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row>
    <row r="144" spans="3:31" x14ac:dyDescent="0.3">
      <c r="C144">
        <f t="shared" si="16"/>
        <v>11</v>
      </c>
      <c r="D144" s="37">
        <v>45240</v>
      </c>
      <c r="E144">
        <v>0</v>
      </c>
      <c r="F144">
        <f t="shared" si="13"/>
        <v>0</v>
      </c>
      <c r="K144" s="37"/>
      <c r="L144"/>
      <c r="N144" t="str">
        <f t="shared" si="15"/>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4"/>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row>
    <row r="145" spans="3:20" x14ac:dyDescent="0.3">
      <c r="C145">
        <f t="shared" si="16"/>
        <v>11</v>
      </c>
      <c r="D145" s="37">
        <v>45241</v>
      </c>
      <c r="E145">
        <v>0</v>
      </c>
      <c r="F145">
        <f t="shared" si="13"/>
        <v>0</v>
      </c>
      <c r="K145" s="37"/>
      <c r="L145"/>
      <c r="N145" t="str">
        <f t="shared" si="15"/>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4"/>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row>
    <row r="146" spans="3:20" x14ac:dyDescent="0.3">
      <c r="C146">
        <f t="shared" si="16"/>
        <v>11</v>
      </c>
      <c r="D146" s="37" cm="1">
        <f t="array" ref="D146:D152">TRANSPOSE(Calendar!B63:H63)</f>
        <v>45242</v>
      </c>
      <c r="E146" cm="1">
        <f t="array" ref="E146:E152">TRANSPOSE(Calendar!B64:H64)</f>
        <v>0</v>
      </c>
      <c r="F146">
        <f t="shared" si="13"/>
        <v>0</v>
      </c>
      <c r="K146" s="37"/>
      <c r="L146"/>
      <c r="N146" t="str">
        <f t="shared" si="15"/>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4"/>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row>
    <row r="147" spans="3:20" x14ac:dyDescent="0.3">
      <c r="C147">
        <f t="shared" si="16"/>
        <v>11</v>
      </c>
      <c r="D147" s="37">
        <v>45243</v>
      </c>
      <c r="E147">
        <v>0</v>
      </c>
      <c r="F147">
        <f t="shared" si="13"/>
        <v>0</v>
      </c>
      <c r="K147" s="37"/>
      <c r="L147"/>
      <c r="N147" t="str">
        <f t="shared" si="15"/>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4"/>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20" x14ac:dyDescent="0.3">
      <c r="C148">
        <f t="shared" si="16"/>
        <v>11</v>
      </c>
      <c r="D148" s="37">
        <v>45244</v>
      </c>
      <c r="E148">
        <v>0</v>
      </c>
      <c r="F148">
        <f t="shared" si="13"/>
        <v>0</v>
      </c>
      <c r="K148" s="37"/>
      <c r="L148"/>
      <c r="N148" t="str">
        <f t="shared" si="15"/>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4"/>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20" x14ac:dyDescent="0.3">
      <c r="C149">
        <f t="shared" si="16"/>
        <v>11</v>
      </c>
      <c r="D149" s="37">
        <v>45245</v>
      </c>
      <c r="E149">
        <v>0</v>
      </c>
      <c r="F149">
        <f t="shared" ref="F149:F212" si="19">IF(AND(MONTH(D149)=C149,D149&gt;=First_Operational_Day,D149&lt;=Last_Operational_Day,WEEKDAY(D149)&lt;&gt;1,WEEKDAY(D149)&lt;&gt;7,E149&lt;&gt;"Closed (non-operational)"),1,0)</f>
        <v>0</v>
      </c>
      <c r="K149" s="37"/>
      <c r="L149"/>
      <c r="N149" t="str">
        <f t="shared" si="15"/>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20">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20" x14ac:dyDescent="0.3">
      <c r="C150">
        <f t="shared" si="16"/>
        <v>11</v>
      </c>
      <c r="D150" s="37">
        <v>45246</v>
      </c>
      <c r="E150">
        <v>0</v>
      </c>
      <c r="F150">
        <f t="shared" si="19"/>
        <v>0</v>
      </c>
      <c r="K150" s="37"/>
      <c r="L150"/>
      <c r="N150" t="str">
        <f t="shared" ref="N150:N213" si="21">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20"/>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20" x14ac:dyDescent="0.3">
      <c r="C151">
        <f t="shared" si="16"/>
        <v>11</v>
      </c>
      <c r="D151" s="37">
        <v>45247</v>
      </c>
      <c r="E151">
        <v>0</v>
      </c>
      <c r="F151">
        <f t="shared" si="19"/>
        <v>0</v>
      </c>
      <c r="K151" s="37"/>
      <c r="L151"/>
      <c r="N151" t="str">
        <f t="shared" si="21"/>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20"/>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20" x14ac:dyDescent="0.3">
      <c r="C152">
        <f t="shared" si="16"/>
        <v>11</v>
      </c>
      <c r="D152" s="37">
        <v>45248</v>
      </c>
      <c r="E152">
        <v>0</v>
      </c>
      <c r="F152">
        <f t="shared" si="19"/>
        <v>0</v>
      </c>
      <c r="K152" s="37"/>
      <c r="L152"/>
      <c r="N152" t="str">
        <f t="shared" si="21"/>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20"/>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20" x14ac:dyDescent="0.3">
      <c r="C153">
        <f t="shared" si="16"/>
        <v>11</v>
      </c>
      <c r="D153" s="37" cm="1">
        <f t="array" ref="D153:D159">TRANSPOSE(Calendar!B65:H65)</f>
        <v>45249</v>
      </c>
      <c r="E153" cm="1">
        <f t="array" ref="E153:E159">TRANSPOSE(Calendar!B66:H66)</f>
        <v>0</v>
      </c>
      <c r="F153">
        <f t="shared" si="19"/>
        <v>0</v>
      </c>
      <c r="K153" s="37"/>
      <c r="L153"/>
      <c r="N153" t="str">
        <f t="shared" si="21"/>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20"/>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20" x14ac:dyDescent="0.3">
      <c r="C154">
        <f t="shared" si="16"/>
        <v>11</v>
      </c>
      <c r="D154" s="37">
        <v>45250</v>
      </c>
      <c r="E154">
        <v>0</v>
      </c>
      <c r="F154">
        <f t="shared" si="19"/>
        <v>0</v>
      </c>
      <c r="K154" s="37"/>
      <c r="L154"/>
      <c r="N154" t="str">
        <f t="shared" si="21"/>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20"/>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20" x14ac:dyDescent="0.3">
      <c r="C155">
        <f t="shared" si="16"/>
        <v>11</v>
      </c>
      <c r="D155" s="37">
        <v>45251</v>
      </c>
      <c r="E155">
        <v>0</v>
      </c>
      <c r="F155">
        <f t="shared" si="19"/>
        <v>0</v>
      </c>
      <c r="K155" s="37"/>
      <c r="L155"/>
      <c r="N155" t="str">
        <f t="shared" si="21"/>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20"/>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20" x14ac:dyDescent="0.3">
      <c r="C156">
        <f t="shared" si="16"/>
        <v>11</v>
      </c>
      <c r="D156" s="37">
        <v>45252</v>
      </c>
      <c r="E156">
        <v>0</v>
      </c>
      <c r="F156">
        <f t="shared" si="19"/>
        <v>0</v>
      </c>
      <c r="K156" s="37"/>
      <c r="L156"/>
      <c r="N156" t="str">
        <f t="shared" si="21"/>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20"/>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20" x14ac:dyDescent="0.3">
      <c r="C157">
        <f t="shared" si="16"/>
        <v>11</v>
      </c>
      <c r="D157" s="37">
        <v>45253</v>
      </c>
      <c r="E157">
        <v>0</v>
      </c>
      <c r="F157">
        <f t="shared" si="19"/>
        <v>0</v>
      </c>
      <c r="K157" s="37"/>
      <c r="L157"/>
      <c r="N157" t="str">
        <f t="shared" si="21"/>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20"/>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20" x14ac:dyDescent="0.3">
      <c r="C158">
        <f t="shared" si="16"/>
        <v>11</v>
      </c>
      <c r="D158" s="37">
        <v>45254</v>
      </c>
      <c r="E158">
        <v>0</v>
      </c>
      <c r="F158">
        <f t="shared" si="19"/>
        <v>0</v>
      </c>
      <c r="K158" s="37"/>
      <c r="L158"/>
      <c r="N158" t="str">
        <f t="shared" si="21"/>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20"/>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20" x14ac:dyDescent="0.3">
      <c r="C159">
        <f t="shared" si="16"/>
        <v>11</v>
      </c>
      <c r="D159" s="37">
        <v>45255</v>
      </c>
      <c r="E159">
        <v>0</v>
      </c>
      <c r="F159">
        <f t="shared" si="19"/>
        <v>0</v>
      </c>
      <c r="K159" s="37"/>
      <c r="L159"/>
      <c r="N159" t="str">
        <f t="shared" si="21"/>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20"/>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20" x14ac:dyDescent="0.3">
      <c r="C160">
        <f t="shared" ref="C160:C205" si="22">+C123+1</f>
        <v>11</v>
      </c>
      <c r="D160" s="37" cm="1">
        <f t="array" ref="D160:D166">TRANSPOSE(Calendar!B67:H67)</f>
        <v>45256</v>
      </c>
      <c r="E160" cm="1">
        <f t="array" ref="E160:E166">TRANSPOSE(Calendar!B68:H68)</f>
        <v>0</v>
      </c>
      <c r="F160">
        <f t="shared" si="19"/>
        <v>0</v>
      </c>
      <c r="K160" s="37"/>
      <c r="L160"/>
      <c r="N160" t="str">
        <f t="shared" si="21"/>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20"/>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22"/>
        <v>11</v>
      </c>
      <c r="D161" s="37">
        <v>45257</v>
      </c>
      <c r="E161">
        <v>0</v>
      </c>
      <c r="F161">
        <f t="shared" si="19"/>
        <v>0</v>
      </c>
      <c r="K161" s="37"/>
      <c r="L161"/>
      <c r="N161" t="str">
        <f t="shared" si="21"/>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20"/>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22"/>
        <v>11</v>
      </c>
      <c r="D162" s="37">
        <v>45258</v>
      </c>
      <c r="E162">
        <v>0</v>
      </c>
      <c r="F162">
        <f t="shared" si="19"/>
        <v>0</v>
      </c>
      <c r="K162" s="37"/>
      <c r="L162"/>
      <c r="N162" t="str">
        <f t="shared" si="21"/>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20"/>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22"/>
        <v>11</v>
      </c>
      <c r="D163" s="37">
        <v>45259</v>
      </c>
      <c r="E163">
        <v>0</v>
      </c>
      <c r="F163">
        <f t="shared" si="19"/>
        <v>0</v>
      </c>
      <c r="K163" s="37"/>
      <c r="L163"/>
      <c r="N163" t="str">
        <f t="shared" si="21"/>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20"/>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22"/>
        <v>11</v>
      </c>
      <c r="D164" s="37">
        <v>45260</v>
      </c>
      <c r="E164">
        <v>0</v>
      </c>
      <c r="F164">
        <f t="shared" si="19"/>
        <v>0</v>
      </c>
      <c r="K164" s="37"/>
      <c r="L164"/>
      <c r="N164" t="str">
        <f t="shared" si="21"/>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20"/>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22"/>
        <v>11</v>
      </c>
      <c r="D165" s="37">
        <v>45261</v>
      </c>
      <c r="E165">
        <v>0</v>
      </c>
      <c r="F165">
        <f t="shared" si="19"/>
        <v>0</v>
      </c>
      <c r="K165" s="37"/>
      <c r="L165"/>
      <c r="N165" t="str">
        <f t="shared" si="21"/>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20"/>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22"/>
        <v>11</v>
      </c>
      <c r="D166" s="37">
        <v>45262</v>
      </c>
      <c r="E166">
        <v>0</v>
      </c>
      <c r="F166">
        <f t="shared" si="19"/>
        <v>0</v>
      </c>
      <c r="K166" s="37"/>
      <c r="L166"/>
      <c r="N166" t="str">
        <f t="shared" si="21"/>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20"/>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22"/>
        <v>11</v>
      </c>
      <c r="D167" s="37" cm="1">
        <f t="array" ref="D167:D168">TRANSPOSE(Calendar!B69:C69)</f>
        <v>45263</v>
      </c>
      <c r="E167" cm="1">
        <f t="array" ref="E167:E168">TRANSPOSE(Calendar!B70:C70)</f>
        <v>0</v>
      </c>
      <c r="F167">
        <f t="shared" si="19"/>
        <v>0</v>
      </c>
      <c r="K167" s="37"/>
      <c r="L167"/>
      <c r="N167" t="str">
        <f t="shared" si="21"/>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20"/>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22"/>
        <v>11</v>
      </c>
      <c r="D168" s="37">
        <v>45264</v>
      </c>
      <c r="E168">
        <v>0</v>
      </c>
      <c r="F168">
        <f t="shared" si="19"/>
        <v>0</v>
      </c>
      <c r="K168" s="37"/>
      <c r="L168"/>
      <c r="N168" t="str">
        <f t="shared" si="21"/>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20"/>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22"/>
        <v>12</v>
      </c>
      <c r="D169" s="37" cm="1">
        <f t="array" ref="D169:D175">TRANSPOSE(Calendar!B75:H75)</f>
        <v>45256</v>
      </c>
      <c r="E169" cm="1">
        <f t="array" ref="E169:E175">TRANSPOSE(Calendar!B76:H76)</f>
        <v>0</v>
      </c>
      <c r="F169">
        <f t="shared" si="19"/>
        <v>0</v>
      </c>
      <c r="K169" s="37"/>
      <c r="L169"/>
      <c r="N169" t="str">
        <f t="shared" si="21"/>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20"/>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22"/>
        <v>12</v>
      </c>
      <c r="D170" s="37">
        <v>45257</v>
      </c>
      <c r="E170">
        <v>0</v>
      </c>
      <c r="F170">
        <f t="shared" si="19"/>
        <v>0</v>
      </c>
      <c r="K170" s="37"/>
      <c r="L170"/>
      <c r="N170" t="str">
        <f t="shared" si="21"/>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20"/>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22"/>
        <v>12</v>
      </c>
      <c r="D171" s="37">
        <v>45258</v>
      </c>
      <c r="E171">
        <v>0</v>
      </c>
      <c r="F171">
        <f t="shared" si="19"/>
        <v>0</v>
      </c>
      <c r="K171" s="37"/>
      <c r="L171"/>
      <c r="N171" t="str">
        <f t="shared" si="21"/>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20"/>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22"/>
        <v>12</v>
      </c>
      <c r="D172" s="37">
        <v>45259</v>
      </c>
      <c r="E172">
        <v>0</v>
      </c>
      <c r="F172">
        <f t="shared" si="19"/>
        <v>0</v>
      </c>
      <c r="K172" s="37"/>
      <c r="L172"/>
      <c r="N172" t="str">
        <f t="shared" si="21"/>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20"/>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22"/>
        <v>12</v>
      </c>
      <c r="D173" s="37">
        <v>45260</v>
      </c>
      <c r="E173">
        <v>0</v>
      </c>
      <c r="F173">
        <f t="shared" si="19"/>
        <v>0</v>
      </c>
      <c r="K173" s="37"/>
      <c r="L173"/>
      <c r="N173" t="str">
        <f t="shared" si="21"/>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20"/>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22"/>
        <v>12</v>
      </c>
      <c r="D174" s="37">
        <v>45261</v>
      </c>
      <c r="E174">
        <v>0</v>
      </c>
      <c r="F174">
        <f t="shared" si="19"/>
        <v>0</v>
      </c>
      <c r="K174" s="37"/>
      <c r="L174"/>
      <c r="N174" t="str">
        <f t="shared" si="21"/>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20"/>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22"/>
        <v>12</v>
      </c>
      <c r="D175" s="37">
        <v>45262</v>
      </c>
      <c r="E175">
        <v>0</v>
      </c>
      <c r="F175">
        <f t="shared" si="19"/>
        <v>0</v>
      </c>
      <c r="K175" s="37"/>
      <c r="L175"/>
      <c r="N175" t="str">
        <f t="shared" si="21"/>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20"/>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22"/>
        <v>12</v>
      </c>
      <c r="D176" s="37" cm="1">
        <f t="array" ref="D176:D182">TRANSPOSE(Calendar!B77:H77)</f>
        <v>45263</v>
      </c>
      <c r="E176" cm="1">
        <f t="array" ref="E176:E182">TRANSPOSE(Calendar!B78:H78)</f>
        <v>0</v>
      </c>
      <c r="F176">
        <f t="shared" si="19"/>
        <v>0</v>
      </c>
      <c r="K176" s="37"/>
      <c r="L176"/>
      <c r="N176" t="str">
        <f t="shared" si="21"/>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20"/>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22"/>
        <v>12</v>
      </c>
      <c r="D177" s="37">
        <v>45264</v>
      </c>
      <c r="E177">
        <v>0</v>
      </c>
      <c r="F177">
        <f t="shared" si="19"/>
        <v>0</v>
      </c>
      <c r="K177" s="37"/>
      <c r="L177"/>
      <c r="N177" t="str">
        <f t="shared" si="21"/>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20"/>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22"/>
        <v>12</v>
      </c>
      <c r="D178" s="37">
        <v>45265</v>
      </c>
      <c r="E178">
        <v>0</v>
      </c>
      <c r="F178">
        <f t="shared" si="19"/>
        <v>0</v>
      </c>
      <c r="K178" s="37"/>
      <c r="L178"/>
      <c r="N178" t="str">
        <f t="shared" si="21"/>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20"/>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22"/>
        <v>12</v>
      </c>
      <c r="D179" s="37">
        <v>45266</v>
      </c>
      <c r="E179">
        <v>0</v>
      </c>
      <c r="F179">
        <f t="shared" si="19"/>
        <v>0</v>
      </c>
      <c r="K179" s="37"/>
      <c r="L179"/>
      <c r="N179" t="str">
        <f t="shared" si="21"/>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20"/>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22"/>
        <v>12</v>
      </c>
      <c r="D180" s="37">
        <v>45267</v>
      </c>
      <c r="E180">
        <v>0</v>
      </c>
      <c r="F180">
        <f t="shared" si="19"/>
        <v>0</v>
      </c>
      <c r="K180" s="37"/>
      <c r="L180"/>
      <c r="N180" t="str">
        <f t="shared" si="21"/>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20"/>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22"/>
        <v>12</v>
      </c>
      <c r="D181" s="37">
        <v>45268</v>
      </c>
      <c r="E181">
        <v>0</v>
      </c>
      <c r="F181">
        <f t="shared" si="19"/>
        <v>0</v>
      </c>
      <c r="K181" s="37"/>
      <c r="L181"/>
      <c r="N181" t="str">
        <f t="shared" si="21"/>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20"/>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22"/>
        <v>12</v>
      </c>
      <c r="D182" s="37">
        <v>45269</v>
      </c>
      <c r="E182">
        <v>0</v>
      </c>
      <c r="F182">
        <f t="shared" si="19"/>
        <v>0</v>
      </c>
      <c r="K182" s="37"/>
      <c r="L182"/>
      <c r="N182" t="str">
        <f t="shared" si="21"/>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20"/>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22"/>
        <v>12</v>
      </c>
      <c r="D183" s="37" cm="1">
        <f t="array" ref="D183:D189">TRANSPOSE(Calendar!B79:H79)</f>
        <v>45270</v>
      </c>
      <c r="E183" cm="1">
        <f t="array" ref="E183:E189">TRANSPOSE(Calendar!B80:H80)</f>
        <v>0</v>
      </c>
      <c r="F183">
        <f t="shared" si="19"/>
        <v>0</v>
      </c>
      <c r="K183" s="37"/>
      <c r="L183"/>
      <c r="N183" t="str">
        <f t="shared" si="21"/>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20"/>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22"/>
        <v>12</v>
      </c>
      <c r="D184" s="37">
        <v>45271</v>
      </c>
      <c r="E184">
        <v>0</v>
      </c>
      <c r="F184">
        <f t="shared" si="19"/>
        <v>0</v>
      </c>
      <c r="K184" s="37"/>
      <c r="L184"/>
      <c r="N184" t="str">
        <f t="shared" si="21"/>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20"/>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22"/>
        <v>12</v>
      </c>
      <c r="D185" s="37">
        <v>45272</v>
      </c>
      <c r="E185">
        <v>0</v>
      </c>
      <c r="F185">
        <f t="shared" si="19"/>
        <v>0</v>
      </c>
      <c r="K185" s="37"/>
      <c r="L185"/>
      <c r="N185" t="str">
        <f t="shared" si="21"/>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20"/>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22"/>
        <v>12</v>
      </c>
      <c r="D186" s="37">
        <v>45273</v>
      </c>
      <c r="E186">
        <v>0</v>
      </c>
      <c r="F186">
        <f t="shared" si="19"/>
        <v>0</v>
      </c>
      <c r="K186" s="37"/>
      <c r="L186"/>
      <c r="N186" t="str">
        <f t="shared" si="21"/>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20"/>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22"/>
        <v>12</v>
      </c>
      <c r="D187" s="37">
        <v>45274</v>
      </c>
      <c r="E187">
        <v>0</v>
      </c>
      <c r="F187">
        <f t="shared" si="19"/>
        <v>0</v>
      </c>
      <c r="K187" s="37"/>
      <c r="L187"/>
      <c r="N187" t="str">
        <f t="shared" si="21"/>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20"/>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22"/>
        <v>12</v>
      </c>
      <c r="D188" s="37">
        <v>45275</v>
      </c>
      <c r="E188">
        <v>0</v>
      </c>
      <c r="F188">
        <f t="shared" si="19"/>
        <v>0</v>
      </c>
      <c r="K188" s="37"/>
      <c r="L188"/>
      <c r="N188" t="str">
        <f t="shared" si="21"/>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20"/>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22"/>
        <v>12</v>
      </c>
      <c r="D189" s="37">
        <v>45276</v>
      </c>
      <c r="E189">
        <v>0</v>
      </c>
      <c r="F189">
        <f t="shared" si="19"/>
        <v>0</v>
      </c>
      <c r="K189" s="37"/>
      <c r="L189"/>
      <c r="N189" t="str">
        <f t="shared" si="21"/>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20"/>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22"/>
        <v>12</v>
      </c>
      <c r="D190" s="37" cm="1">
        <f t="array" ref="D190:D196">TRANSPOSE(Calendar!B81:H81)</f>
        <v>45277</v>
      </c>
      <c r="E190" cm="1">
        <f t="array" ref="E190:E196">TRANSPOSE(Calendar!B82:H82)</f>
        <v>0</v>
      </c>
      <c r="F190">
        <f t="shared" si="19"/>
        <v>0</v>
      </c>
      <c r="K190" s="37"/>
      <c r="L190"/>
      <c r="N190" t="str">
        <f t="shared" si="21"/>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20"/>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22"/>
        <v>12</v>
      </c>
      <c r="D191" s="37">
        <v>45278</v>
      </c>
      <c r="E191">
        <v>0</v>
      </c>
      <c r="F191">
        <f t="shared" si="19"/>
        <v>0</v>
      </c>
      <c r="K191" s="37"/>
      <c r="L191"/>
      <c r="N191" t="str">
        <f t="shared" si="21"/>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20"/>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22"/>
        <v>12</v>
      </c>
      <c r="D192" s="37">
        <v>45279</v>
      </c>
      <c r="E192">
        <v>0</v>
      </c>
      <c r="F192">
        <f t="shared" si="19"/>
        <v>0</v>
      </c>
      <c r="K192" s="37"/>
      <c r="L192"/>
      <c r="N192" t="str">
        <f t="shared" si="21"/>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20"/>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22"/>
        <v>12</v>
      </c>
      <c r="D193" s="37">
        <v>45280</v>
      </c>
      <c r="E193">
        <v>0</v>
      </c>
      <c r="F193">
        <f t="shared" si="19"/>
        <v>0</v>
      </c>
      <c r="K193" s="37"/>
      <c r="L193"/>
      <c r="N193" t="str">
        <f t="shared" si="21"/>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20"/>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22"/>
        <v>12</v>
      </c>
      <c r="D194" s="37">
        <v>45281</v>
      </c>
      <c r="E194">
        <v>0</v>
      </c>
      <c r="F194">
        <f t="shared" si="19"/>
        <v>0</v>
      </c>
      <c r="K194" s="37"/>
      <c r="L194"/>
      <c r="N194" t="str">
        <f t="shared" si="21"/>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20"/>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22"/>
        <v>12</v>
      </c>
      <c r="D195" s="37">
        <v>45282</v>
      </c>
      <c r="E195">
        <v>0</v>
      </c>
      <c r="F195">
        <f t="shared" si="19"/>
        <v>0</v>
      </c>
      <c r="K195" s="37"/>
      <c r="L195"/>
      <c r="N195" t="str">
        <f t="shared" si="21"/>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20"/>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22"/>
        <v>12</v>
      </c>
      <c r="D196" s="37">
        <v>45283</v>
      </c>
      <c r="E196">
        <v>0</v>
      </c>
      <c r="F196">
        <f t="shared" si="19"/>
        <v>0</v>
      </c>
      <c r="K196" s="37"/>
      <c r="L196"/>
      <c r="N196" t="str">
        <f t="shared" si="21"/>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20"/>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22"/>
        <v>12</v>
      </c>
      <c r="D197" s="37" cm="1">
        <f t="array" ref="D197:D203">TRANSPOSE(Calendar!B83:H83)</f>
        <v>45284</v>
      </c>
      <c r="E197" cm="1">
        <f t="array" ref="E197:E203">TRANSPOSE(Calendar!B84:H84)</f>
        <v>0</v>
      </c>
      <c r="F197">
        <f t="shared" si="19"/>
        <v>0</v>
      </c>
      <c r="K197" s="37"/>
      <c r="L197"/>
      <c r="N197" t="str">
        <f t="shared" si="21"/>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20"/>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22"/>
        <v>12</v>
      </c>
      <c r="D198" s="37">
        <v>45285</v>
      </c>
      <c r="E198" t="str">
        <v>Closed (non-operational)</v>
      </c>
      <c r="F198">
        <f t="shared" si="19"/>
        <v>0</v>
      </c>
      <c r="K198" s="37"/>
      <c r="L198"/>
      <c r="N198" t="str">
        <f t="shared" si="21"/>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20"/>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22"/>
        <v>12</v>
      </c>
      <c r="D199" s="37">
        <v>45286</v>
      </c>
      <c r="E199" t="str">
        <v>Closed (non-operational)</v>
      </c>
      <c r="F199">
        <f t="shared" si="19"/>
        <v>0</v>
      </c>
      <c r="K199" s="37"/>
      <c r="L199"/>
      <c r="N199" t="str">
        <f t="shared" si="21"/>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20"/>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22"/>
        <v>12</v>
      </c>
      <c r="D200" s="37">
        <v>45287</v>
      </c>
      <c r="E200" t="str">
        <v>Closed (non-operational)</v>
      </c>
      <c r="F200">
        <f t="shared" si="19"/>
        <v>0</v>
      </c>
      <c r="K200" s="37"/>
      <c r="L200"/>
      <c r="N200" t="str">
        <f t="shared" si="21"/>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20"/>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22"/>
        <v>12</v>
      </c>
      <c r="D201" s="37">
        <v>45288</v>
      </c>
      <c r="E201" t="str">
        <v>Closed (non-operational)</v>
      </c>
      <c r="F201">
        <f t="shared" si="19"/>
        <v>0</v>
      </c>
      <c r="K201" s="37"/>
      <c r="L201"/>
      <c r="N201" t="str">
        <f t="shared" si="21"/>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20"/>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22"/>
        <v>12</v>
      </c>
      <c r="D202" s="37">
        <v>45289</v>
      </c>
      <c r="E202" t="str">
        <v>Closed (non-operational)</v>
      </c>
      <c r="F202">
        <f t="shared" si="19"/>
        <v>0</v>
      </c>
      <c r="K202" s="37"/>
      <c r="L202"/>
      <c r="N202" t="str">
        <f t="shared" si="21"/>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20"/>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22"/>
        <v>12</v>
      </c>
      <c r="D203" s="37">
        <v>45290</v>
      </c>
      <c r="E203">
        <v>0</v>
      </c>
      <c r="F203">
        <f t="shared" si="19"/>
        <v>0</v>
      </c>
      <c r="K203" s="37"/>
      <c r="L203"/>
      <c r="N203" t="str">
        <f t="shared" si="21"/>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20"/>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22"/>
        <v>12</v>
      </c>
      <c r="D204" s="37" cm="1">
        <f t="array" ref="D204:D205">TRANSPOSE(Calendar!B85:C85)</f>
        <v>45291</v>
      </c>
      <c r="E204" cm="1">
        <f t="array" ref="E204:E205">TRANSPOSE(Calendar!B86:C86)</f>
        <v>0</v>
      </c>
      <c r="F204">
        <f t="shared" si="19"/>
        <v>0</v>
      </c>
      <c r="K204" s="37"/>
      <c r="L204"/>
      <c r="N204" t="str">
        <f t="shared" si="21"/>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20"/>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22"/>
        <v>12</v>
      </c>
      <c r="D205" s="37">
        <v>45292</v>
      </c>
      <c r="E205">
        <v>0</v>
      </c>
      <c r="F205">
        <f t="shared" si="19"/>
        <v>0</v>
      </c>
      <c r="K205" s="37"/>
      <c r="L205"/>
      <c r="N205" t="str">
        <f t="shared" si="21"/>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20"/>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TRANSPOSE(Calendar!B91:H91)</f>
        <v>45291</v>
      </c>
      <c r="E206" cm="1">
        <f t="array" ref="E206:E212">TRANSPOSE(Calendar!B92:H92)</f>
        <v>0</v>
      </c>
      <c r="F206">
        <f t="shared" si="19"/>
        <v>0</v>
      </c>
      <c r="K206" s="37"/>
      <c r="L206"/>
      <c r="N206" t="str">
        <f t="shared" si="21"/>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20"/>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19"/>
        <v>0</v>
      </c>
      <c r="K207" s="37"/>
      <c r="L207"/>
      <c r="N207" t="str">
        <f t="shared" si="21"/>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20"/>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19"/>
        <v>0</v>
      </c>
      <c r="K208" s="37"/>
      <c r="L208"/>
      <c r="N208" t="str">
        <f t="shared" si="21"/>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20"/>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19"/>
        <v>0</v>
      </c>
      <c r="K209" s="37"/>
      <c r="L209"/>
      <c r="N209" t="str">
        <f t="shared" si="21"/>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20"/>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19"/>
        <v>0</v>
      </c>
      <c r="K210" s="37"/>
      <c r="L210"/>
      <c r="N210" t="str">
        <f t="shared" si="21"/>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20"/>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19"/>
        <v>0</v>
      </c>
      <c r="K211" s="37"/>
      <c r="L211"/>
      <c r="N211" t="str">
        <f t="shared" si="21"/>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20"/>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19"/>
        <v>0</v>
      </c>
      <c r="K212" s="37"/>
      <c r="L212"/>
      <c r="N212" t="str">
        <f t="shared" si="21"/>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20"/>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TRANSPOSE(Calendar!B93:H93)</f>
        <v>45298</v>
      </c>
      <c r="E213" cm="1">
        <f t="array" ref="E213:E219">TRANSPOSE(Calendar!B94:H94)</f>
        <v>0</v>
      </c>
      <c r="F213">
        <f t="shared" ref="F213:F276" si="23">IF(AND(MONTH(D213)=C213,D213&gt;=First_Operational_Day,D213&lt;=Last_Operational_Day,WEEKDAY(D213)&lt;&gt;1,WEEKDAY(D213)&lt;&gt;7,E213&lt;&gt;"Closed (non-operational)"),1,0)</f>
        <v>0</v>
      </c>
      <c r="K213" s="37"/>
      <c r="L213"/>
      <c r="N213" t="str">
        <f t="shared" si="21"/>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4">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23"/>
        <v>0</v>
      </c>
      <c r="K214" s="37"/>
      <c r="L214"/>
      <c r="N214" t="str">
        <f t="shared" ref="N214:N226" si="25">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4"/>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23"/>
        <v>0</v>
      </c>
      <c r="K215" s="37"/>
      <c r="L215"/>
      <c r="N215" t="str">
        <f t="shared" si="25"/>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4"/>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23"/>
        <v>0</v>
      </c>
      <c r="K216" s="37"/>
      <c r="L216"/>
      <c r="N216" t="str">
        <f t="shared" si="25"/>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4"/>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23"/>
        <v>0</v>
      </c>
      <c r="K217" s="37"/>
      <c r="L217"/>
      <c r="N217" t="str">
        <f t="shared" si="25"/>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4"/>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23"/>
        <v>0</v>
      </c>
      <c r="K218" s="37"/>
      <c r="L218"/>
      <c r="N218" t="str">
        <f t="shared" si="25"/>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4"/>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23"/>
        <v>0</v>
      </c>
      <c r="K219" s="37"/>
      <c r="L219"/>
      <c r="N219" t="str">
        <f t="shared" si="25"/>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4"/>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TRANSPOSE(Calendar!B95:H95)</f>
        <v>45305</v>
      </c>
      <c r="E220" cm="1">
        <f t="array" ref="E220:E226">TRANSPOSE(Calendar!B96:H96)</f>
        <v>0</v>
      </c>
      <c r="F220">
        <f t="shared" si="23"/>
        <v>0</v>
      </c>
      <c r="K220" s="37"/>
      <c r="L220"/>
      <c r="N220" t="str">
        <f t="shared" si="25"/>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4"/>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23"/>
        <v>0</v>
      </c>
      <c r="K221" s="37"/>
      <c r="L221"/>
      <c r="N221" t="str">
        <f t="shared" si="25"/>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4"/>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23"/>
        <v>0</v>
      </c>
      <c r="K222" s="37"/>
      <c r="L222"/>
      <c r="N222" t="str">
        <f t="shared" si="25"/>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4"/>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23"/>
        <v>0</v>
      </c>
      <c r="K223" s="37"/>
      <c r="L223"/>
      <c r="N223" t="str">
        <f t="shared" si="25"/>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4"/>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23"/>
        <v>0</v>
      </c>
      <c r="K224" s="37"/>
      <c r="L224"/>
      <c r="N224" t="str">
        <f t="shared" si="25"/>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4"/>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23"/>
        <v>0</v>
      </c>
      <c r="K225" s="37"/>
      <c r="L225"/>
      <c r="N225" t="str">
        <f t="shared" si="25"/>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4"/>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23"/>
        <v>0</v>
      </c>
      <c r="K226" s="37"/>
      <c r="L226"/>
      <c r="N226" t="str">
        <f t="shared" si="25"/>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4"/>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TRANSPOSE(Calendar!B97:H97)</f>
        <v>45312</v>
      </c>
      <c r="E227" cm="1">
        <f t="array" ref="E227:E233">TRANSPOSE(Calendar!B98:H98)</f>
        <v>0</v>
      </c>
      <c r="F227">
        <f t="shared" si="23"/>
        <v>0</v>
      </c>
      <c r="K227" s="37"/>
      <c r="L227"/>
    </row>
    <row r="228" spans="3:20" x14ac:dyDescent="0.3">
      <c r="C228">
        <v>1</v>
      </c>
      <c r="D228" s="37">
        <v>45313</v>
      </c>
      <c r="E228">
        <v>0</v>
      </c>
      <c r="F228">
        <f t="shared" si="23"/>
        <v>0</v>
      </c>
      <c r="K228" s="37"/>
      <c r="L228"/>
    </row>
    <row r="229" spans="3:20" x14ac:dyDescent="0.3">
      <c r="C229">
        <v>1</v>
      </c>
      <c r="D229" s="37">
        <v>45314</v>
      </c>
      <c r="E229">
        <v>0</v>
      </c>
      <c r="F229">
        <f t="shared" si="23"/>
        <v>0</v>
      </c>
      <c r="K229" s="37"/>
      <c r="L229"/>
    </row>
    <row r="230" spans="3:20" x14ac:dyDescent="0.3">
      <c r="C230">
        <v>1</v>
      </c>
      <c r="D230" s="37">
        <v>45315</v>
      </c>
      <c r="E230">
        <v>0</v>
      </c>
      <c r="F230">
        <f t="shared" si="23"/>
        <v>0</v>
      </c>
      <c r="K230" s="37"/>
      <c r="L230"/>
    </row>
    <row r="231" spans="3:20" x14ac:dyDescent="0.3">
      <c r="C231">
        <v>1</v>
      </c>
      <c r="D231" s="37">
        <v>45316</v>
      </c>
      <c r="E231">
        <v>0</v>
      </c>
      <c r="F231">
        <f t="shared" si="23"/>
        <v>0</v>
      </c>
      <c r="K231" s="37"/>
      <c r="L231"/>
    </row>
    <row r="232" spans="3:20" x14ac:dyDescent="0.3">
      <c r="C232">
        <v>1</v>
      </c>
      <c r="D232" s="37">
        <v>45317</v>
      </c>
      <c r="E232">
        <v>0</v>
      </c>
      <c r="F232">
        <f t="shared" si="23"/>
        <v>0</v>
      </c>
      <c r="K232" s="37"/>
      <c r="L232"/>
    </row>
    <row r="233" spans="3:20" x14ac:dyDescent="0.3">
      <c r="C233">
        <v>1</v>
      </c>
      <c r="D233" s="37">
        <v>45318</v>
      </c>
      <c r="E233">
        <v>0</v>
      </c>
      <c r="F233">
        <f t="shared" si="23"/>
        <v>0</v>
      </c>
      <c r="K233" s="37"/>
      <c r="L233"/>
    </row>
    <row r="234" spans="3:20" x14ac:dyDescent="0.3">
      <c r="C234">
        <v>1</v>
      </c>
      <c r="D234" s="37" cm="1">
        <f t="array" ref="D234:D240">TRANSPOSE(Calendar!B99:H99)</f>
        <v>45319</v>
      </c>
      <c r="E234" cm="1">
        <f t="array" ref="E234:E240">TRANSPOSE(Calendar!B100:H100)</f>
        <v>0</v>
      </c>
      <c r="F234">
        <f t="shared" si="23"/>
        <v>0</v>
      </c>
      <c r="K234" s="37"/>
      <c r="L234"/>
    </row>
    <row r="235" spans="3:20" x14ac:dyDescent="0.3">
      <c r="C235">
        <v>1</v>
      </c>
      <c r="D235" s="37">
        <v>45320</v>
      </c>
      <c r="E235">
        <v>0</v>
      </c>
      <c r="F235">
        <f t="shared" si="23"/>
        <v>0</v>
      </c>
      <c r="K235" s="37"/>
      <c r="L235"/>
    </row>
    <row r="236" spans="3:20" x14ac:dyDescent="0.3">
      <c r="C236">
        <v>1</v>
      </c>
      <c r="D236" s="37">
        <v>45321</v>
      </c>
      <c r="E236" s="120">
        <v>0</v>
      </c>
      <c r="F236">
        <f t="shared" si="23"/>
        <v>0</v>
      </c>
      <c r="K236" s="37"/>
      <c r="L236"/>
    </row>
    <row r="237" spans="3:20" x14ac:dyDescent="0.3">
      <c r="C237">
        <v>1</v>
      </c>
      <c r="D237" s="37">
        <v>45322</v>
      </c>
      <c r="E237">
        <v>0</v>
      </c>
      <c r="F237">
        <f t="shared" si="23"/>
        <v>0</v>
      </c>
      <c r="K237" s="37"/>
      <c r="L237"/>
    </row>
    <row r="238" spans="3:20" x14ac:dyDescent="0.3">
      <c r="C238">
        <v>1</v>
      </c>
      <c r="D238" s="37">
        <v>45323</v>
      </c>
      <c r="E238">
        <v>0</v>
      </c>
      <c r="F238">
        <f t="shared" si="23"/>
        <v>0</v>
      </c>
      <c r="K238" s="37"/>
      <c r="L238"/>
    </row>
    <row r="239" spans="3:20" x14ac:dyDescent="0.3">
      <c r="C239">
        <v>1</v>
      </c>
      <c r="D239" s="37">
        <v>45324</v>
      </c>
      <c r="E239">
        <v>0</v>
      </c>
      <c r="F239">
        <f t="shared" si="23"/>
        <v>0</v>
      </c>
      <c r="K239" s="37"/>
      <c r="L239"/>
    </row>
    <row r="240" spans="3:20" x14ac:dyDescent="0.3">
      <c r="C240">
        <v>1</v>
      </c>
      <c r="D240" s="37">
        <v>45325</v>
      </c>
      <c r="E240">
        <v>0</v>
      </c>
      <c r="F240">
        <f t="shared" si="23"/>
        <v>0</v>
      </c>
      <c r="K240" s="37"/>
      <c r="L240"/>
    </row>
    <row r="241" spans="3:12" x14ac:dyDescent="0.3">
      <c r="C241">
        <v>1</v>
      </c>
      <c r="D241" s="37" cm="1">
        <f t="array" ref="D241:D242">TRANSPOSE(Calendar!B101:C101)</f>
        <v>45326</v>
      </c>
      <c r="E241" cm="1">
        <f t="array" ref="E241:E242">TRANSPOSE(Calendar!B102:C102)</f>
        <v>0</v>
      </c>
      <c r="F241">
        <f t="shared" si="23"/>
        <v>0</v>
      </c>
      <c r="K241" s="37"/>
      <c r="L241"/>
    </row>
    <row r="242" spans="3:12" x14ac:dyDescent="0.3">
      <c r="C242">
        <v>1</v>
      </c>
      <c r="D242" s="37">
        <v>45327</v>
      </c>
      <c r="E242">
        <v>0</v>
      </c>
      <c r="F242">
        <f t="shared" si="23"/>
        <v>0</v>
      </c>
      <c r="K242" s="37"/>
      <c r="L242"/>
    </row>
    <row r="243" spans="3:12" x14ac:dyDescent="0.3">
      <c r="C243">
        <v>2</v>
      </c>
      <c r="D243" s="37" cm="1">
        <f t="array" ref="D243:D249">TRANSPOSE(Calendar!B107:H107)</f>
        <v>45319</v>
      </c>
      <c r="E243" cm="1">
        <f t="array" ref="E243:E249">TRANSPOSE(Calendar!B108:H108)</f>
        <v>0</v>
      </c>
      <c r="F243">
        <f t="shared" si="23"/>
        <v>0</v>
      </c>
      <c r="K243" s="37"/>
      <c r="L243"/>
    </row>
    <row r="244" spans="3:12" x14ac:dyDescent="0.3">
      <c r="C244">
        <v>2</v>
      </c>
      <c r="D244" s="37">
        <v>45320</v>
      </c>
      <c r="E244">
        <v>0</v>
      </c>
      <c r="F244">
        <f t="shared" si="23"/>
        <v>0</v>
      </c>
      <c r="K244" s="37"/>
      <c r="L244"/>
    </row>
    <row r="245" spans="3:12" x14ac:dyDescent="0.3">
      <c r="C245">
        <v>2</v>
      </c>
      <c r="D245" s="37">
        <v>45321</v>
      </c>
      <c r="E245">
        <v>0</v>
      </c>
      <c r="F245">
        <f t="shared" si="23"/>
        <v>0</v>
      </c>
      <c r="K245" s="37"/>
      <c r="L245"/>
    </row>
    <row r="246" spans="3:12" x14ac:dyDescent="0.3">
      <c r="C246">
        <v>2</v>
      </c>
      <c r="D246" s="37">
        <v>45322</v>
      </c>
      <c r="E246">
        <v>0</v>
      </c>
      <c r="F246">
        <f t="shared" si="23"/>
        <v>0</v>
      </c>
      <c r="K246" s="37"/>
      <c r="L246"/>
    </row>
    <row r="247" spans="3:12" x14ac:dyDescent="0.3">
      <c r="C247">
        <v>2</v>
      </c>
      <c r="D247" s="37">
        <v>45323</v>
      </c>
      <c r="E247">
        <v>0</v>
      </c>
      <c r="F247">
        <f t="shared" si="23"/>
        <v>0</v>
      </c>
      <c r="K247" s="37"/>
      <c r="L247"/>
    </row>
    <row r="248" spans="3:12" x14ac:dyDescent="0.3">
      <c r="C248">
        <v>2</v>
      </c>
      <c r="D248" s="37">
        <v>45324</v>
      </c>
      <c r="E248">
        <v>0</v>
      </c>
      <c r="F248">
        <f t="shared" si="23"/>
        <v>0</v>
      </c>
      <c r="K248" s="37"/>
      <c r="L248"/>
    </row>
    <row r="249" spans="3:12" x14ac:dyDescent="0.3">
      <c r="C249">
        <v>2</v>
      </c>
      <c r="D249" s="37">
        <v>45325</v>
      </c>
      <c r="E249">
        <v>0</v>
      </c>
      <c r="F249">
        <f t="shared" si="23"/>
        <v>0</v>
      </c>
      <c r="K249" s="37"/>
      <c r="L249"/>
    </row>
    <row r="250" spans="3:12" x14ac:dyDescent="0.3">
      <c r="C250">
        <v>2</v>
      </c>
      <c r="D250" s="37" cm="1">
        <f t="array" ref="D250:D256">TRANSPOSE(Calendar!B109:H109)</f>
        <v>45326</v>
      </c>
      <c r="E250" cm="1">
        <f t="array" ref="E250:E256">TRANSPOSE(Calendar!B110:H110)</f>
        <v>0</v>
      </c>
      <c r="F250">
        <f t="shared" si="23"/>
        <v>0</v>
      </c>
      <c r="K250" s="37"/>
      <c r="L250"/>
    </row>
    <row r="251" spans="3:12" x14ac:dyDescent="0.3">
      <c r="C251">
        <v>2</v>
      </c>
      <c r="D251" s="37">
        <v>45327</v>
      </c>
      <c r="E251">
        <v>0</v>
      </c>
      <c r="F251">
        <f t="shared" si="23"/>
        <v>0</v>
      </c>
      <c r="K251" s="37"/>
      <c r="L251"/>
    </row>
    <row r="252" spans="3:12" x14ac:dyDescent="0.3">
      <c r="C252">
        <v>2</v>
      </c>
      <c r="D252" s="37">
        <v>45328</v>
      </c>
      <c r="E252">
        <v>0</v>
      </c>
      <c r="F252">
        <f t="shared" si="23"/>
        <v>0</v>
      </c>
      <c r="K252" s="37"/>
      <c r="L252"/>
    </row>
    <row r="253" spans="3:12" x14ac:dyDescent="0.3">
      <c r="C253">
        <v>2</v>
      </c>
      <c r="D253" s="37">
        <v>45329</v>
      </c>
      <c r="E253">
        <v>0</v>
      </c>
      <c r="F253">
        <f t="shared" si="23"/>
        <v>0</v>
      </c>
      <c r="K253" s="37"/>
      <c r="L253"/>
    </row>
    <row r="254" spans="3:12" x14ac:dyDescent="0.3">
      <c r="C254">
        <v>2</v>
      </c>
      <c r="D254" s="37">
        <v>45330</v>
      </c>
      <c r="E254">
        <v>0</v>
      </c>
      <c r="F254">
        <f t="shared" si="23"/>
        <v>0</v>
      </c>
      <c r="K254" s="37"/>
      <c r="L254"/>
    </row>
    <row r="255" spans="3:12" x14ac:dyDescent="0.3">
      <c r="C255">
        <v>2</v>
      </c>
      <c r="D255" s="37">
        <v>45331</v>
      </c>
      <c r="E255">
        <v>0</v>
      </c>
      <c r="F255">
        <f t="shared" si="23"/>
        <v>0</v>
      </c>
      <c r="K255" s="37"/>
      <c r="L255"/>
    </row>
    <row r="256" spans="3:12" x14ac:dyDescent="0.3">
      <c r="C256">
        <v>2</v>
      </c>
      <c r="D256" s="37">
        <v>45332</v>
      </c>
      <c r="E256">
        <v>0</v>
      </c>
      <c r="F256">
        <f t="shared" si="23"/>
        <v>0</v>
      </c>
      <c r="K256" s="37"/>
      <c r="L256"/>
    </row>
    <row r="257" spans="3:12" x14ac:dyDescent="0.3">
      <c r="C257">
        <v>2</v>
      </c>
      <c r="D257" s="37" cm="1">
        <f t="array" ref="D257:D263">TRANSPOSE(Calendar!B111:H111)</f>
        <v>45333</v>
      </c>
      <c r="E257" cm="1">
        <f t="array" ref="E257:E263">TRANSPOSE(Calendar!B112:H112)</f>
        <v>0</v>
      </c>
      <c r="F257">
        <f t="shared" si="23"/>
        <v>0</v>
      </c>
      <c r="K257" s="37"/>
      <c r="L257"/>
    </row>
    <row r="258" spans="3:12" x14ac:dyDescent="0.3">
      <c r="C258">
        <v>2</v>
      </c>
      <c r="D258" s="37">
        <v>45334</v>
      </c>
      <c r="E258">
        <v>0</v>
      </c>
      <c r="F258">
        <f t="shared" si="23"/>
        <v>0</v>
      </c>
      <c r="K258" s="37"/>
      <c r="L258"/>
    </row>
    <row r="259" spans="3:12" x14ac:dyDescent="0.3">
      <c r="C259">
        <v>2</v>
      </c>
      <c r="D259" s="37">
        <v>45335</v>
      </c>
      <c r="E259">
        <v>0</v>
      </c>
      <c r="F259">
        <f t="shared" si="23"/>
        <v>0</v>
      </c>
      <c r="K259" s="37"/>
      <c r="L259"/>
    </row>
    <row r="260" spans="3:12" x14ac:dyDescent="0.3">
      <c r="C260">
        <v>2</v>
      </c>
      <c r="D260" s="37">
        <v>45336</v>
      </c>
      <c r="E260">
        <v>0</v>
      </c>
      <c r="F260">
        <f t="shared" si="23"/>
        <v>0</v>
      </c>
      <c r="K260" s="37"/>
      <c r="L260"/>
    </row>
    <row r="261" spans="3:12" x14ac:dyDescent="0.3">
      <c r="C261">
        <v>2</v>
      </c>
      <c r="D261" s="37">
        <v>45337</v>
      </c>
      <c r="E261">
        <v>0</v>
      </c>
      <c r="F261">
        <f t="shared" si="23"/>
        <v>0</v>
      </c>
      <c r="K261" s="37"/>
      <c r="L261"/>
    </row>
    <row r="262" spans="3:12" x14ac:dyDescent="0.3">
      <c r="C262">
        <v>2</v>
      </c>
      <c r="D262" s="37">
        <v>45338</v>
      </c>
      <c r="E262">
        <v>0</v>
      </c>
      <c r="F262">
        <f t="shared" si="23"/>
        <v>0</v>
      </c>
      <c r="K262" s="37"/>
      <c r="L262"/>
    </row>
    <row r="263" spans="3:12" x14ac:dyDescent="0.3">
      <c r="C263">
        <v>2</v>
      </c>
      <c r="D263" s="37">
        <v>45339</v>
      </c>
      <c r="E263">
        <v>0</v>
      </c>
      <c r="F263">
        <f t="shared" si="23"/>
        <v>0</v>
      </c>
      <c r="K263" s="37"/>
      <c r="L263"/>
    </row>
    <row r="264" spans="3:12" x14ac:dyDescent="0.3">
      <c r="C264">
        <v>2</v>
      </c>
      <c r="D264" s="37" cm="1">
        <f t="array" ref="D264:D270">TRANSPOSE(Calendar!B113:H113)</f>
        <v>45340</v>
      </c>
      <c r="E264" cm="1">
        <f t="array" ref="E264:E270">TRANSPOSE(Calendar!B114:H114)</f>
        <v>0</v>
      </c>
      <c r="F264">
        <f t="shared" si="23"/>
        <v>0</v>
      </c>
      <c r="K264" s="37"/>
      <c r="L264"/>
    </row>
    <row r="265" spans="3:12" x14ac:dyDescent="0.3">
      <c r="C265">
        <v>2</v>
      </c>
      <c r="D265" s="37">
        <v>45341</v>
      </c>
      <c r="E265" t="str">
        <v>Closed (non-operational)</v>
      </c>
      <c r="F265">
        <f t="shared" si="23"/>
        <v>0</v>
      </c>
      <c r="K265" s="37"/>
      <c r="L265"/>
    </row>
    <row r="266" spans="3:12" x14ac:dyDescent="0.3">
      <c r="C266">
        <v>2</v>
      </c>
      <c r="D266" s="37">
        <v>45342</v>
      </c>
      <c r="E266">
        <v>0</v>
      </c>
      <c r="F266">
        <f t="shared" si="23"/>
        <v>0</v>
      </c>
      <c r="K266" s="37"/>
      <c r="L266"/>
    </row>
    <row r="267" spans="3:12" x14ac:dyDescent="0.3">
      <c r="C267">
        <v>2</v>
      </c>
      <c r="D267" s="37">
        <v>45343</v>
      </c>
      <c r="E267">
        <v>0</v>
      </c>
      <c r="F267">
        <f t="shared" si="23"/>
        <v>0</v>
      </c>
      <c r="K267" s="37"/>
      <c r="L267"/>
    </row>
    <row r="268" spans="3:12" x14ac:dyDescent="0.3">
      <c r="C268">
        <v>2</v>
      </c>
      <c r="D268" s="37">
        <v>45344</v>
      </c>
      <c r="E268">
        <v>0</v>
      </c>
      <c r="F268">
        <f t="shared" si="23"/>
        <v>0</v>
      </c>
      <c r="K268" s="37"/>
      <c r="L268"/>
    </row>
    <row r="269" spans="3:12" x14ac:dyDescent="0.3">
      <c r="C269">
        <v>2</v>
      </c>
      <c r="D269" s="37">
        <v>45345</v>
      </c>
      <c r="E269">
        <v>0</v>
      </c>
      <c r="F269">
        <f t="shared" si="23"/>
        <v>0</v>
      </c>
      <c r="K269" s="37"/>
      <c r="L269"/>
    </row>
    <row r="270" spans="3:12" x14ac:dyDescent="0.3">
      <c r="C270">
        <v>2</v>
      </c>
      <c r="D270" s="37">
        <v>45346</v>
      </c>
      <c r="E270">
        <v>0</v>
      </c>
      <c r="F270">
        <f t="shared" si="23"/>
        <v>0</v>
      </c>
      <c r="K270" s="37"/>
      <c r="L270"/>
    </row>
    <row r="271" spans="3:12" x14ac:dyDescent="0.3">
      <c r="C271">
        <v>2</v>
      </c>
      <c r="D271" s="37" cm="1">
        <f t="array" ref="D271:D277">TRANSPOSE(Calendar!B115:H115)</f>
        <v>45347</v>
      </c>
      <c r="E271" cm="1">
        <f t="array" ref="E271:E277">TRANSPOSE(Calendar!B116:H116)</f>
        <v>0</v>
      </c>
      <c r="F271">
        <f t="shared" si="23"/>
        <v>0</v>
      </c>
      <c r="K271" s="37"/>
      <c r="L271"/>
    </row>
    <row r="272" spans="3:12" x14ac:dyDescent="0.3">
      <c r="C272">
        <v>2</v>
      </c>
      <c r="D272" s="37">
        <v>45348</v>
      </c>
      <c r="E272">
        <v>0</v>
      </c>
      <c r="F272">
        <f t="shared" si="23"/>
        <v>0</v>
      </c>
      <c r="K272" s="37"/>
      <c r="L272"/>
    </row>
    <row r="273" spans="3:12" x14ac:dyDescent="0.3">
      <c r="C273">
        <v>2</v>
      </c>
      <c r="D273" s="37">
        <v>45349</v>
      </c>
      <c r="E273">
        <v>0</v>
      </c>
      <c r="F273">
        <f t="shared" si="23"/>
        <v>0</v>
      </c>
      <c r="K273" s="37"/>
      <c r="L273"/>
    </row>
    <row r="274" spans="3:12" x14ac:dyDescent="0.3">
      <c r="C274">
        <v>2</v>
      </c>
      <c r="D274" s="37">
        <v>45350</v>
      </c>
      <c r="E274">
        <v>0</v>
      </c>
      <c r="F274">
        <f t="shared" si="23"/>
        <v>0</v>
      </c>
      <c r="K274" s="37"/>
      <c r="L274"/>
    </row>
    <row r="275" spans="3:12" x14ac:dyDescent="0.3">
      <c r="C275">
        <v>2</v>
      </c>
      <c r="D275" s="37">
        <v>45351</v>
      </c>
      <c r="E275">
        <v>0</v>
      </c>
      <c r="F275">
        <f t="shared" si="23"/>
        <v>0</v>
      </c>
      <c r="K275" s="37"/>
      <c r="L275"/>
    </row>
    <row r="276" spans="3:12" x14ac:dyDescent="0.3">
      <c r="C276">
        <v>2</v>
      </c>
      <c r="D276" s="37">
        <v>45352</v>
      </c>
      <c r="E276">
        <v>0</v>
      </c>
      <c r="F276">
        <f t="shared" si="23"/>
        <v>0</v>
      </c>
      <c r="K276" s="37"/>
      <c r="L276"/>
    </row>
    <row r="277" spans="3:12" x14ac:dyDescent="0.3">
      <c r="C277">
        <v>2</v>
      </c>
      <c r="D277" s="37">
        <v>45353</v>
      </c>
      <c r="E277">
        <v>0</v>
      </c>
      <c r="F277">
        <f t="shared" ref="F277:F340" si="26">IF(AND(MONTH(D277)=C277,D277&gt;=First_Operational_Day,D277&lt;=Last_Operational_Day,WEEKDAY(D277)&lt;&gt;1,WEEKDAY(D277)&lt;&gt;7,E277&lt;&gt;"Closed (non-operational)"),1,0)</f>
        <v>0</v>
      </c>
      <c r="K277" s="37"/>
      <c r="L277"/>
    </row>
    <row r="278" spans="3:12" x14ac:dyDescent="0.3">
      <c r="C278">
        <v>2</v>
      </c>
      <c r="D278" s="37" cm="1">
        <f t="array" ref="D278:D279">TRANSPOSE(Calendar!B117:C117)</f>
        <v>45354</v>
      </c>
      <c r="E278" cm="1">
        <f t="array" ref="E278:E279">TRANSPOSE(Calendar!B118:C118)</f>
        <v>0</v>
      </c>
      <c r="F278">
        <f t="shared" si="26"/>
        <v>0</v>
      </c>
      <c r="K278" s="37"/>
      <c r="L278"/>
    </row>
    <row r="279" spans="3:12" x14ac:dyDescent="0.3">
      <c r="C279">
        <v>2</v>
      </c>
      <c r="D279" s="37">
        <v>45355</v>
      </c>
      <c r="E279">
        <v>0</v>
      </c>
      <c r="F279">
        <f t="shared" si="26"/>
        <v>0</v>
      </c>
      <c r="K279" s="37"/>
      <c r="L279"/>
    </row>
    <row r="280" spans="3:12" x14ac:dyDescent="0.3">
      <c r="C280">
        <v>3</v>
      </c>
      <c r="D280" s="37" cm="1">
        <f t="array" ref="D280:D286">TRANSPOSE(Calendar!B123:H123)</f>
        <v>45347</v>
      </c>
      <c r="E280" cm="1">
        <f t="array" ref="E280:E286">TRANSPOSE(Calendar!B124:H124)</f>
        <v>0</v>
      </c>
      <c r="F280">
        <f t="shared" si="26"/>
        <v>0</v>
      </c>
      <c r="K280" s="37"/>
      <c r="L280"/>
    </row>
    <row r="281" spans="3:12" x14ac:dyDescent="0.3">
      <c r="C281">
        <v>3</v>
      </c>
      <c r="D281" s="37">
        <v>45348</v>
      </c>
      <c r="E281">
        <v>0</v>
      </c>
      <c r="F281">
        <f t="shared" si="26"/>
        <v>0</v>
      </c>
      <c r="K281" s="37"/>
      <c r="L281"/>
    </row>
    <row r="282" spans="3:12" x14ac:dyDescent="0.3">
      <c r="C282">
        <v>3</v>
      </c>
      <c r="D282" s="37">
        <v>45349</v>
      </c>
      <c r="E282">
        <v>0</v>
      </c>
      <c r="F282">
        <f t="shared" si="26"/>
        <v>0</v>
      </c>
      <c r="K282" s="37"/>
      <c r="L282"/>
    </row>
    <row r="283" spans="3:12" x14ac:dyDescent="0.3">
      <c r="C283">
        <v>3</v>
      </c>
      <c r="D283" s="37">
        <v>45350</v>
      </c>
      <c r="E283">
        <v>0</v>
      </c>
      <c r="F283">
        <f t="shared" si="26"/>
        <v>0</v>
      </c>
      <c r="K283" s="37"/>
      <c r="L283"/>
    </row>
    <row r="284" spans="3:12" x14ac:dyDescent="0.3">
      <c r="C284">
        <v>3</v>
      </c>
      <c r="D284" s="37">
        <v>45351</v>
      </c>
      <c r="E284">
        <v>0</v>
      </c>
      <c r="F284">
        <f t="shared" si="26"/>
        <v>0</v>
      </c>
      <c r="K284" s="37"/>
      <c r="L284"/>
    </row>
    <row r="285" spans="3:12" x14ac:dyDescent="0.3">
      <c r="C285">
        <v>3</v>
      </c>
      <c r="D285" s="37">
        <v>45352</v>
      </c>
      <c r="E285">
        <v>0</v>
      </c>
      <c r="F285">
        <f t="shared" si="26"/>
        <v>0</v>
      </c>
      <c r="K285" s="37"/>
      <c r="L285"/>
    </row>
    <row r="286" spans="3:12" x14ac:dyDescent="0.3">
      <c r="C286">
        <v>3</v>
      </c>
      <c r="D286" s="37">
        <v>45353</v>
      </c>
      <c r="E286">
        <v>0</v>
      </c>
      <c r="F286">
        <f t="shared" si="26"/>
        <v>0</v>
      </c>
      <c r="K286" s="37"/>
      <c r="L286"/>
    </row>
    <row r="287" spans="3:12" x14ac:dyDescent="0.3">
      <c r="C287">
        <v>3</v>
      </c>
      <c r="D287" s="37" cm="1">
        <f t="array" ref="D287:D293">TRANSPOSE(Calendar!B125:H125)</f>
        <v>45354</v>
      </c>
      <c r="E287" cm="1">
        <f t="array" ref="E287:E293">TRANSPOSE(Calendar!B126:H126)</f>
        <v>0</v>
      </c>
      <c r="F287">
        <f t="shared" si="26"/>
        <v>0</v>
      </c>
      <c r="K287" s="37"/>
      <c r="L287"/>
    </row>
    <row r="288" spans="3:12" x14ac:dyDescent="0.3">
      <c r="C288">
        <v>3</v>
      </c>
      <c r="D288" s="37">
        <v>45355</v>
      </c>
      <c r="E288">
        <v>0</v>
      </c>
      <c r="F288">
        <f t="shared" si="26"/>
        <v>0</v>
      </c>
      <c r="K288" s="37"/>
      <c r="L288"/>
    </row>
    <row r="289" spans="3:12" x14ac:dyDescent="0.3">
      <c r="C289">
        <v>3</v>
      </c>
      <c r="D289" s="37">
        <v>45356</v>
      </c>
      <c r="E289">
        <v>0</v>
      </c>
      <c r="F289">
        <f t="shared" si="26"/>
        <v>0</v>
      </c>
      <c r="K289" s="37"/>
      <c r="L289"/>
    </row>
    <row r="290" spans="3:12" x14ac:dyDescent="0.3">
      <c r="C290">
        <v>3</v>
      </c>
      <c r="D290" s="37">
        <v>45357</v>
      </c>
      <c r="E290">
        <v>0</v>
      </c>
      <c r="F290">
        <f t="shared" si="26"/>
        <v>0</v>
      </c>
      <c r="K290" s="37"/>
      <c r="L290"/>
    </row>
    <row r="291" spans="3:12" x14ac:dyDescent="0.3">
      <c r="C291">
        <v>3</v>
      </c>
      <c r="D291" s="37">
        <v>45358</v>
      </c>
      <c r="E291">
        <v>0</v>
      </c>
      <c r="F291">
        <f t="shared" si="26"/>
        <v>0</v>
      </c>
      <c r="K291" s="37"/>
      <c r="L291"/>
    </row>
    <row r="292" spans="3:12" x14ac:dyDescent="0.3">
      <c r="C292">
        <v>3</v>
      </c>
      <c r="D292" s="37">
        <v>45359</v>
      </c>
      <c r="E292">
        <v>0</v>
      </c>
      <c r="F292">
        <f t="shared" si="26"/>
        <v>0</v>
      </c>
      <c r="K292" s="37"/>
      <c r="L292"/>
    </row>
    <row r="293" spans="3:12" x14ac:dyDescent="0.3">
      <c r="C293">
        <v>3</v>
      </c>
      <c r="D293" s="37">
        <v>45360</v>
      </c>
      <c r="E293">
        <v>0</v>
      </c>
      <c r="F293">
        <f t="shared" si="26"/>
        <v>0</v>
      </c>
      <c r="K293" s="37"/>
      <c r="L293"/>
    </row>
    <row r="294" spans="3:12" x14ac:dyDescent="0.3">
      <c r="C294">
        <v>3</v>
      </c>
      <c r="D294" s="37" cm="1">
        <f t="array" ref="D294:D300">TRANSPOSE(Calendar!B127:H127)</f>
        <v>45361</v>
      </c>
      <c r="E294" cm="1">
        <f t="array" ref="E294:E300">TRANSPOSE(Calendar!B128:H128)</f>
        <v>0</v>
      </c>
      <c r="F294">
        <f t="shared" si="26"/>
        <v>0</v>
      </c>
      <c r="K294" s="37"/>
      <c r="L294"/>
    </row>
    <row r="295" spans="3:12" x14ac:dyDescent="0.3">
      <c r="C295">
        <v>3</v>
      </c>
      <c r="D295" s="37">
        <v>45362</v>
      </c>
      <c r="E295">
        <v>0</v>
      </c>
      <c r="F295">
        <f t="shared" si="26"/>
        <v>0</v>
      </c>
      <c r="K295" s="37"/>
      <c r="L295"/>
    </row>
    <row r="296" spans="3:12" x14ac:dyDescent="0.3">
      <c r="C296">
        <v>3</v>
      </c>
      <c r="D296" s="37">
        <v>45363</v>
      </c>
      <c r="E296">
        <v>0</v>
      </c>
      <c r="F296">
        <f t="shared" si="26"/>
        <v>0</v>
      </c>
      <c r="K296" s="37"/>
      <c r="L296"/>
    </row>
    <row r="297" spans="3:12" x14ac:dyDescent="0.3">
      <c r="C297">
        <v>3</v>
      </c>
      <c r="D297" s="37">
        <v>45364</v>
      </c>
      <c r="E297">
        <v>0</v>
      </c>
      <c r="F297">
        <f t="shared" si="26"/>
        <v>0</v>
      </c>
      <c r="K297" s="37"/>
      <c r="L297"/>
    </row>
    <row r="298" spans="3:12" x14ac:dyDescent="0.3">
      <c r="C298">
        <v>3</v>
      </c>
      <c r="D298" s="37">
        <v>45365</v>
      </c>
      <c r="E298">
        <v>0</v>
      </c>
      <c r="F298">
        <f t="shared" si="26"/>
        <v>0</v>
      </c>
      <c r="K298" s="37"/>
      <c r="L298"/>
    </row>
    <row r="299" spans="3:12" x14ac:dyDescent="0.3">
      <c r="C299">
        <v>3</v>
      </c>
      <c r="D299" s="37">
        <v>45366</v>
      </c>
      <c r="E299">
        <v>0</v>
      </c>
      <c r="F299">
        <f t="shared" si="26"/>
        <v>0</v>
      </c>
      <c r="K299" s="37"/>
      <c r="L299"/>
    </row>
    <row r="300" spans="3:12" x14ac:dyDescent="0.3">
      <c r="C300">
        <v>3</v>
      </c>
      <c r="D300" s="37">
        <v>45367</v>
      </c>
      <c r="E300">
        <v>0</v>
      </c>
      <c r="F300">
        <f t="shared" si="26"/>
        <v>0</v>
      </c>
      <c r="K300" s="37"/>
      <c r="L300"/>
    </row>
    <row r="301" spans="3:12" x14ac:dyDescent="0.3">
      <c r="C301">
        <v>3</v>
      </c>
      <c r="D301" s="37" cm="1">
        <f t="array" ref="D301:D307">TRANSPOSE(Calendar!B129:H129)</f>
        <v>45368</v>
      </c>
      <c r="E301" cm="1">
        <f t="array" ref="E301:E307">TRANSPOSE(Calendar!B130:H130)</f>
        <v>0</v>
      </c>
      <c r="F301">
        <f t="shared" si="26"/>
        <v>0</v>
      </c>
      <c r="K301" s="37"/>
      <c r="L301"/>
    </row>
    <row r="302" spans="3:12" x14ac:dyDescent="0.3">
      <c r="C302">
        <v>3</v>
      </c>
      <c r="D302" s="37">
        <v>45369</v>
      </c>
      <c r="E302">
        <v>0</v>
      </c>
      <c r="F302">
        <f t="shared" si="26"/>
        <v>0</v>
      </c>
      <c r="K302" s="37"/>
      <c r="L302"/>
    </row>
    <row r="303" spans="3:12" x14ac:dyDescent="0.3">
      <c r="C303">
        <v>3</v>
      </c>
      <c r="D303" s="37">
        <v>45370</v>
      </c>
      <c r="E303">
        <v>0</v>
      </c>
      <c r="F303">
        <f t="shared" si="26"/>
        <v>0</v>
      </c>
      <c r="K303" s="37"/>
      <c r="L303"/>
    </row>
    <row r="304" spans="3:12" x14ac:dyDescent="0.3">
      <c r="C304">
        <v>3</v>
      </c>
      <c r="D304" s="37">
        <v>45371</v>
      </c>
      <c r="E304">
        <v>0</v>
      </c>
      <c r="F304">
        <f t="shared" si="26"/>
        <v>0</v>
      </c>
      <c r="K304" s="37"/>
      <c r="L304"/>
    </row>
    <row r="305" spans="3:12" x14ac:dyDescent="0.3">
      <c r="C305">
        <v>3</v>
      </c>
      <c r="D305" s="37">
        <v>45372</v>
      </c>
      <c r="E305">
        <v>0</v>
      </c>
      <c r="F305">
        <f t="shared" si="26"/>
        <v>0</v>
      </c>
      <c r="K305" s="37"/>
      <c r="L305"/>
    </row>
    <row r="306" spans="3:12" x14ac:dyDescent="0.3">
      <c r="C306">
        <v>3</v>
      </c>
      <c r="D306" s="37">
        <v>45373</v>
      </c>
      <c r="E306">
        <v>0</v>
      </c>
      <c r="F306">
        <f t="shared" si="26"/>
        <v>0</v>
      </c>
      <c r="K306" s="37"/>
      <c r="L306"/>
    </row>
    <row r="307" spans="3:12" x14ac:dyDescent="0.3">
      <c r="C307">
        <v>3</v>
      </c>
      <c r="D307" s="37">
        <v>45374</v>
      </c>
      <c r="E307">
        <v>0</v>
      </c>
      <c r="F307">
        <f t="shared" si="26"/>
        <v>0</v>
      </c>
      <c r="K307" s="37"/>
      <c r="L307"/>
    </row>
    <row r="308" spans="3:12" x14ac:dyDescent="0.3">
      <c r="C308">
        <v>3</v>
      </c>
      <c r="D308" s="37" cm="1">
        <f t="array" ref="D308:D314">TRANSPOSE(Calendar!B131:H131)</f>
        <v>45375</v>
      </c>
      <c r="E308" cm="1">
        <f t="array" ref="E308:E314">TRANSPOSE(Calendar!B132:H132)</f>
        <v>0</v>
      </c>
      <c r="F308">
        <f t="shared" si="26"/>
        <v>0</v>
      </c>
      <c r="K308" s="37"/>
      <c r="L308"/>
    </row>
    <row r="309" spans="3:12" x14ac:dyDescent="0.3">
      <c r="C309">
        <v>3</v>
      </c>
      <c r="D309" s="37">
        <v>45376</v>
      </c>
      <c r="E309">
        <v>0</v>
      </c>
      <c r="F309">
        <f t="shared" si="26"/>
        <v>0</v>
      </c>
      <c r="K309" s="37"/>
      <c r="L309"/>
    </row>
    <row r="310" spans="3:12" x14ac:dyDescent="0.3">
      <c r="C310">
        <v>3</v>
      </c>
      <c r="D310" s="37">
        <v>45377</v>
      </c>
      <c r="E310">
        <v>0</v>
      </c>
      <c r="F310">
        <f t="shared" si="26"/>
        <v>0</v>
      </c>
      <c r="K310" s="37"/>
      <c r="L310"/>
    </row>
    <row r="311" spans="3:12" x14ac:dyDescent="0.3">
      <c r="C311">
        <v>3</v>
      </c>
      <c r="D311" s="37">
        <v>45378</v>
      </c>
      <c r="E311">
        <v>0</v>
      </c>
      <c r="F311">
        <f t="shared" si="26"/>
        <v>0</v>
      </c>
      <c r="K311" s="37"/>
      <c r="L311"/>
    </row>
    <row r="312" spans="3:12" x14ac:dyDescent="0.3">
      <c r="C312">
        <v>3</v>
      </c>
      <c r="D312" s="37">
        <v>45379</v>
      </c>
      <c r="E312">
        <v>0</v>
      </c>
      <c r="F312">
        <f t="shared" si="26"/>
        <v>0</v>
      </c>
      <c r="K312" s="37"/>
      <c r="L312"/>
    </row>
    <row r="313" spans="3:12" x14ac:dyDescent="0.3">
      <c r="C313">
        <v>3</v>
      </c>
      <c r="D313" s="37">
        <v>45380</v>
      </c>
      <c r="E313" t="str">
        <v>Closed (non-operational)</v>
      </c>
      <c r="F313">
        <f t="shared" si="26"/>
        <v>0</v>
      </c>
      <c r="K313" s="37"/>
      <c r="L313"/>
    </row>
    <row r="314" spans="3:12" x14ac:dyDescent="0.3">
      <c r="C314">
        <v>3</v>
      </c>
      <c r="D314" s="37">
        <v>45381</v>
      </c>
      <c r="E314">
        <v>0</v>
      </c>
      <c r="F314">
        <f t="shared" si="26"/>
        <v>0</v>
      </c>
      <c r="K314" s="37"/>
      <c r="L314"/>
    </row>
    <row r="315" spans="3:12" x14ac:dyDescent="0.3">
      <c r="C315">
        <v>3</v>
      </c>
      <c r="D315" s="37" cm="1">
        <f t="array" ref="D315:D316">TRANSPOSE(Calendar!B133:C133)</f>
        <v>45382</v>
      </c>
      <c r="E315" cm="1">
        <f t="array" ref="E315:E316">TRANSPOSE(Calendar!B134:C134)</f>
        <v>0</v>
      </c>
      <c r="F315">
        <f t="shared" si="26"/>
        <v>0</v>
      </c>
      <c r="K315" s="37"/>
      <c r="L315"/>
    </row>
    <row r="316" spans="3:12" x14ac:dyDescent="0.3">
      <c r="C316">
        <v>3</v>
      </c>
      <c r="D316" s="37">
        <v>45383</v>
      </c>
      <c r="E316">
        <v>0</v>
      </c>
      <c r="F316">
        <f t="shared" si="26"/>
        <v>0</v>
      </c>
      <c r="K316" s="37"/>
      <c r="L316"/>
    </row>
    <row r="317" spans="3:12" x14ac:dyDescent="0.3">
      <c r="C317">
        <v>4</v>
      </c>
      <c r="D317" s="37" cm="1">
        <f t="array" ref="D317:D323">TRANSPOSE(Calendar!B139:H139)</f>
        <v>45382</v>
      </c>
      <c r="E317" cm="1">
        <f t="array" ref="E317:E323">TRANSPOSE(Calendar!B140:H140)</f>
        <v>0</v>
      </c>
      <c r="F317">
        <f t="shared" si="26"/>
        <v>0</v>
      </c>
      <c r="K317" s="37"/>
      <c r="L317"/>
    </row>
    <row r="318" spans="3:12" x14ac:dyDescent="0.3">
      <c r="C318">
        <v>4</v>
      </c>
      <c r="D318" s="37">
        <v>45383</v>
      </c>
      <c r="E318" t="str">
        <v>Closed (non-operational)</v>
      </c>
      <c r="F318">
        <f t="shared" si="26"/>
        <v>0</v>
      </c>
      <c r="K318" s="37"/>
      <c r="L318"/>
    </row>
    <row r="319" spans="3:12" x14ac:dyDescent="0.3">
      <c r="C319">
        <v>4</v>
      </c>
      <c r="D319" s="37">
        <v>45384</v>
      </c>
      <c r="E319">
        <v>0</v>
      </c>
      <c r="F319">
        <f t="shared" si="26"/>
        <v>0</v>
      </c>
      <c r="K319" s="37"/>
      <c r="L319"/>
    </row>
    <row r="320" spans="3:12" x14ac:dyDescent="0.3">
      <c r="C320">
        <v>4</v>
      </c>
      <c r="D320" s="37">
        <v>45385</v>
      </c>
      <c r="E320">
        <v>0</v>
      </c>
      <c r="F320">
        <f t="shared" si="26"/>
        <v>0</v>
      </c>
      <c r="K320" s="37"/>
      <c r="L320"/>
    </row>
    <row r="321" spans="3:12" x14ac:dyDescent="0.3">
      <c r="C321">
        <v>4</v>
      </c>
      <c r="D321" s="37">
        <v>45386</v>
      </c>
      <c r="E321">
        <v>0</v>
      </c>
      <c r="F321">
        <f t="shared" si="26"/>
        <v>0</v>
      </c>
      <c r="K321" s="37"/>
      <c r="L321"/>
    </row>
    <row r="322" spans="3:12" x14ac:dyDescent="0.3">
      <c r="C322">
        <v>4</v>
      </c>
      <c r="D322" s="37">
        <v>45387</v>
      </c>
      <c r="E322">
        <v>0</v>
      </c>
      <c r="F322">
        <f t="shared" si="26"/>
        <v>0</v>
      </c>
      <c r="K322" s="37"/>
      <c r="L322"/>
    </row>
    <row r="323" spans="3:12" x14ac:dyDescent="0.3">
      <c r="C323">
        <v>4</v>
      </c>
      <c r="D323" s="37">
        <v>45388</v>
      </c>
      <c r="E323">
        <v>0</v>
      </c>
      <c r="F323">
        <f t="shared" si="26"/>
        <v>0</v>
      </c>
      <c r="K323" s="37"/>
      <c r="L323"/>
    </row>
    <row r="324" spans="3:12" x14ac:dyDescent="0.3">
      <c r="C324">
        <v>4</v>
      </c>
      <c r="D324" s="37" cm="1">
        <f t="array" ref="D324:D330">TRANSPOSE(Calendar!B141:H141)</f>
        <v>45389</v>
      </c>
      <c r="E324" cm="1">
        <f t="array" ref="E324:E330">TRANSPOSE(Calendar!B142:H142)</f>
        <v>0</v>
      </c>
      <c r="F324">
        <f t="shared" si="26"/>
        <v>0</v>
      </c>
      <c r="K324" s="37"/>
      <c r="L324"/>
    </row>
    <row r="325" spans="3:12" x14ac:dyDescent="0.3">
      <c r="C325">
        <v>4</v>
      </c>
      <c r="D325" s="37">
        <v>45390</v>
      </c>
      <c r="E325">
        <v>0</v>
      </c>
      <c r="F325">
        <f t="shared" si="26"/>
        <v>0</v>
      </c>
      <c r="K325" s="37"/>
      <c r="L325"/>
    </row>
    <row r="326" spans="3:12" x14ac:dyDescent="0.3">
      <c r="C326">
        <v>4</v>
      </c>
      <c r="D326" s="37">
        <v>45391</v>
      </c>
      <c r="E326">
        <v>0</v>
      </c>
      <c r="F326">
        <f t="shared" si="26"/>
        <v>0</v>
      </c>
      <c r="K326" s="37"/>
      <c r="L326"/>
    </row>
    <row r="327" spans="3:12" x14ac:dyDescent="0.3">
      <c r="C327">
        <v>4</v>
      </c>
      <c r="D327" s="37">
        <v>45392</v>
      </c>
      <c r="E327">
        <v>0</v>
      </c>
      <c r="F327">
        <f t="shared" si="26"/>
        <v>0</v>
      </c>
      <c r="K327" s="37"/>
      <c r="L327"/>
    </row>
    <row r="328" spans="3:12" x14ac:dyDescent="0.3">
      <c r="C328">
        <v>4</v>
      </c>
      <c r="D328" s="37">
        <v>45393</v>
      </c>
      <c r="E328">
        <v>0</v>
      </c>
      <c r="F328">
        <f t="shared" si="26"/>
        <v>0</v>
      </c>
      <c r="K328" s="37"/>
      <c r="L328"/>
    </row>
    <row r="329" spans="3:12" x14ac:dyDescent="0.3">
      <c r="C329">
        <v>4</v>
      </c>
      <c r="D329" s="37">
        <v>45394</v>
      </c>
      <c r="E329">
        <v>0</v>
      </c>
      <c r="F329">
        <f t="shared" si="26"/>
        <v>0</v>
      </c>
      <c r="K329" s="37"/>
      <c r="L329"/>
    </row>
    <row r="330" spans="3:12" x14ac:dyDescent="0.3">
      <c r="C330">
        <v>4</v>
      </c>
      <c r="D330" s="37">
        <v>45395</v>
      </c>
      <c r="E330">
        <v>0</v>
      </c>
      <c r="F330">
        <f t="shared" si="26"/>
        <v>0</v>
      </c>
      <c r="K330" s="37"/>
      <c r="L330"/>
    </row>
    <row r="331" spans="3:12" x14ac:dyDescent="0.3">
      <c r="C331">
        <v>4</v>
      </c>
      <c r="D331" s="37" cm="1">
        <f t="array" ref="D331:D337">TRANSPOSE(Calendar!B143:H143)</f>
        <v>45396</v>
      </c>
      <c r="E331" cm="1">
        <f t="array" ref="E331:E337">TRANSPOSE(Calendar!B144:H144)</f>
        <v>0</v>
      </c>
      <c r="F331">
        <f t="shared" si="26"/>
        <v>0</v>
      </c>
      <c r="K331" s="37"/>
      <c r="L331"/>
    </row>
    <row r="332" spans="3:12" x14ac:dyDescent="0.3">
      <c r="C332">
        <v>4</v>
      </c>
      <c r="D332" s="37">
        <v>45397</v>
      </c>
      <c r="E332">
        <v>0</v>
      </c>
      <c r="F332">
        <f t="shared" si="26"/>
        <v>0</v>
      </c>
      <c r="K332" s="37"/>
      <c r="L332"/>
    </row>
    <row r="333" spans="3:12" x14ac:dyDescent="0.3">
      <c r="C333">
        <v>4</v>
      </c>
      <c r="D333" s="37">
        <v>45398</v>
      </c>
      <c r="E333">
        <v>0</v>
      </c>
      <c r="F333">
        <f t="shared" si="26"/>
        <v>0</v>
      </c>
      <c r="K333" s="37"/>
      <c r="L333"/>
    </row>
    <row r="334" spans="3:12" x14ac:dyDescent="0.3">
      <c r="C334">
        <v>4</v>
      </c>
      <c r="D334" s="37">
        <v>45399</v>
      </c>
      <c r="E334">
        <v>0</v>
      </c>
      <c r="F334">
        <f t="shared" si="26"/>
        <v>0</v>
      </c>
      <c r="K334" s="37"/>
      <c r="L334"/>
    </row>
    <row r="335" spans="3:12" x14ac:dyDescent="0.3">
      <c r="C335">
        <v>4</v>
      </c>
      <c r="D335" s="37">
        <v>45400</v>
      </c>
      <c r="E335">
        <v>0</v>
      </c>
      <c r="F335">
        <f t="shared" si="26"/>
        <v>0</v>
      </c>
      <c r="K335" s="37"/>
      <c r="L335"/>
    </row>
    <row r="336" spans="3:12" x14ac:dyDescent="0.3">
      <c r="C336">
        <v>4</v>
      </c>
      <c r="D336" s="37">
        <v>45401</v>
      </c>
      <c r="E336">
        <v>0</v>
      </c>
      <c r="F336">
        <f t="shared" si="26"/>
        <v>0</v>
      </c>
      <c r="K336" s="37"/>
      <c r="L336"/>
    </row>
    <row r="337" spans="3:12" x14ac:dyDescent="0.3">
      <c r="C337">
        <v>4</v>
      </c>
      <c r="D337" s="37">
        <v>45402</v>
      </c>
      <c r="E337">
        <v>0</v>
      </c>
      <c r="F337">
        <f t="shared" si="26"/>
        <v>0</v>
      </c>
      <c r="K337" s="37"/>
      <c r="L337"/>
    </row>
    <row r="338" spans="3:12" x14ac:dyDescent="0.3">
      <c r="C338">
        <v>4</v>
      </c>
      <c r="D338" s="37" cm="1">
        <f t="array" ref="D338:D344">TRANSPOSE(Calendar!B145:H145)</f>
        <v>45403</v>
      </c>
      <c r="E338" cm="1">
        <f t="array" ref="E338:E344">TRANSPOSE(Calendar!B146:H146)</f>
        <v>0</v>
      </c>
      <c r="F338">
        <f t="shared" si="26"/>
        <v>0</v>
      </c>
      <c r="K338" s="37"/>
      <c r="L338"/>
    </row>
    <row r="339" spans="3:12" x14ac:dyDescent="0.3">
      <c r="C339">
        <v>4</v>
      </c>
      <c r="D339" s="37">
        <v>45404</v>
      </c>
      <c r="E339">
        <v>0</v>
      </c>
      <c r="F339">
        <f t="shared" si="26"/>
        <v>0</v>
      </c>
      <c r="K339" s="37"/>
      <c r="L339"/>
    </row>
    <row r="340" spans="3:12" x14ac:dyDescent="0.3">
      <c r="C340">
        <v>4</v>
      </c>
      <c r="D340" s="37">
        <v>45405</v>
      </c>
      <c r="E340">
        <v>0</v>
      </c>
      <c r="F340">
        <f t="shared" si="26"/>
        <v>0</v>
      </c>
      <c r="K340" s="37"/>
      <c r="L340"/>
    </row>
    <row r="341" spans="3:12" x14ac:dyDescent="0.3">
      <c r="C341">
        <v>4</v>
      </c>
      <c r="D341" s="37">
        <v>45406</v>
      </c>
      <c r="E341">
        <v>0</v>
      </c>
      <c r="F341">
        <f t="shared" ref="F341:F404" si="27">IF(AND(MONTH(D341)=C341,D341&gt;=First_Operational_Day,D341&lt;=Last_Operational_Day,WEEKDAY(D341)&lt;&gt;1,WEEKDAY(D341)&lt;&gt;7,E341&lt;&gt;"Closed (non-operational)"),1,0)</f>
        <v>0</v>
      </c>
      <c r="K341" s="37"/>
      <c r="L341"/>
    </row>
    <row r="342" spans="3:12" x14ac:dyDescent="0.3">
      <c r="C342">
        <v>4</v>
      </c>
      <c r="D342" s="37">
        <v>45407</v>
      </c>
      <c r="E342">
        <v>0</v>
      </c>
      <c r="F342">
        <f t="shared" si="27"/>
        <v>0</v>
      </c>
      <c r="K342" s="37"/>
      <c r="L342"/>
    </row>
    <row r="343" spans="3:12" x14ac:dyDescent="0.3">
      <c r="C343">
        <v>4</v>
      </c>
      <c r="D343" s="37">
        <v>45408</v>
      </c>
      <c r="E343">
        <v>0</v>
      </c>
      <c r="F343">
        <f t="shared" si="27"/>
        <v>0</v>
      </c>
      <c r="K343" s="37"/>
      <c r="L343"/>
    </row>
    <row r="344" spans="3:12" x14ac:dyDescent="0.3">
      <c r="C344">
        <v>4</v>
      </c>
      <c r="D344" s="37">
        <v>45409</v>
      </c>
      <c r="E344">
        <v>0</v>
      </c>
      <c r="F344">
        <f t="shared" si="27"/>
        <v>0</v>
      </c>
      <c r="K344" s="37"/>
      <c r="L344"/>
    </row>
    <row r="345" spans="3:12" x14ac:dyDescent="0.3">
      <c r="C345">
        <v>4</v>
      </c>
      <c r="D345" s="37" cm="1">
        <f t="array" ref="D345:D351">TRANSPOSE(Calendar!B147:H147)</f>
        <v>45410</v>
      </c>
      <c r="E345" cm="1">
        <f t="array" ref="E345:E351">TRANSPOSE(Calendar!B148:H148)</f>
        <v>0</v>
      </c>
      <c r="F345">
        <f t="shared" si="27"/>
        <v>0</v>
      </c>
      <c r="K345" s="37"/>
      <c r="L345"/>
    </row>
    <row r="346" spans="3:12" x14ac:dyDescent="0.3">
      <c r="C346">
        <v>4</v>
      </c>
      <c r="D346" s="37">
        <v>45411</v>
      </c>
      <c r="E346">
        <v>0</v>
      </c>
      <c r="F346">
        <f t="shared" si="27"/>
        <v>0</v>
      </c>
      <c r="K346" s="37"/>
      <c r="L346"/>
    </row>
    <row r="347" spans="3:12" x14ac:dyDescent="0.3">
      <c r="C347">
        <v>4</v>
      </c>
      <c r="D347" s="37">
        <v>45412</v>
      </c>
      <c r="E347">
        <v>0</v>
      </c>
      <c r="F347">
        <f t="shared" si="27"/>
        <v>0</v>
      </c>
      <c r="K347" s="37"/>
      <c r="L347"/>
    </row>
    <row r="348" spans="3:12" x14ac:dyDescent="0.3">
      <c r="C348">
        <v>4</v>
      </c>
      <c r="D348" s="37">
        <v>45413</v>
      </c>
      <c r="E348">
        <v>0</v>
      </c>
      <c r="F348">
        <f t="shared" si="27"/>
        <v>0</v>
      </c>
      <c r="K348" s="37"/>
      <c r="L348"/>
    </row>
    <row r="349" spans="3:12" x14ac:dyDescent="0.3">
      <c r="C349">
        <v>4</v>
      </c>
      <c r="D349" s="37">
        <v>45414</v>
      </c>
      <c r="E349">
        <v>0</v>
      </c>
      <c r="F349">
        <f t="shared" si="27"/>
        <v>0</v>
      </c>
      <c r="K349" s="37"/>
      <c r="L349"/>
    </row>
    <row r="350" spans="3:12" x14ac:dyDescent="0.3">
      <c r="C350">
        <v>4</v>
      </c>
      <c r="D350" s="37">
        <v>45415</v>
      </c>
      <c r="E350">
        <v>0</v>
      </c>
      <c r="F350">
        <f t="shared" si="27"/>
        <v>0</v>
      </c>
      <c r="K350" s="37"/>
      <c r="L350"/>
    </row>
    <row r="351" spans="3:12" x14ac:dyDescent="0.3">
      <c r="C351">
        <v>4</v>
      </c>
      <c r="D351" s="37">
        <v>45416</v>
      </c>
      <c r="E351">
        <v>0</v>
      </c>
      <c r="F351">
        <f t="shared" si="27"/>
        <v>0</v>
      </c>
      <c r="K351" s="37"/>
      <c r="L351"/>
    </row>
    <row r="352" spans="3:12" x14ac:dyDescent="0.3">
      <c r="C352">
        <v>4</v>
      </c>
      <c r="D352" s="37" cm="1">
        <f t="array" ref="D352:D353">TRANSPOSE(Calendar!B149:C149)</f>
        <v>45417</v>
      </c>
      <c r="E352" cm="1">
        <f t="array" ref="E352:E353">TRANSPOSE(Calendar!B150:C150)</f>
        <v>0</v>
      </c>
      <c r="F352">
        <f t="shared" si="27"/>
        <v>0</v>
      </c>
      <c r="K352" s="37"/>
      <c r="L352"/>
    </row>
    <row r="353" spans="3:12" x14ac:dyDescent="0.3">
      <c r="C353">
        <v>4</v>
      </c>
      <c r="D353" s="37">
        <v>45418</v>
      </c>
      <c r="E353">
        <v>0</v>
      </c>
      <c r="F353">
        <f t="shared" si="27"/>
        <v>0</v>
      </c>
      <c r="K353" s="37"/>
      <c r="L353"/>
    </row>
    <row r="354" spans="3:12" x14ac:dyDescent="0.3">
      <c r="C354">
        <v>5</v>
      </c>
      <c r="D354" s="37" cm="1">
        <f t="array" ref="D354:D360">TRANSPOSE(Calendar!B155:H155)</f>
        <v>45410</v>
      </c>
      <c r="E354" cm="1">
        <f t="array" ref="E354:E360">TRANSPOSE(Calendar!B156:H156)</f>
        <v>0</v>
      </c>
      <c r="F354">
        <f t="shared" si="27"/>
        <v>0</v>
      </c>
      <c r="K354" s="37"/>
      <c r="L354"/>
    </row>
    <row r="355" spans="3:12" x14ac:dyDescent="0.3">
      <c r="C355">
        <v>5</v>
      </c>
      <c r="D355" s="37">
        <v>45411</v>
      </c>
      <c r="E355">
        <v>0</v>
      </c>
      <c r="F355">
        <f t="shared" si="27"/>
        <v>0</v>
      </c>
      <c r="K355" s="37"/>
      <c r="L355"/>
    </row>
    <row r="356" spans="3:12" x14ac:dyDescent="0.3">
      <c r="C356">
        <v>5</v>
      </c>
      <c r="D356" s="37">
        <v>45412</v>
      </c>
      <c r="E356">
        <v>0</v>
      </c>
      <c r="F356">
        <f t="shared" si="27"/>
        <v>0</v>
      </c>
      <c r="K356" s="37"/>
      <c r="L356"/>
    </row>
    <row r="357" spans="3:12" x14ac:dyDescent="0.3">
      <c r="C357">
        <v>5</v>
      </c>
      <c r="D357" s="37">
        <v>45413</v>
      </c>
      <c r="E357">
        <v>0</v>
      </c>
      <c r="F357">
        <f t="shared" si="27"/>
        <v>0</v>
      </c>
      <c r="K357" s="37"/>
      <c r="L357"/>
    </row>
    <row r="358" spans="3:12" x14ac:dyDescent="0.3">
      <c r="C358">
        <v>5</v>
      </c>
      <c r="D358" s="37">
        <v>45414</v>
      </c>
      <c r="E358">
        <v>0</v>
      </c>
      <c r="F358">
        <f t="shared" si="27"/>
        <v>0</v>
      </c>
      <c r="K358" s="37"/>
      <c r="L358"/>
    </row>
    <row r="359" spans="3:12" x14ac:dyDescent="0.3">
      <c r="C359">
        <v>5</v>
      </c>
      <c r="D359" s="37">
        <v>45415</v>
      </c>
      <c r="E359">
        <v>0</v>
      </c>
      <c r="F359">
        <f t="shared" si="27"/>
        <v>0</v>
      </c>
      <c r="K359" s="37"/>
      <c r="L359"/>
    </row>
    <row r="360" spans="3:12" x14ac:dyDescent="0.3">
      <c r="C360">
        <v>5</v>
      </c>
      <c r="D360" s="37">
        <v>45416</v>
      </c>
      <c r="E360">
        <v>0</v>
      </c>
      <c r="F360">
        <f t="shared" si="27"/>
        <v>0</v>
      </c>
      <c r="K360" s="37"/>
      <c r="L360"/>
    </row>
    <row r="361" spans="3:12" x14ac:dyDescent="0.3">
      <c r="C361">
        <v>5</v>
      </c>
      <c r="D361" s="37" cm="1">
        <f t="array" ref="D361:D367">TRANSPOSE(Calendar!B157:H157)</f>
        <v>45417</v>
      </c>
      <c r="E361" cm="1">
        <f t="array" ref="E361:E367">TRANSPOSE(Calendar!B158:H158)</f>
        <v>0</v>
      </c>
      <c r="F361">
        <f t="shared" si="27"/>
        <v>0</v>
      </c>
      <c r="K361" s="37"/>
      <c r="L361"/>
    </row>
    <row r="362" spans="3:12" x14ac:dyDescent="0.3">
      <c r="C362">
        <v>5</v>
      </c>
      <c r="D362" s="37">
        <v>45418</v>
      </c>
      <c r="E362">
        <v>0</v>
      </c>
      <c r="F362">
        <f t="shared" si="27"/>
        <v>0</v>
      </c>
      <c r="K362" s="37"/>
      <c r="L362"/>
    </row>
    <row r="363" spans="3:12" x14ac:dyDescent="0.3">
      <c r="C363">
        <v>5</v>
      </c>
      <c r="D363" s="37">
        <v>45419</v>
      </c>
      <c r="E363">
        <v>0</v>
      </c>
      <c r="F363">
        <f t="shared" si="27"/>
        <v>0</v>
      </c>
      <c r="K363" s="37"/>
      <c r="L363"/>
    </row>
    <row r="364" spans="3:12" x14ac:dyDescent="0.3">
      <c r="C364">
        <v>5</v>
      </c>
      <c r="D364" s="37">
        <v>45420</v>
      </c>
      <c r="E364">
        <v>0</v>
      </c>
      <c r="F364">
        <f t="shared" si="27"/>
        <v>0</v>
      </c>
      <c r="K364" s="37"/>
      <c r="L364"/>
    </row>
    <row r="365" spans="3:12" x14ac:dyDescent="0.3">
      <c r="C365">
        <v>5</v>
      </c>
      <c r="D365" s="37">
        <v>45421</v>
      </c>
      <c r="E365">
        <v>0</v>
      </c>
      <c r="F365">
        <f t="shared" si="27"/>
        <v>0</v>
      </c>
      <c r="K365" s="37"/>
      <c r="L365"/>
    </row>
    <row r="366" spans="3:12" x14ac:dyDescent="0.3">
      <c r="C366">
        <v>5</v>
      </c>
      <c r="D366" s="37">
        <v>45422</v>
      </c>
      <c r="E366">
        <v>0</v>
      </c>
      <c r="F366">
        <f t="shared" si="27"/>
        <v>0</v>
      </c>
      <c r="K366" s="37"/>
      <c r="L366"/>
    </row>
    <row r="367" spans="3:12" x14ac:dyDescent="0.3">
      <c r="C367">
        <v>5</v>
      </c>
      <c r="D367" s="37">
        <v>45423</v>
      </c>
      <c r="E367">
        <v>0</v>
      </c>
      <c r="F367">
        <f t="shared" si="27"/>
        <v>0</v>
      </c>
      <c r="K367" s="37"/>
      <c r="L367"/>
    </row>
    <row r="368" spans="3:12" x14ac:dyDescent="0.3">
      <c r="C368">
        <v>5</v>
      </c>
      <c r="D368" s="37" cm="1">
        <f t="array" ref="D368:D374">TRANSPOSE(Calendar!B159:H159)</f>
        <v>45424</v>
      </c>
      <c r="E368" cm="1">
        <f t="array" ref="E368:E374">TRANSPOSE(Calendar!B160:H160)</f>
        <v>0</v>
      </c>
      <c r="F368">
        <f t="shared" si="27"/>
        <v>0</v>
      </c>
      <c r="K368" s="37"/>
      <c r="L368"/>
    </row>
    <row r="369" spans="3:12" x14ac:dyDescent="0.3">
      <c r="C369">
        <v>5</v>
      </c>
      <c r="D369" s="37">
        <v>45425</v>
      </c>
      <c r="E369">
        <v>0</v>
      </c>
      <c r="F369">
        <f t="shared" si="27"/>
        <v>0</v>
      </c>
      <c r="K369" s="37"/>
      <c r="L369"/>
    </row>
    <row r="370" spans="3:12" x14ac:dyDescent="0.3">
      <c r="C370">
        <v>5</v>
      </c>
      <c r="D370" s="37">
        <v>45426</v>
      </c>
      <c r="E370">
        <v>0</v>
      </c>
      <c r="F370">
        <f t="shared" si="27"/>
        <v>0</v>
      </c>
      <c r="K370" s="37"/>
      <c r="L370"/>
    </row>
    <row r="371" spans="3:12" x14ac:dyDescent="0.3">
      <c r="C371">
        <v>5</v>
      </c>
      <c r="D371" s="37">
        <v>45427</v>
      </c>
      <c r="E371">
        <v>0</v>
      </c>
      <c r="F371">
        <f t="shared" si="27"/>
        <v>0</v>
      </c>
      <c r="K371" s="37"/>
      <c r="L371"/>
    </row>
    <row r="372" spans="3:12" x14ac:dyDescent="0.3">
      <c r="C372">
        <v>5</v>
      </c>
      <c r="D372" s="37">
        <v>45428</v>
      </c>
      <c r="E372">
        <v>0</v>
      </c>
      <c r="F372">
        <f t="shared" si="27"/>
        <v>0</v>
      </c>
      <c r="K372" s="37"/>
      <c r="L372"/>
    </row>
    <row r="373" spans="3:12" x14ac:dyDescent="0.3">
      <c r="C373">
        <v>5</v>
      </c>
      <c r="D373" s="37">
        <v>45429</v>
      </c>
      <c r="E373">
        <v>0</v>
      </c>
      <c r="F373">
        <f t="shared" si="27"/>
        <v>0</v>
      </c>
      <c r="K373" s="37"/>
      <c r="L373"/>
    </row>
    <row r="374" spans="3:12" x14ac:dyDescent="0.3">
      <c r="C374">
        <v>5</v>
      </c>
      <c r="D374" s="37">
        <v>45430</v>
      </c>
      <c r="E374">
        <v>0</v>
      </c>
      <c r="F374">
        <f t="shared" si="27"/>
        <v>0</v>
      </c>
      <c r="K374" s="37"/>
      <c r="L374"/>
    </row>
    <row r="375" spans="3:12" x14ac:dyDescent="0.3">
      <c r="C375">
        <v>5</v>
      </c>
      <c r="D375" s="37" cm="1">
        <f t="array" ref="D375:D381">TRANSPOSE(Calendar!B161:H161)</f>
        <v>45431</v>
      </c>
      <c r="E375" cm="1">
        <f t="array" ref="E375:E381">TRANSPOSE(Calendar!B162:H162)</f>
        <v>0</v>
      </c>
      <c r="F375">
        <f t="shared" si="27"/>
        <v>0</v>
      </c>
      <c r="K375" s="37"/>
      <c r="L375"/>
    </row>
    <row r="376" spans="3:12" x14ac:dyDescent="0.3">
      <c r="C376">
        <v>5</v>
      </c>
      <c r="D376" s="37">
        <v>45432</v>
      </c>
      <c r="E376" t="str">
        <v>Closed (non-operational)</v>
      </c>
      <c r="F376">
        <f t="shared" si="27"/>
        <v>0</v>
      </c>
      <c r="K376" s="37"/>
      <c r="L376"/>
    </row>
    <row r="377" spans="3:12" x14ac:dyDescent="0.3">
      <c r="C377">
        <v>5</v>
      </c>
      <c r="D377" s="37">
        <v>45433</v>
      </c>
      <c r="E377">
        <v>0</v>
      </c>
      <c r="F377">
        <f t="shared" si="27"/>
        <v>0</v>
      </c>
      <c r="K377" s="37"/>
      <c r="L377"/>
    </row>
    <row r="378" spans="3:12" x14ac:dyDescent="0.3">
      <c r="C378">
        <v>5</v>
      </c>
      <c r="D378" s="37">
        <v>45434</v>
      </c>
      <c r="E378">
        <v>0</v>
      </c>
      <c r="F378">
        <f t="shared" si="27"/>
        <v>0</v>
      </c>
      <c r="K378" s="37"/>
      <c r="L378"/>
    </row>
    <row r="379" spans="3:12" x14ac:dyDescent="0.3">
      <c r="C379">
        <v>5</v>
      </c>
      <c r="D379" s="37">
        <v>45435</v>
      </c>
      <c r="E379">
        <v>0</v>
      </c>
      <c r="F379">
        <f t="shared" si="27"/>
        <v>0</v>
      </c>
      <c r="K379" s="37"/>
      <c r="L379"/>
    </row>
    <row r="380" spans="3:12" x14ac:dyDescent="0.3">
      <c r="C380">
        <v>5</v>
      </c>
      <c r="D380" s="37">
        <v>45436</v>
      </c>
      <c r="E380">
        <v>0</v>
      </c>
      <c r="F380">
        <f t="shared" si="27"/>
        <v>0</v>
      </c>
      <c r="K380" s="37"/>
      <c r="L380"/>
    </row>
    <row r="381" spans="3:12" x14ac:dyDescent="0.3">
      <c r="C381">
        <v>5</v>
      </c>
      <c r="D381" s="37">
        <v>45437</v>
      </c>
      <c r="E381">
        <v>0</v>
      </c>
      <c r="F381">
        <f t="shared" si="27"/>
        <v>0</v>
      </c>
      <c r="K381" s="37"/>
      <c r="L381"/>
    </row>
    <row r="382" spans="3:12" x14ac:dyDescent="0.3">
      <c r="C382">
        <v>5</v>
      </c>
      <c r="D382" s="37" cm="1">
        <f t="array" ref="D382:D388">TRANSPOSE(Calendar!B163:H163)</f>
        <v>45438</v>
      </c>
      <c r="E382" cm="1">
        <f t="array" ref="E382:E388">TRANSPOSE(Calendar!B164:H164)</f>
        <v>0</v>
      </c>
      <c r="F382">
        <f t="shared" si="27"/>
        <v>0</v>
      </c>
      <c r="K382" s="37"/>
      <c r="L382"/>
    </row>
    <row r="383" spans="3:12" x14ac:dyDescent="0.3">
      <c r="C383">
        <v>5</v>
      </c>
      <c r="D383" s="37">
        <v>45439</v>
      </c>
      <c r="E383">
        <v>0</v>
      </c>
      <c r="F383">
        <f t="shared" si="27"/>
        <v>0</v>
      </c>
      <c r="K383" s="37"/>
      <c r="L383"/>
    </row>
    <row r="384" spans="3:12" x14ac:dyDescent="0.3">
      <c r="C384">
        <v>5</v>
      </c>
      <c r="D384" s="37">
        <v>45440</v>
      </c>
      <c r="E384">
        <v>0</v>
      </c>
      <c r="F384">
        <f t="shared" si="27"/>
        <v>0</v>
      </c>
      <c r="K384" s="37"/>
      <c r="L384"/>
    </row>
    <row r="385" spans="3:12" x14ac:dyDescent="0.3">
      <c r="C385">
        <v>5</v>
      </c>
      <c r="D385" s="37">
        <v>45441</v>
      </c>
      <c r="E385">
        <v>0</v>
      </c>
      <c r="F385">
        <f t="shared" si="27"/>
        <v>0</v>
      </c>
      <c r="K385" s="37"/>
      <c r="L385"/>
    </row>
    <row r="386" spans="3:12" x14ac:dyDescent="0.3">
      <c r="C386">
        <v>5</v>
      </c>
      <c r="D386" s="37">
        <v>45442</v>
      </c>
      <c r="E386">
        <v>0</v>
      </c>
      <c r="F386">
        <f t="shared" si="27"/>
        <v>0</v>
      </c>
      <c r="K386" s="37"/>
      <c r="L386"/>
    </row>
    <row r="387" spans="3:12" x14ac:dyDescent="0.3">
      <c r="C387">
        <v>5</v>
      </c>
      <c r="D387" s="37">
        <v>45443</v>
      </c>
      <c r="E387">
        <v>0</v>
      </c>
      <c r="F387">
        <f t="shared" si="27"/>
        <v>0</v>
      </c>
      <c r="K387" s="37"/>
      <c r="L387"/>
    </row>
    <row r="388" spans="3:12" x14ac:dyDescent="0.3">
      <c r="C388">
        <v>5</v>
      </c>
      <c r="D388" s="37">
        <v>45444</v>
      </c>
      <c r="E388">
        <v>0</v>
      </c>
      <c r="F388">
        <f t="shared" si="27"/>
        <v>0</v>
      </c>
      <c r="K388" s="37"/>
      <c r="L388"/>
    </row>
    <row r="389" spans="3:12" x14ac:dyDescent="0.3">
      <c r="C389">
        <v>5</v>
      </c>
      <c r="D389" s="37" cm="1">
        <f t="array" ref="D389:D390">TRANSPOSE(Calendar!B165:C165)</f>
        <v>45445</v>
      </c>
      <c r="E389" cm="1">
        <f t="array" ref="E389:E390">TRANSPOSE(Calendar!B166:C166)</f>
        <v>0</v>
      </c>
      <c r="F389">
        <f t="shared" si="27"/>
        <v>0</v>
      </c>
      <c r="K389" s="37"/>
      <c r="L389"/>
    </row>
    <row r="390" spans="3:12" x14ac:dyDescent="0.3">
      <c r="C390">
        <v>5</v>
      </c>
      <c r="D390" s="37">
        <v>45446</v>
      </c>
      <c r="E390">
        <v>0</v>
      </c>
      <c r="F390">
        <f t="shared" si="27"/>
        <v>0</v>
      </c>
      <c r="K390" s="37"/>
      <c r="L390"/>
    </row>
    <row r="391" spans="3:12" x14ac:dyDescent="0.3">
      <c r="C391">
        <v>6</v>
      </c>
      <c r="D391" s="37" cm="1">
        <f t="array" ref="D391:D397">TRANSPOSE(Calendar!B171:H171)</f>
        <v>45438</v>
      </c>
      <c r="E391" cm="1">
        <f t="array" ref="E391:E397">TRANSPOSE(Calendar!B172:H172)</f>
        <v>0</v>
      </c>
      <c r="F391">
        <f t="shared" si="27"/>
        <v>0</v>
      </c>
      <c r="K391" s="37"/>
      <c r="L391"/>
    </row>
    <row r="392" spans="3:12" x14ac:dyDescent="0.3">
      <c r="C392">
        <v>6</v>
      </c>
      <c r="D392" s="37">
        <v>45439</v>
      </c>
      <c r="E392">
        <v>0</v>
      </c>
      <c r="F392">
        <f t="shared" si="27"/>
        <v>0</v>
      </c>
      <c r="K392" s="37"/>
      <c r="L392"/>
    </row>
    <row r="393" spans="3:12" x14ac:dyDescent="0.3">
      <c r="C393">
        <v>6</v>
      </c>
      <c r="D393" s="37">
        <v>45440</v>
      </c>
      <c r="E393">
        <v>0</v>
      </c>
      <c r="F393">
        <f t="shared" si="27"/>
        <v>0</v>
      </c>
      <c r="K393" s="37"/>
      <c r="L393"/>
    </row>
    <row r="394" spans="3:12" x14ac:dyDescent="0.3">
      <c r="C394">
        <v>6</v>
      </c>
      <c r="D394" s="37">
        <v>45441</v>
      </c>
      <c r="E394">
        <v>0</v>
      </c>
      <c r="F394">
        <f t="shared" si="27"/>
        <v>0</v>
      </c>
      <c r="K394" s="37"/>
      <c r="L394"/>
    </row>
    <row r="395" spans="3:12" x14ac:dyDescent="0.3">
      <c r="C395">
        <v>6</v>
      </c>
      <c r="D395" s="37">
        <v>45442</v>
      </c>
      <c r="E395">
        <v>0</v>
      </c>
      <c r="F395">
        <f t="shared" si="27"/>
        <v>0</v>
      </c>
      <c r="K395" s="37"/>
      <c r="L395"/>
    </row>
    <row r="396" spans="3:12" x14ac:dyDescent="0.3">
      <c r="C396">
        <v>6</v>
      </c>
      <c r="D396" s="37">
        <v>45443</v>
      </c>
      <c r="E396">
        <v>0</v>
      </c>
      <c r="F396">
        <f t="shared" si="27"/>
        <v>0</v>
      </c>
      <c r="K396" s="37"/>
      <c r="L396"/>
    </row>
    <row r="397" spans="3:12" x14ac:dyDescent="0.3">
      <c r="C397">
        <v>6</v>
      </c>
      <c r="D397" s="37">
        <v>45444</v>
      </c>
      <c r="E397">
        <v>0</v>
      </c>
      <c r="F397">
        <f t="shared" si="27"/>
        <v>0</v>
      </c>
      <c r="K397" s="37"/>
      <c r="L397"/>
    </row>
    <row r="398" spans="3:12" x14ac:dyDescent="0.3">
      <c r="C398">
        <v>6</v>
      </c>
      <c r="D398" s="37" cm="1">
        <f t="array" ref="D398:D404">TRANSPOSE(Calendar!B173:H173)</f>
        <v>45445</v>
      </c>
      <c r="E398" cm="1">
        <f t="array" ref="E398:E404">TRANSPOSE(Calendar!B174:H174)</f>
        <v>0</v>
      </c>
      <c r="F398">
        <f t="shared" si="27"/>
        <v>0</v>
      </c>
      <c r="K398" s="37"/>
      <c r="L398"/>
    </row>
    <row r="399" spans="3:12" x14ac:dyDescent="0.3">
      <c r="C399">
        <v>6</v>
      </c>
      <c r="D399" s="37">
        <v>45446</v>
      </c>
      <c r="E399">
        <v>0</v>
      </c>
      <c r="F399">
        <f t="shared" si="27"/>
        <v>0</v>
      </c>
      <c r="K399" s="37"/>
      <c r="L399"/>
    </row>
    <row r="400" spans="3:12" x14ac:dyDescent="0.3">
      <c r="C400">
        <v>6</v>
      </c>
      <c r="D400" s="37">
        <v>45447</v>
      </c>
      <c r="E400">
        <v>0</v>
      </c>
      <c r="F400">
        <f t="shared" si="27"/>
        <v>0</v>
      </c>
      <c r="K400" s="37"/>
      <c r="L400"/>
    </row>
    <row r="401" spans="3:12" x14ac:dyDescent="0.3">
      <c r="C401">
        <v>6</v>
      </c>
      <c r="D401" s="37">
        <v>45448</v>
      </c>
      <c r="E401">
        <v>0</v>
      </c>
      <c r="F401">
        <f t="shared" si="27"/>
        <v>0</v>
      </c>
      <c r="K401" s="37"/>
      <c r="L401"/>
    </row>
    <row r="402" spans="3:12" x14ac:dyDescent="0.3">
      <c r="C402">
        <v>6</v>
      </c>
      <c r="D402" s="37">
        <v>45449</v>
      </c>
      <c r="E402">
        <v>0</v>
      </c>
      <c r="F402">
        <f t="shared" si="27"/>
        <v>0</v>
      </c>
      <c r="K402" s="37"/>
      <c r="L402"/>
    </row>
    <row r="403" spans="3:12" x14ac:dyDescent="0.3">
      <c r="C403">
        <v>6</v>
      </c>
      <c r="D403" s="37">
        <v>45450</v>
      </c>
      <c r="E403">
        <v>0</v>
      </c>
      <c r="F403">
        <f t="shared" si="27"/>
        <v>0</v>
      </c>
      <c r="K403" s="37"/>
      <c r="L403"/>
    </row>
    <row r="404" spans="3:12" x14ac:dyDescent="0.3">
      <c r="C404">
        <v>6</v>
      </c>
      <c r="D404" s="37">
        <v>45451</v>
      </c>
      <c r="E404">
        <v>0</v>
      </c>
      <c r="F404">
        <f t="shared" si="27"/>
        <v>0</v>
      </c>
      <c r="K404" s="37"/>
      <c r="L404"/>
    </row>
    <row r="405" spans="3:12" x14ac:dyDescent="0.3">
      <c r="C405">
        <v>6</v>
      </c>
      <c r="D405" s="37" cm="1">
        <f t="array" ref="D405:D411">TRANSPOSE(Calendar!B175:H175)</f>
        <v>45452</v>
      </c>
      <c r="E405" cm="1">
        <f t="array" ref="E405:E411">TRANSPOSE(Calendar!B176:H176)</f>
        <v>0</v>
      </c>
      <c r="F405">
        <f t="shared" ref="F405:F464" si="28">IF(AND(MONTH(D405)=C405,D405&gt;=First_Operational_Day,D405&lt;=Last_Operational_Day,WEEKDAY(D405)&lt;&gt;1,WEEKDAY(D405)&lt;&gt;7,E405&lt;&gt;"Closed (non-operational)"),1,0)</f>
        <v>0</v>
      </c>
      <c r="K405" s="37"/>
      <c r="L405"/>
    </row>
    <row r="406" spans="3:12" x14ac:dyDescent="0.3">
      <c r="C406">
        <v>6</v>
      </c>
      <c r="D406" s="37">
        <v>45453</v>
      </c>
      <c r="E406">
        <v>0</v>
      </c>
      <c r="F406">
        <f t="shared" si="28"/>
        <v>0</v>
      </c>
      <c r="K406" s="37"/>
      <c r="L406"/>
    </row>
    <row r="407" spans="3:12" x14ac:dyDescent="0.3">
      <c r="C407">
        <v>6</v>
      </c>
      <c r="D407" s="37">
        <v>45454</v>
      </c>
      <c r="E407">
        <v>0</v>
      </c>
      <c r="F407">
        <f t="shared" si="28"/>
        <v>0</v>
      </c>
      <c r="K407" s="37"/>
      <c r="L407"/>
    </row>
    <row r="408" spans="3:12" x14ac:dyDescent="0.3">
      <c r="C408">
        <v>6</v>
      </c>
      <c r="D408" s="37">
        <v>45455</v>
      </c>
      <c r="E408">
        <v>0</v>
      </c>
      <c r="F408">
        <f t="shared" si="28"/>
        <v>0</v>
      </c>
      <c r="K408" s="37"/>
      <c r="L408"/>
    </row>
    <row r="409" spans="3:12" x14ac:dyDescent="0.3">
      <c r="C409">
        <v>6</v>
      </c>
      <c r="D409" s="37">
        <v>45456</v>
      </c>
      <c r="E409">
        <v>0</v>
      </c>
      <c r="F409">
        <f t="shared" si="28"/>
        <v>0</v>
      </c>
      <c r="K409" s="37"/>
      <c r="L409"/>
    </row>
    <row r="410" spans="3:12" x14ac:dyDescent="0.3">
      <c r="C410">
        <v>6</v>
      </c>
      <c r="D410" s="37">
        <v>45457</v>
      </c>
      <c r="E410">
        <v>0</v>
      </c>
      <c r="F410">
        <f t="shared" si="28"/>
        <v>0</v>
      </c>
      <c r="K410" s="37"/>
      <c r="L410"/>
    </row>
    <row r="411" spans="3:12" x14ac:dyDescent="0.3">
      <c r="C411">
        <v>6</v>
      </c>
      <c r="D411" s="37">
        <v>45458</v>
      </c>
      <c r="E411">
        <v>0</v>
      </c>
      <c r="F411">
        <f t="shared" si="28"/>
        <v>0</v>
      </c>
      <c r="K411" s="37"/>
      <c r="L411"/>
    </row>
    <row r="412" spans="3:12" x14ac:dyDescent="0.3">
      <c r="C412">
        <v>6</v>
      </c>
      <c r="D412" s="37" cm="1">
        <f t="array" ref="D412:D418">TRANSPOSE(Calendar!B177:H177)</f>
        <v>45459</v>
      </c>
      <c r="E412" cm="1">
        <f t="array" ref="E412:E418">TRANSPOSE(Calendar!B178:H178)</f>
        <v>0</v>
      </c>
      <c r="F412">
        <f t="shared" si="28"/>
        <v>0</v>
      </c>
      <c r="K412" s="37"/>
      <c r="L412"/>
    </row>
    <row r="413" spans="3:12" x14ac:dyDescent="0.3">
      <c r="C413">
        <v>6</v>
      </c>
      <c r="D413" s="37">
        <v>45460</v>
      </c>
      <c r="E413">
        <v>0</v>
      </c>
      <c r="F413">
        <f t="shared" si="28"/>
        <v>0</v>
      </c>
      <c r="K413" s="37"/>
      <c r="L413"/>
    </row>
    <row r="414" spans="3:12" x14ac:dyDescent="0.3">
      <c r="C414">
        <v>6</v>
      </c>
      <c r="D414" s="37">
        <v>45461</v>
      </c>
      <c r="E414">
        <v>0</v>
      </c>
      <c r="F414">
        <f t="shared" si="28"/>
        <v>0</v>
      </c>
      <c r="K414" s="37"/>
      <c r="L414"/>
    </row>
    <row r="415" spans="3:12" x14ac:dyDescent="0.3">
      <c r="C415">
        <v>6</v>
      </c>
      <c r="D415" s="37">
        <v>45462</v>
      </c>
      <c r="E415">
        <v>0</v>
      </c>
      <c r="F415">
        <f t="shared" si="28"/>
        <v>0</v>
      </c>
      <c r="K415" s="37"/>
      <c r="L415"/>
    </row>
    <row r="416" spans="3:12" x14ac:dyDescent="0.3">
      <c r="C416">
        <v>6</v>
      </c>
      <c r="D416" s="37">
        <v>45463</v>
      </c>
      <c r="E416">
        <v>0</v>
      </c>
      <c r="F416">
        <f t="shared" si="28"/>
        <v>0</v>
      </c>
      <c r="K416" s="37"/>
      <c r="L416"/>
    </row>
    <row r="417" spans="3:12" x14ac:dyDescent="0.3">
      <c r="C417">
        <v>6</v>
      </c>
      <c r="D417" s="37">
        <v>45464</v>
      </c>
      <c r="E417">
        <v>0</v>
      </c>
      <c r="F417">
        <f t="shared" si="28"/>
        <v>0</v>
      </c>
      <c r="K417" s="37"/>
      <c r="L417"/>
    </row>
    <row r="418" spans="3:12" x14ac:dyDescent="0.3">
      <c r="C418">
        <v>6</v>
      </c>
      <c r="D418" s="37">
        <v>45465</v>
      </c>
      <c r="E418">
        <v>0</v>
      </c>
      <c r="F418">
        <f t="shared" si="28"/>
        <v>0</v>
      </c>
      <c r="K418" s="37"/>
      <c r="L418"/>
    </row>
    <row r="419" spans="3:12" x14ac:dyDescent="0.3">
      <c r="C419">
        <v>6</v>
      </c>
      <c r="D419" s="37" cm="1">
        <f t="array" ref="D419:D425">TRANSPOSE(Calendar!B179:H179)</f>
        <v>45466</v>
      </c>
      <c r="E419" cm="1">
        <f t="array" ref="E419:E425">TRANSPOSE(Calendar!B180:H180)</f>
        <v>0</v>
      </c>
      <c r="F419">
        <f t="shared" si="28"/>
        <v>0</v>
      </c>
      <c r="K419" s="37"/>
      <c r="L419"/>
    </row>
    <row r="420" spans="3:12" x14ac:dyDescent="0.3">
      <c r="C420">
        <v>6</v>
      </c>
      <c r="D420" s="37">
        <v>45467</v>
      </c>
      <c r="E420">
        <v>0</v>
      </c>
      <c r="F420">
        <f t="shared" si="28"/>
        <v>0</v>
      </c>
      <c r="K420" s="37"/>
      <c r="L420"/>
    </row>
    <row r="421" spans="3:12" x14ac:dyDescent="0.3">
      <c r="C421">
        <v>6</v>
      </c>
      <c r="D421" s="37">
        <v>45468</v>
      </c>
      <c r="E421">
        <v>0</v>
      </c>
      <c r="F421">
        <f t="shared" si="28"/>
        <v>0</v>
      </c>
      <c r="K421" s="37"/>
      <c r="L421"/>
    </row>
    <row r="422" spans="3:12" x14ac:dyDescent="0.3">
      <c r="C422">
        <v>6</v>
      </c>
      <c r="D422" s="37">
        <v>45469</v>
      </c>
      <c r="E422">
        <v>0</v>
      </c>
      <c r="F422">
        <f t="shared" si="28"/>
        <v>0</v>
      </c>
      <c r="K422" s="37"/>
      <c r="L422"/>
    </row>
    <row r="423" spans="3:12" x14ac:dyDescent="0.3">
      <c r="C423">
        <v>6</v>
      </c>
      <c r="D423" s="37">
        <v>45470</v>
      </c>
      <c r="E423">
        <v>0</v>
      </c>
      <c r="F423">
        <f t="shared" si="28"/>
        <v>0</v>
      </c>
      <c r="K423" s="37"/>
      <c r="L423"/>
    </row>
    <row r="424" spans="3:12" x14ac:dyDescent="0.3">
      <c r="C424">
        <v>6</v>
      </c>
      <c r="D424" s="37">
        <v>45471</v>
      </c>
      <c r="E424">
        <v>0</v>
      </c>
      <c r="F424">
        <f t="shared" si="28"/>
        <v>0</v>
      </c>
      <c r="K424" s="37"/>
      <c r="L424"/>
    </row>
    <row r="425" spans="3:12" x14ac:dyDescent="0.3">
      <c r="C425">
        <v>6</v>
      </c>
      <c r="D425" s="37">
        <v>45472</v>
      </c>
      <c r="E425">
        <v>0</v>
      </c>
      <c r="F425">
        <f t="shared" si="28"/>
        <v>0</v>
      </c>
      <c r="K425" s="37"/>
      <c r="L425"/>
    </row>
    <row r="426" spans="3:12" x14ac:dyDescent="0.3">
      <c r="C426">
        <v>6</v>
      </c>
      <c r="D426" s="37" cm="1">
        <f t="array" ref="D426:D427">TRANSPOSE(Calendar!B181:C181)</f>
        <v>45473</v>
      </c>
      <c r="E426" cm="1">
        <f t="array" ref="E426:E427">TRANSPOSE(Calendar!B182:C182)</f>
        <v>0</v>
      </c>
      <c r="F426">
        <f t="shared" si="28"/>
        <v>0</v>
      </c>
      <c r="K426" s="37"/>
      <c r="L426"/>
    </row>
    <row r="427" spans="3:12" x14ac:dyDescent="0.3">
      <c r="C427">
        <v>6</v>
      </c>
      <c r="D427" s="37">
        <v>45474</v>
      </c>
      <c r="E427">
        <v>0</v>
      </c>
      <c r="F427">
        <f t="shared" si="28"/>
        <v>0</v>
      </c>
      <c r="K427" s="37"/>
      <c r="L427"/>
    </row>
    <row r="428" spans="3:12" x14ac:dyDescent="0.3">
      <c r="C428">
        <v>7</v>
      </c>
      <c r="D428" s="37" cm="1">
        <f t="array" ref="D428:D434">TRANSPOSE(Calendar!B187:H187)</f>
        <v>45473</v>
      </c>
      <c r="E428" cm="1">
        <f t="array" ref="E428:E434">TRANSPOSE(Calendar!B188:H188)</f>
        <v>0</v>
      </c>
      <c r="F428">
        <f t="shared" si="28"/>
        <v>0</v>
      </c>
      <c r="K428" s="37"/>
      <c r="L428"/>
    </row>
    <row r="429" spans="3:12" x14ac:dyDescent="0.3">
      <c r="C429">
        <v>7</v>
      </c>
      <c r="D429" s="37">
        <v>45474</v>
      </c>
      <c r="E429">
        <v>0</v>
      </c>
      <c r="F429">
        <f t="shared" si="28"/>
        <v>0</v>
      </c>
      <c r="K429" s="37"/>
      <c r="L429"/>
    </row>
    <row r="430" spans="3:12" x14ac:dyDescent="0.3">
      <c r="C430">
        <v>7</v>
      </c>
      <c r="D430" s="37">
        <v>45475</v>
      </c>
      <c r="E430">
        <v>0</v>
      </c>
      <c r="F430">
        <f t="shared" si="28"/>
        <v>0</v>
      </c>
      <c r="K430" s="37"/>
      <c r="L430"/>
    </row>
    <row r="431" spans="3:12" x14ac:dyDescent="0.3">
      <c r="C431">
        <v>7</v>
      </c>
      <c r="D431" s="37">
        <v>45476</v>
      </c>
      <c r="E431">
        <v>0</v>
      </c>
      <c r="F431">
        <f t="shared" si="28"/>
        <v>0</v>
      </c>
      <c r="K431" s="37"/>
      <c r="L431"/>
    </row>
    <row r="432" spans="3:12" x14ac:dyDescent="0.3">
      <c r="C432">
        <v>7</v>
      </c>
      <c r="D432" s="37">
        <v>45477</v>
      </c>
      <c r="E432">
        <v>0</v>
      </c>
      <c r="F432">
        <f t="shared" si="28"/>
        <v>0</v>
      </c>
      <c r="K432" s="37"/>
      <c r="L432"/>
    </row>
    <row r="433" spans="3:12" x14ac:dyDescent="0.3">
      <c r="C433">
        <v>7</v>
      </c>
      <c r="D433" s="37">
        <v>45478</v>
      </c>
      <c r="E433">
        <v>0</v>
      </c>
      <c r="F433">
        <f t="shared" si="28"/>
        <v>0</v>
      </c>
      <c r="K433" s="37"/>
      <c r="L433"/>
    </row>
    <row r="434" spans="3:12" x14ac:dyDescent="0.3">
      <c r="C434">
        <v>7</v>
      </c>
      <c r="D434" s="37">
        <v>45479</v>
      </c>
      <c r="E434">
        <v>0</v>
      </c>
      <c r="F434">
        <f t="shared" si="28"/>
        <v>0</v>
      </c>
      <c r="K434" s="37"/>
      <c r="L434"/>
    </row>
    <row r="435" spans="3:12" x14ac:dyDescent="0.3">
      <c r="C435">
        <v>7</v>
      </c>
      <c r="D435" s="37" cm="1">
        <f t="array" ref="D435:D441">TRANSPOSE(Calendar!B189:H189)</f>
        <v>45480</v>
      </c>
      <c r="E435" cm="1">
        <f t="array" ref="E435:E441">TRANSPOSE(Calendar!B190:H190)</f>
        <v>0</v>
      </c>
      <c r="F435">
        <f t="shared" si="28"/>
        <v>0</v>
      </c>
      <c r="K435" s="37"/>
      <c r="L435"/>
    </row>
    <row r="436" spans="3:12" x14ac:dyDescent="0.3">
      <c r="C436">
        <v>7</v>
      </c>
      <c r="D436" s="37">
        <v>45481</v>
      </c>
      <c r="E436">
        <v>0</v>
      </c>
      <c r="F436">
        <f t="shared" si="28"/>
        <v>0</v>
      </c>
      <c r="K436" s="37"/>
      <c r="L436"/>
    </row>
    <row r="437" spans="3:12" x14ac:dyDescent="0.3">
      <c r="C437">
        <v>7</v>
      </c>
      <c r="D437" s="37">
        <v>45482</v>
      </c>
      <c r="E437">
        <v>0</v>
      </c>
      <c r="F437">
        <f t="shared" si="28"/>
        <v>0</v>
      </c>
      <c r="K437" s="37"/>
      <c r="L437"/>
    </row>
    <row r="438" spans="3:12" x14ac:dyDescent="0.3">
      <c r="C438">
        <v>7</v>
      </c>
      <c r="D438" s="37">
        <v>45483</v>
      </c>
      <c r="E438">
        <v>0</v>
      </c>
      <c r="F438">
        <f t="shared" si="28"/>
        <v>0</v>
      </c>
      <c r="K438" s="37"/>
      <c r="L438"/>
    </row>
    <row r="439" spans="3:12" x14ac:dyDescent="0.3">
      <c r="C439">
        <v>7</v>
      </c>
      <c r="D439" s="37">
        <v>45484</v>
      </c>
      <c r="E439">
        <v>0</v>
      </c>
      <c r="F439">
        <f t="shared" si="28"/>
        <v>0</v>
      </c>
      <c r="K439" s="37"/>
      <c r="L439"/>
    </row>
    <row r="440" spans="3:12" x14ac:dyDescent="0.3">
      <c r="C440">
        <v>7</v>
      </c>
      <c r="D440" s="37">
        <v>45485</v>
      </c>
      <c r="E440">
        <v>0</v>
      </c>
      <c r="F440">
        <f t="shared" si="28"/>
        <v>0</v>
      </c>
      <c r="K440" s="37"/>
      <c r="L440"/>
    </row>
    <row r="441" spans="3:12" x14ac:dyDescent="0.3">
      <c r="C441">
        <v>7</v>
      </c>
      <c r="D441" s="37">
        <v>45486</v>
      </c>
      <c r="E441">
        <v>0</v>
      </c>
      <c r="F441">
        <f t="shared" si="28"/>
        <v>0</v>
      </c>
      <c r="K441" s="37"/>
      <c r="L441"/>
    </row>
    <row r="442" spans="3:12" x14ac:dyDescent="0.3">
      <c r="C442">
        <v>7</v>
      </c>
      <c r="D442" s="37" cm="1">
        <f t="array" ref="D442:D448">TRANSPOSE(Calendar!B191:H191)</f>
        <v>45487</v>
      </c>
      <c r="E442" cm="1">
        <f t="array" ref="E442:E448">TRANSPOSE(Calendar!B192:H192)</f>
        <v>0</v>
      </c>
      <c r="F442">
        <f t="shared" si="28"/>
        <v>0</v>
      </c>
      <c r="K442" s="37"/>
      <c r="L442"/>
    </row>
    <row r="443" spans="3:12" x14ac:dyDescent="0.3">
      <c r="C443">
        <v>7</v>
      </c>
      <c r="D443" s="37">
        <v>45488</v>
      </c>
      <c r="E443">
        <v>0</v>
      </c>
      <c r="F443">
        <f t="shared" si="28"/>
        <v>0</v>
      </c>
      <c r="K443" s="37"/>
      <c r="L443"/>
    </row>
    <row r="444" spans="3:12" x14ac:dyDescent="0.3">
      <c r="C444">
        <v>7</v>
      </c>
      <c r="D444" s="37">
        <v>45489</v>
      </c>
      <c r="E444">
        <v>0</v>
      </c>
      <c r="F444">
        <f t="shared" si="28"/>
        <v>0</v>
      </c>
      <c r="K444" s="37"/>
      <c r="L444"/>
    </row>
    <row r="445" spans="3:12" x14ac:dyDescent="0.3">
      <c r="C445">
        <v>7</v>
      </c>
      <c r="D445" s="37">
        <v>45490</v>
      </c>
      <c r="E445">
        <v>0</v>
      </c>
      <c r="F445">
        <f t="shared" si="28"/>
        <v>0</v>
      </c>
      <c r="K445" s="37"/>
      <c r="L445"/>
    </row>
    <row r="446" spans="3:12" x14ac:dyDescent="0.3">
      <c r="C446">
        <v>7</v>
      </c>
      <c r="D446" s="37">
        <v>45491</v>
      </c>
      <c r="E446">
        <v>0</v>
      </c>
      <c r="F446">
        <f t="shared" si="28"/>
        <v>0</v>
      </c>
      <c r="K446" s="37"/>
      <c r="L446"/>
    </row>
    <row r="447" spans="3:12" x14ac:dyDescent="0.3">
      <c r="C447">
        <v>7</v>
      </c>
      <c r="D447" s="37">
        <v>45492</v>
      </c>
      <c r="E447">
        <v>0</v>
      </c>
      <c r="F447">
        <f t="shared" si="28"/>
        <v>0</v>
      </c>
      <c r="K447" s="37"/>
      <c r="L447"/>
    </row>
    <row r="448" spans="3:12" x14ac:dyDescent="0.3">
      <c r="C448">
        <v>7</v>
      </c>
      <c r="D448" s="37">
        <v>45493</v>
      </c>
      <c r="E448">
        <v>0</v>
      </c>
      <c r="F448">
        <f t="shared" si="28"/>
        <v>0</v>
      </c>
      <c r="K448" s="37"/>
      <c r="L448"/>
    </row>
    <row r="449" spans="3:12" x14ac:dyDescent="0.3">
      <c r="C449">
        <v>7</v>
      </c>
      <c r="D449" s="37" cm="1">
        <f t="array" ref="D449:D455">TRANSPOSE(Calendar!B193:H193)</f>
        <v>45494</v>
      </c>
      <c r="E449" cm="1">
        <f t="array" ref="E449:E455">TRANSPOSE(Calendar!B194:H194)</f>
        <v>0</v>
      </c>
      <c r="F449">
        <f t="shared" si="28"/>
        <v>0</v>
      </c>
      <c r="K449" s="37"/>
      <c r="L449"/>
    </row>
    <row r="450" spans="3:12" x14ac:dyDescent="0.3">
      <c r="C450">
        <v>7</v>
      </c>
      <c r="D450" s="37">
        <v>45495</v>
      </c>
      <c r="E450">
        <v>0</v>
      </c>
      <c r="F450">
        <f t="shared" si="28"/>
        <v>0</v>
      </c>
      <c r="K450" s="37"/>
      <c r="L450"/>
    </row>
    <row r="451" spans="3:12" x14ac:dyDescent="0.3">
      <c r="C451">
        <v>7</v>
      </c>
      <c r="D451" s="37">
        <v>45496</v>
      </c>
      <c r="E451">
        <v>0</v>
      </c>
      <c r="F451">
        <f t="shared" si="28"/>
        <v>0</v>
      </c>
      <c r="K451" s="37"/>
      <c r="L451"/>
    </row>
    <row r="452" spans="3:12" x14ac:dyDescent="0.3">
      <c r="C452">
        <v>7</v>
      </c>
      <c r="D452" s="37">
        <v>45497</v>
      </c>
      <c r="E452">
        <v>0</v>
      </c>
      <c r="F452">
        <f t="shared" si="28"/>
        <v>0</v>
      </c>
      <c r="K452" s="37"/>
      <c r="L452"/>
    </row>
    <row r="453" spans="3:12" x14ac:dyDescent="0.3">
      <c r="C453">
        <v>7</v>
      </c>
      <c r="D453" s="37">
        <v>45498</v>
      </c>
      <c r="E453">
        <v>0</v>
      </c>
      <c r="F453">
        <f t="shared" si="28"/>
        <v>0</v>
      </c>
      <c r="K453" s="37"/>
      <c r="L453"/>
    </row>
    <row r="454" spans="3:12" x14ac:dyDescent="0.3">
      <c r="C454">
        <v>7</v>
      </c>
      <c r="D454" s="37">
        <v>45499</v>
      </c>
      <c r="E454">
        <v>0</v>
      </c>
      <c r="F454">
        <f t="shared" si="28"/>
        <v>0</v>
      </c>
      <c r="K454" s="37"/>
      <c r="L454"/>
    </row>
    <row r="455" spans="3:12" x14ac:dyDescent="0.3">
      <c r="C455">
        <v>7</v>
      </c>
      <c r="D455" s="37">
        <v>45500</v>
      </c>
      <c r="E455">
        <v>0</v>
      </c>
      <c r="F455">
        <f t="shared" si="28"/>
        <v>0</v>
      </c>
      <c r="K455" s="37"/>
      <c r="L455"/>
    </row>
    <row r="456" spans="3:12" x14ac:dyDescent="0.3">
      <c r="C456">
        <v>7</v>
      </c>
      <c r="D456" s="37" cm="1">
        <f t="array" ref="D456:D462">TRANSPOSE(Calendar!B195:H195)</f>
        <v>45501</v>
      </c>
      <c r="E456" cm="1">
        <f t="array" ref="E456:E462">TRANSPOSE(Calendar!B196:H196)</f>
        <v>0</v>
      </c>
      <c r="F456">
        <f t="shared" si="28"/>
        <v>0</v>
      </c>
      <c r="K456" s="37"/>
      <c r="L456"/>
    </row>
    <row r="457" spans="3:12" x14ac:dyDescent="0.3">
      <c r="C457">
        <v>7</v>
      </c>
      <c r="D457" s="37">
        <v>45502</v>
      </c>
      <c r="E457">
        <v>0</v>
      </c>
      <c r="F457">
        <f t="shared" si="28"/>
        <v>0</v>
      </c>
      <c r="K457" s="37"/>
      <c r="L457"/>
    </row>
    <row r="458" spans="3:12" x14ac:dyDescent="0.3">
      <c r="C458">
        <v>7</v>
      </c>
      <c r="D458" s="37">
        <v>45503</v>
      </c>
      <c r="E458">
        <v>0</v>
      </c>
      <c r="F458">
        <f t="shared" si="28"/>
        <v>0</v>
      </c>
      <c r="K458" s="37"/>
      <c r="L458"/>
    </row>
    <row r="459" spans="3:12" x14ac:dyDescent="0.3">
      <c r="C459">
        <v>7</v>
      </c>
      <c r="D459" s="37">
        <v>45504</v>
      </c>
      <c r="E459">
        <v>0</v>
      </c>
      <c r="F459">
        <f t="shared" si="28"/>
        <v>0</v>
      </c>
      <c r="K459" s="37"/>
      <c r="L459"/>
    </row>
    <row r="460" spans="3:12" x14ac:dyDescent="0.3">
      <c r="C460">
        <v>7</v>
      </c>
      <c r="D460" s="37">
        <v>45505</v>
      </c>
      <c r="E460">
        <v>0</v>
      </c>
      <c r="F460">
        <f t="shared" si="28"/>
        <v>0</v>
      </c>
      <c r="K460" s="37"/>
      <c r="L460"/>
    </row>
    <row r="461" spans="3:12" x14ac:dyDescent="0.3">
      <c r="C461">
        <v>7</v>
      </c>
      <c r="D461" s="37">
        <v>45506</v>
      </c>
      <c r="E461">
        <v>0</v>
      </c>
      <c r="F461">
        <f t="shared" si="28"/>
        <v>0</v>
      </c>
      <c r="K461" s="37"/>
      <c r="L461"/>
    </row>
    <row r="462" spans="3:12" x14ac:dyDescent="0.3">
      <c r="C462">
        <v>7</v>
      </c>
      <c r="D462" s="37">
        <v>45507</v>
      </c>
      <c r="E462">
        <v>0</v>
      </c>
      <c r="F462">
        <f t="shared" si="28"/>
        <v>0</v>
      </c>
      <c r="K462" s="37"/>
      <c r="L462"/>
    </row>
    <row r="463" spans="3:12" x14ac:dyDescent="0.3">
      <c r="C463">
        <v>7</v>
      </c>
      <c r="D463" s="37" cm="1">
        <f t="array" ref="D463:D464">TRANSPOSE(Calendar!B197:C197)</f>
        <v>45508</v>
      </c>
      <c r="E463" cm="1">
        <f t="array" ref="E463:E464">TRANSPOSE(Calendar!B198:C198)</f>
        <v>0</v>
      </c>
      <c r="F463">
        <f t="shared" si="28"/>
        <v>0</v>
      </c>
      <c r="K463" s="37"/>
      <c r="L463"/>
    </row>
    <row r="464" spans="3:12" x14ac:dyDescent="0.3">
      <c r="C464">
        <v>7</v>
      </c>
      <c r="D464" s="37">
        <v>45509</v>
      </c>
      <c r="E464">
        <v>0</v>
      </c>
      <c r="F464">
        <f t="shared" si="28"/>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6lu4iP4Hlt9nYbrQm7czIlQapw0sewKBKrNUxUH48bCOEJoT30H9lAfhwhrCijVfnb2O5DTcb9PNG+9RftHHyw==" saltValue="pyxPKyuBUjWZm9gSZINYbQ=="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29"/>
  <sheetViews>
    <sheetView workbookViewId="0">
      <selection activeCell="J11" sqref="J11"/>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16.75" bestFit="1" customWidth="1"/>
  </cols>
  <sheetData>
    <row r="3" spans="2:12" x14ac:dyDescent="0.3">
      <c r="B3" s="95" t="s">
        <v>4193</v>
      </c>
      <c r="C3" s="95" t="s">
        <v>4194</v>
      </c>
      <c r="D3" s="95" t="s">
        <v>4179</v>
      </c>
      <c r="F3" s="95" t="s">
        <v>4195</v>
      </c>
      <c r="G3" s="95" t="s">
        <v>4196</v>
      </c>
      <c r="I3" s="95" t="s">
        <v>4197</v>
      </c>
      <c r="J3" t="s">
        <v>4198</v>
      </c>
    </row>
    <row r="4" spans="2:12" x14ac:dyDescent="0.3">
      <c r="B4" t="s">
        <v>4189</v>
      </c>
      <c r="C4">
        <v>1</v>
      </c>
      <c r="D4">
        <v>1</v>
      </c>
      <c r="F4" t="s">
        <v>4199</v>
      </c>
      <c r="G4">
        <v>0</v>
      </c>
      <c r="I4" t="s">
        <v>4188</v>
      </c>
      <c r="J4">
        <v>1</v>
      </c>
      <c r="L4" t="str">
        <f>_xlfn.XLOOKUP(Rotation,I4:I10,J4:J10,"")</f>
        <v/>
      </c>
    </row>
    <row r="5" spans="2:12" x14ac:dyDescent="0.3">
      <c r="B5" t="s">
        <v>9</v>
      </c>
      <c r="C5">
        <v>1</v>
      </c>
      <c r="D5">
        <v>0</v>
      </c>
      <c r="F5" t="s">
        <v>4181</v>
      </c>
      <c r="G5">
        <v>1</v>
      </c>
      <c r="I5" t="s">
        <v>4</v>
      </c>
      <c r="J5">
        <v>2</v>
      </c>
    </row>
    <row r="6" spans="2:12" x14ac:dyDescent="0.3">
      <c r="B6" t="s">
        <v>23</v>
      </c>
      <c r="C6">
        <f>IF(AND('START HERE'!C22="Yes",'START HERE'!C23&gt;=1),1,0)</f>
        <v>0</v>
      </c>
      <c r="D6">
        <v>1</v>
      </c>
      <c r="F6" t="s">
        <v>4200</v>
      </c>
      <c r="G6">
        <v>2</v>
      </c>
      <c r="I6" t="s">
        <v>4201</v>
      </c>
      <c r="J6">
        <v>3</v>
      </c>
    </row>
    <row r="7" spans="2:12" x14ac:dyDescent="0.3">
      <c r="B7" t="s">
        <v>24</v>
      </c>
      <c r="C7">
        <f>IF(AND('START HERE'!C22="Yes",'START HERE'!C23&gt;=2),1,0)</f>
        <v>0</v>
      </c>
      <c r="D7">
        <v>1</v>
      </c>
      <c r="F7" t="s">
        <v>4202</v>
      </c>
      <c r="G7">
        <v>2</v>
      </c>
      <c r="I7" t="s">
        <v>4203</v>
      </c>
      <c r="J7">
        <v>4</v>
      </c>
    </row>
    <row r="8" spans="2:12" x14ac:dyDescent="0.3">
      <c r="B8" t="s">
        <v>25</v>
      </c>
      <c r="C8">
        <f>IF(AND('START HERE'!C22="Yes",'START HERE'!C23=3),1,0)</f>
        <v>0</v>
      </c>
      <c r="D8">
        <v>1</v>
      </c>
      <c r="F8" t="s">
        <v>4204</v>
      </c>
      <c r="G8">
        <v>0</v>
      </c>
      <c r="I8" t="s">
        <v>4205</v>
      </c>
      <c r="J8">
        <v>5</v>
      </c>
    </row>
    <row r="9" spans="2:12" x14ac:dyDescent="0.3">
      <c r="B9" t="s">
        <v>26</v>
      </c>
      <c r="C9">
        <f>IF(AND('START HERE'!C24="Yes",'START HERE'!C25&gt;=1),1,0)</f>
        <v>0</v>
      </c>
      <c r="D9">
        <v>1</v>
      </c>
      <c r="F9" t="s">
        <v>4206</v>
      </c>
      <c r="G9">
        <v>2</v>
      </c>
      <c r="I9" t="s">
        <v>4207</v>
      </c>
      <c r="J9">
        <v>6</v>
      </c>
    </row>
    <row r="10" spans="2:12" x14ac:dyDescent="0.3">
      <c r="B10" t="s">
        <v>27</v>
      </c>
      <c r="C10">
        <f>IF(AND('START HERE'!C24="Yes",'START HERE'!C25&gt;=2),1,0)</f>
        <v>0</v>
      </c>
      <c r="D10">
        <v>1</v>
      </c>
      <c r="F10" t="s">
        <v>4208</v>
      </c>
      <c r="G10">
        <v>2</v>
      </c>
      <c r="I10" t="s">
        <v>4246</v>
      </c>
      <c r="J10">
        <v>10</v>
      </c>
    </row>
    <row r="11" spans="2:12" x14ac:dyDescent="0.3">
      <c r="B11" t="s">
        <v>28</v>
      </c>
      <c r="C11">
        <f>IF(AND('START HERE'!C24="Yes",'START HERE'!C25=3),1,0)</f>
        <v>0</v>
      </c>
      <c r="D11">
        <v>1</v>
      </c>
      <c r="F11" t="s">
        <v>4209</v>
      </c>
      <c r="G11">
        <v>2</v>
      </c>
    </row>
    <row r="12" spans="2:12" x14ac:dyDescent="0.3">
      <c r="B12" t="s">
        <v>4223</v>
      </c>
      <c r="C12">
        <f>IF(part_time_days="Yes",1,0)</f>
        <v>0</v>
      </c>
      <c r="D12">
        <v>1</v>
      </c>
    </row>
    <row r="17" spans="2:9" ht="17.25" thickBot="1" x14ac:dyDescent="0.35"/>
    <row r="18" spans="2:9" x14ac:dyDescent="0.3">
      <c r="B18" s="117"/>
      <c r="C18" s="118"/>
      <c r="D18" s="118"/>
      <c r="E18" s="118"/>
      <c r="F18" s="118"/>
      <c r="G18" s="118"/>
      <c r="H18" s="118"/>
      <c r="I18" s="119"/>
    </row>
    <row r="19" spans="2:9" x14ac:dyDescent="0.3">
      <c r="B19" s="111" t="str" cm="1">
        <f t="array" ref="B19:B20">_xlfn.UNIQUE(_xlfn._xlws.FILTER(Types_of_Day[Type of Day],Types_of_Day[Use]=1))</f>
        <v>Operational (no students)</v>
      </c>
      <c r="C19" s="112"/>
      <c r="D19" s="112"/>
      <c r="E19" s="112"/>
      <c r="F19" s="112" t="str" cm="1">
        <f t="array" ref="F19:F26">_xlfn.UNIQUE(Types_of_Activity[Type of Activity])</f>
        <v>Break - Unassigned</v>
      </c>
      <c r="G19" s="112"/>
      <c r="H19" s="112"/>
      <c r="I19" s="113" t="str" cm="1">
        <f t="array" ref="I19:I25">_xlfn.UNIQUE(Rotation_Types[Rotation Types])</f>
        <v>Weekday</v>
      </c>
    </row>
    <row r="20" spans="2:9" x14ac:dyDescent="0.3">
      <c r="B20" s="111" t="str">
        <v>Closed (non-operational)</v>
      </c>
      <c r="C20" s="112"/>
      <c r="D20" s="112"/>
      <c r="E20" s="112"/>
      <c r="F20" s="112" t="str">
        <v>Instruction</v>
      </c>
      <c r="G20" s="112"/>
      <c r="H20" s="112"/>
      <c r="I20" s="113" t="str">
        <v>Two day rotation</v>
      </c>
    </row>
    <row r="21" spans="2:9" x14ac:dyDescent="0.3">
      <c r="B21" s="111"/>
      <c r="C21" s="112"/>
      <c r="D21" s="112"/>
      <c r="E21" s="112"/>
      <c r="F21" s="112" t="str">
        <v>Meeting</v>
      </c>
      <c r="G21" s="112"/>
      <c r="H21" s="112"/>
      <c r="I21" s="113" t="str">
        <v>Three day rotation</v>
      </c>
    </row>
    <row r="22" spans="2:9" x14ac:dyDescent="0.3">
      <c r="B22" s="111"/>
      <c r="C22" s="112"/>
      <c r="D22" s="112"/>
      <c r="E22" s="112"/>
      <c r="F22" s="112" t="str">
        <v>Morning Prayer</v>
      </c>
      <c r="G22" s="112"/>
      <c r="H22" s="112"/>
      <c r="I22" s="113" t="str">
        <v>Four day rotation</v>
      </c>
    </row>
    <row r="23" spans="2:9" x14ac:dyDescent="0.3">
      <c r="B23" s="111"/>
      <c r="C23" s="112"/>
      <c r="D23" s="112"/>
      <c r="E23" s="112"/>
      <c r="F23" s="112" t="str">
        <v>Prep - Unassigned</v>
      </c>
      <c r="G23" s="112"/>
      <c r="H23" s="112"/>
      <c r="I23" s="113" t="str">
        <v>Five day rotation</v>
      </c>
    </row>
    <row r="24" spans="2:9" x14ac:dyDescent="0.3">
      <c r="B24" s="111"/>
      <c r="C24" s="112"/>
      <c r="D24" s="112"/>
      <c r="E24" s="112"/>
      <c r="F24" s="112" t="str">
        <v>Prep - Assigned</v>
      </c>
      <c r="G24" s="112"/>
      <c r="H24" s="112"/>
      <c r="I24" s="113" t="str">
        <v>Six day rotation</v>
      </c>
    </row>
    <row r="25" spans="2:9" x14ac:dyDescent="0.3">
      <c r="B25" s="111"/>
      <c r="C25" s="112"/>
      <c r="D25" s="112"/>
      <c r="E25" s="112"/>
      <c r="F25" s="112" t="str">
        <v>Transition</v>
      </c>
      <c r="G25" s="112"/>
      <c r="H25" s="112"/>
      <c r="I25" s="113" t="str">
        <v>Ten day rotation</v>
      </c>
    </row>
    <row r="26" spans="2:9" x14ac:dyDescent="0.3">
      <c r="B26" s="111"/>
      <c r="C26" s="112"/>
      <c r="D26" s="112"/>
      <c r="E26" s="112"/>
      <c r="F26" s="112" t="str">
        <v>Supervision</v>
      </c>
      <c r="G26" s="112"/>
      <c r="H26" s="112"/>
      <c r="I26" s="113"/>
    </row>
    <row r="27" spans="2:9" x14ac:dyDescent="0.3">
      <c r="B27" s="111"/>
      <c r="C27" s="112"/>
      <c r="D27" s="112"/>
      <c r="E27" s="112"/>
      <c r="F27" s="112"/>
      <c r="G27" s="112"/>
      <c r="H27" s="112"/>
      <c r="I27" s="113"/>
    </row>
    <row r="28" spans="2:9" x14ac:dyDescent="0.3">
      <c r="B28" s="111"/>
      <c r="C28" s="112"/>
      <c r="D28" s="112"/>
      <c r="E28" s="112"/>
      <c r="F28" s="112"/>
      <c r="G28" s="112"/>
      <c r="H28" s="112"/>
      <c r="I28" s="113"/>
    </row>
    <row r="29" spans="2:9" ht="17.25" thickBot="1" x14ac:dyDescent="0.35">
      <c r="B29" s="114"/>
      <c r="C29" s="115"/>
      <c r="D29" s="115"/>
      <c r="E29" s="115"/>
      <c r="F29" s="115"/>
      <c r="G29" s="115"/>
      <c r="H29" s="115"/>
      <c r="I29" s="116"/>
    </row>
  </sheetData>
  <sheetProtection algorithmName="SHA-512" hashValue="EpEvpmdG9dL63tgI9DL1SxxFajljkNrN2quW87LMYsX06Ph9VRQNHPZlFxeyHeW89zhOIWVNWJAGQQYhNFABSw==" saltValue="S1DAWe6NPeI/fUcyoaZlT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6.5" x14ac:dyDescent="0.3"/>
  <cols>
    <col min="1" max="1" width="5.125" customWidth="1"/>
    <col min="2" max="2" width="18.75" customWidth="1"/>
    <col min="3" max="10" width="15.75" customWidth="1"/>
  </cols>
  <sheetData>
    <row r="2" spans="2:10" x14ac:dyDescent="0.3">
      <c r="H2" s="112"/>
      <c r="I2" s="112"/>
    </row>
    <row r="3" spans="2:10" x14ac:dyDescent="0.3">
      <c r="H3" s="112"/>
      <c r="I3" s="112"/>
    </row>
    <row r="4" spans="2:10" x14ac:dyDescent="0.3">
      <c r="H4" s="112"/>
      <c r="I4" s="112"/>
    </row>
    <row r="8" spans="2:10" x14ac:dyDescent="0.3">
      <c r="B8" s="95" t="s">
        <v>32</v>
      </c>
      <c r="C8" s="106" t="str">
        <f>IF(ISBLANK(TeacherName),"",TeacherName)</f>
        <v/>
      </c>
    </row>
    <row r="9" spans="2:10" x14ac:dyDescent="0.3">
      <c r="B9" s="95" t="s">
        <v>33</v>
      </c>
      <c r="C9" s="106" t="str">
        <f>IF(ISBLANK(School),"",School)</f>
        <v/>
      </c>
    </row>
    <row r="10" spans="2:10" ht="14.45" customHeight="1" x14ac:dyDescent="0.3">
      <c r="B10" s="95"/>
      <c r="C10" s="126" t="s">
        <v>34</v>
      </c>
      <c r="D10" s="126"/>
      <c r="E10" s="126" t="s">
        <v>35</v>
      </c>
      <c r="F10" s="126"/>
      <c r="G10" s="126" t="s">
        <v>4221</v>
      </c>
      <c r="H10" s="126"/>
      <c r="I10" s="126" t="s">
        <v>4222</v>
      </c>
      <c r="J10" s="126"/>
    </row>
    <row r="11" spans="2:10" ht="61.15" customHeight="1" x14ac:dyDescent="0.3">
      <c r="C11" s="96" t="s">
        <v>21</v>
      </c>
      <c r="D11" s="96" t="s">
        <v>4220</v>
      </c>
      <c r="E11" s="96" t="s">
        <v>21</v>
      </c>
      <c r="F11" s="96" t="s">
        <v>4220</v>
      </c>
      <c r="G11" s="96" t="s">
        <v>21</v>
      </c>
      <c r="H11" s="96" t="s">
        <v>4220</v>
      </c>
      <c r="I11" s="128" t="s">
        <v>21</v>
      </c>
      <c r="J11" s="128" t="s">
        <v>4220</v>
      </c>
    </row>
    <row r="12" spans="2:10" x14ac:dyDescent="0.3">
      <c r="B12" s="38" t="s">
        <v>6</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36</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37</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38</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39</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40</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41</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42</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43</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44</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45</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7.25" thickBot="1" x14ac:dyDescent="0.35">
      <c r="B23" s="40" t="s">
        <v>46</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7.25" thickTop="1" x14ac:dyDescent="0.3">
      <c r="B24" s="39" t="s">
        <v>47</v>
      </c>
      <c r="C24" s="94">
        <f>SUM(C12:C23)</f>
        <v>0</v>
      </c>
      <c r="D24" s="94">
        <f t="shared" ref="D24:F24" si="4">SUM(D12:D23)</f>
        <v>0</v>
      </c>
      <c r="E24" s="94">
        <f t="shared" si="4"/>
        <v>0</v>
      </c>
      <c r="F24" s="94">
        <f t="shared" si="4"/>
        <v>0</v>
      </c>
      <c r="G24" s="139"/>
      <c r="H24" s="139"/>
    </row>
    <row r="27" spans="2:10" x14ac:dyDescent="0.3">
      <c r="B27" s="91" t="s">
        <v>48</v>
      </c>
      <c r="C27">
        <f>Calculations!Y3</f>
        <v>0</v>
      </c>
      <c r="E27" s="95" t="s">
        <v>4225</v>
      </c>
      <c r="G27" s="140">
        <f>+C24+E24</f>
        <v>0</v>
      </c>
    </row>
    <row r="28" spans="2:10" x14ac:dyDescent="0.3">
      <c r="B28" s="91" t="s">
        <v>49</v>
      </c>
      <c r="C28">
        <f>Calculations!Y4</f>
        <v>0</v>
      </c>
      <c r="E28" s="95" t="s">
        <v>4226</v>
      </c>
      <c r="G28" s="140">
        <f>+D24+F24</f>
        <v>0</v>
      </c>
    </row>
    <row r="29" spans="2:10" x14ac:dyDescent="0.3">
      <c r="B29" s="91" t="s">
        <v>50</v>
      </c>
      <c r="C29">
        <f>Calculations!Y5</f>
        <v>0</v>
      </c>
      <c r="E29" s="95" t="s">
        <v>4227</v>
      </c>
      <c r="G29" s="140">
        <f>+G27+G28</f>
        <v>0</v>
      </c>
    </row>
    <row r="31" spans="2:10" x14ac:dyDescent="0.3">
      <c r="B31" s="91"/>
    </row>
    <row r="118" spans="2:10" x14ac:dyDescent="0.3">
      <c r="B118" s="146" t="s">
        <v>51</v>
      </c>
      <c r="C118" s="146" t="s">
        <v>52</v>
      </c>
      <c r="D118" s="146" t="s">
        <v>1</v>
      </c>
      <c r="E118" s="146" t="s">
        <v>2</v>
      </c>
      <c r="F118" s="146" t="s">
        <v>4232</v>
      </c>
      <c r="G118" s="146" t="s">
        <v>31</v>
      </c>
      <c r="H118" s="146" t="s">
        <v>53</v>
      </c>
      <c r="I118" s="146" t="s">
        <v>54</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+G29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rQkcp5WfmouCt0VHo3koafKI/fRgxzsUOMlb+UadeJWJ50RAnpH5OE2Veo+0N9RuD7E6mm3arbAAzXgf1Jy2Dw==" saltValue="j3HfkzyNXOnpppuJmJSuXw=="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3"/>
  <sheetViews>
    <sheetView showGridLines="0" showRowColHeaders="0" workbookViewId="0">
      <selection activeCell="B1" sqref="B1:I1"/>
    </sheetView>
  </sheetViews>
  <sheetFormatPr defaultRowHeight="16.5" x14ac:dyDescent="0.3"/>
  <sheetData>
    <row r="1" spans="2:9" x14ac:dyDescent="0.3">
      <c r="B1" s="155" t="s">
        <v>4230</v>
      </c>
      <c r="C1" s="155"/>
      <c r="D1" s="155"/>
      <c r="E1" s="155"/>
      <c r="F1" s="155"/>
      <c r="G1" s="155"/>
      <c r="H1" s="155"/>
      <c r="I1" s="155"/>
    </row>
    <row r="2" spans="2:9" ht="30.75" x14ac:dyDescent="0.45">
      <c r="B2" s="125" t="s">
        <v>4219</v>
      </c>
    </row>
    <row r="23" spans="2:2" ht="30.75" x14ac:dyDescent="0.45">
      <c r="B23" s="125" t="s">
        <v>21</v>
      </c>
    </row>
  </sheetData>
  <sheetProtection algorithmName="SHA-512" hashValue="wu5QU28w5R8+jZwF6lYnNY+fsLbgrj5KwZ0j8H8A2byJdnlVQ0/q/x7/9sz2DZ/xwQnre/Njt0OHE4h/uUZuMg==" saltValue="WorM/Weh1dDNO+tDMLo/kA=="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7:Q198"/>
  <sheetViews>
    <sheetView showGridLines="0" topLeftCell="A16" workbookViewId="0">
      <selection activeCell="G30" sqref="G30"/>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7" spans="1:17" ht="9" customHeight="1" x14ac:dyDescent="0.3">
      <c r="A7" s="5"/>
      <c r="I7" s="4" t="s">
        <v>5</v>
      </c>
    </row>
    <row r="8" spans="1:17" ht="95.25" customHeight="1" x14ac:dyDescent="0.9">
      <c r="B8" s="47">
        <v>2023</v>
      </c>
      <c r="C8" s="158" t="s">
        <v>6</v>
      </c>
      <c r="D8" s="158"/>
      <c r="E8" s="44"/>
      <c r="F8" s="45"/>
      <c r="G8" s="45"/>
      <c r="H8" s="46"/>
    </row>
    <row r="9" spans="1:17" ht="9" customHeight="1" x14ac:dyDescent="0.3"/>
    <row r="10" spans="1:17" s="6" customFormat="1" ht="24" customHeight="1" x14ac:dyDescent="0.35">
      <c r="B10" s="49" t="s">
        <v>7</v>
      </c>
      <c r="C10" s="50" t="str">
        <f>(TEXT(C11,"dddd"))</f>
        <v>Monday</v>
      </c>
      <c r="D10" s="49" t="str">
        <f>TEXT(D11,"dddd")</f>
        <v>Tuesday</v>
      </c>
      <c r="E10" s="50" t="str">
        <f>TEXT(E11,"dddd")</f>
        <v>Wednesday</v>
      </c>
      <c r="F10" s="49" t="str">
        <f>TEXT(F11,"dddd")</f>
        <v>Thursday</v>
      </c>
      <c r="G10" s="50" t="str">
        <f>TEXT(G11,"dddd")</f>
        <v>Friday</v>
      </c>
      <c r="H10" s="49" t="str">
        <f>(TEXT(H11,"dddd"))</f>
        <v>Saturday</v>
      </c>
    </row>
    <row r="11" spans="1:17" s="7" customFormat="1" ht="24" customHeight="1" x14ac:dyDescent="0.35">
      <c r="B11" s="52">
        <f t="array" ref="B11:H11">Days+1+DATE(Calendar1Year,Calendar1MonthOption,1)-WEEKDAY(DATE(Calendar1Year,Calendar1MonthOption,1),WeekdayOption)</f>
        <v>45137</v>
      </c>
      <c r="C11" s="14">
        <v>45138</v>
      </c>
      <c r="D11" s="17">
        <v>45139</v>
      </c>
      <c r="E11" s="20">
        <v>45140</v>
      </c>
      <c r="F11" s="23">
        <v>45141</v>
      </c>
      <c r="G11" s="26">
        <v>45142</v>
      </c>
      <c r="H11" s="31">
        <v>45143</v>
      </c>
    </row>
    <row r="12" spans="1:17" s="8" customFormat="1" ht="51" customHeight="1" x14ac:dyDescent="0.3">
      <c r="B12" s="55"/>
      <c r="C12" s="99"/>
      <c r="D12" s="100"/>
      <c r="E12" s="100"/>
      <c r="F12" s="100"/>
      <c r="G12" s="100"/>
      <c r="H12" s="56"/>
      <c r="K12" s="157" t="s">
        <v>4228</v>
      </c>
      <c r="L12" s="157"/>
      <c r="M12" s="157"/>
      <c r="N12" s="157"/>
      <c r="O12" s="157"/>
      <c r="P12" s="157"/>
      <c r="Q12" s="157"/>
    </row>
    <row r="13" spans="1:17" s="7" customFormat="1" ht="24" customHeight="1" x14ac:dyDescent="0.35">
      <c r="B13" s="53">
        <f t="array" ref="B13:H13">Days+8+DATE(Calendar1Year,Calendar1MonthOption,1)-WEEKDAY(DATE(Calendar1Year,Calendar1MonthOption,1),WeekdayOption)</f>
        <v>45144</v>
      </c>
      <c r="C13" s="15">
        <v>45145</v>
      </c>
      <c r="D13" s="18">
        <v>45146</v>
      </c>
      <c r="E13" s="21">
        <v>45147</v>
      </c>
      <c r="F13" s="24">
        <v>45148</v>
      </c>
      <c r="G13" s="27">
        <v>45149</v>
      </c>
      <c r="H13" s="32">
        <v>45150</v>
      </c>
      <c r="L13" s="156"/>
      <c r="M13" s="156"/>
      <c r="N13" s="156"/>
      <c r="O13" s="156"/>
      <c r="P13" s="156"/>
    </row>
    <row r="14" spans="1:17" s="8" customFormat="1" ht="51" customHeight="1" x14ac:dyDescent="0.3">
      <c r="B14" s="57"/>
      <c r="C14" s="100"/>
      <c r="D14" s="100"/>
      <c r="E14" s="100"/>
      <c r="F14" s="100"/>
      <c r="G14" s="100"/>
      <c r="H14" s="58"/>
    </row>
    <row r="15" spans="1:17" s="7" customFormat="1" ht="24" customHeight="1" x14ac:dyDescent="0.35">
      <c r="B15" s="54">
        <f t="array" ref="B15:H15">Days+15+DATE(Calendar1Year,Calendar1MonthOption,1)-WEEKDAY(DATE(Calendar1Year,Calendar1MonthOption,1),WeekdayOption)</f>
        <v>45151</v>
      </c>
      <c r="C15" s="16">
        <v>45152</v>
      </c>
      <c r="D15" s="19">
        <v>45153</v>
      </c>
      <c r="E15" s="22">
        <v>45154</v>
      </c>
      <c r="F15" s="25">
        <v>45155</v>
      </c>
      <c r="G15" s="28">
        <v>45156</v>
      </c>
      <c r="H15" s="51">
        <v>45157</v>
      </c>
    </row>
    <row r="16" spans="1:17" s="8" customFormat="1" ht="51" customHeight="1" x14ac:dyDescent="0.3">
      <c r="B16" s="59"/>
      <c r="C16" s="100"/>
      <c r="D16" s="100"/>
      <c r="E16" s="100"/>
      <c r="F16" s="100"/>
      <c r="G16" s="100"/>
      <c r="H16" s="60"/>
    </row>
    <row r="17" spans="2:11" s="7" customFormat="1" ht="24" customHeight="1" x14ac:dyDescent="0.3">
      <c r="B17" s="61">
        <f t="array" ref="B17:H17">Days+22+DATE(Calendar1Year,Calendar1MonthOption,1)-WEEKDAY(DATE(Calendar1Year,Calendar1MonthOption,1),WeekdayOption)</f>
        <v>45158</v>
      </c>
      <c r="C17" s="62">
        <v>45159</v>
      </c>
      <c r="D17" s="63">
        <v>45160</v>
      </c>
      <c r="E17" s="64">
        <v>45161</v>
      </c>
      <c r="F17" s="65">
        <v>45162</v>
      </c>
      <c r="G17" s="66">
        <v>45163</v>
      </c>
      <c r="H17" s="67">
        <v>45164</v>
      </c>
    </row>
    <row r="18" spans="2:11" s="8" customFormat="1" ht="51" customHeight="1" x14ac:dyDescent="0.3">
      <c r="B18" s="68"/>
      <c r="C18" s="100"/>
      <c r="D18" s="100"/>
      <c r="E18" s="100"/>
      <c r="F18" s="100"/>
      <c r="G18" s="100"/>
      <c r="H18" s="69"/>
    </row>
    <row r="19" spans="2:11" s="7" customFormat="1" ht="24" customHeight="1" x14ac:dyDescent="0.3">
      <c r="B19" s="70">
        <f t="array" ref="B19:H19">Days+29+DATE(Calendar1Year,Calendar1MonthOption,1)-WEEKDAY(DATE(Calendar1Year,Calendar1MonthOption,1),WeekdayOption)</f>
        <v>45165</v>
      </c>
      <c r="C19" s="71">
        <v>45166</v>
      </c>
      <c r="D19" s="72">
        <v>45167</v>
      </c>
      <c r="E19" s="73">
        <v>45168</v>
      </c>
      <c r="F19" s="74">
        <v>45169</v>
      </c>
      <c r="G19" s="75">
        <v>45170</v>
      </c>
      <c r="H19" s="76">
        <v>45171</v>
      </c>
    </row>
    <row r="20" spans="2:11" s="8" customFormat="1" ht="51" customHeight="1" x14ac:dyDescent="0.3">
      <c r="B20" s="77"/>
      <c r="C20" s="100"/>
      <c r="D20" s="100"/>
      <c r="E20" s="100"/>
      <c r="F20" s="100"/>
      <c r="G20" s="101"/>
      <c r="H20" s="79"/>
    </row>
    <row r="21" spans="2:11" s="9" customFormat="1" ht="24" customHeight="1" x14ac:dyDescent="0.35">
      <c r="B21" s="80">
        <f t="array" ref="B21:C21">Days+36+DATE(Calendar1Year,Calendar1MonthOption,1)-WEEKDAY(DATE(Calendar1Year,Calendar1MonthOption,1),WeekdayOption)</f>
        <v>45172</v>
      </c>
      <c r="C21" s="81">
        <v>45173</v>
      </c>
      <c r="D21" s="160" t="s">
        <v>8</v>
      </c>
      <c r="E21" s="161"/>
      <c r="F21" s="161"/>
      <c r="G21" s="161"/>
      <c r="H21" s="161"/>
    </row>
    <row r="22" spans="2:11" s="8" customFormat="1" ht="51" customHeight="1" x14ac:dyDescent="0.3">
      <c r="B22" s="82"/>
      <c r="C22" s="102"/>
      <c r="D22" s="162"/>
      <c r="E22" s="162"/>
      <c r="F22" s="162"/>
      <c r="G22" s="162"/>
      <c r="H22" s="162"/>
    </row>
    <row r="23" spans="2:11" s="10" customFormat="1" ht="9" customHeight="1" x14ac:dyDescent="0.3">
      <c r="B23" s="1"/>
      <c r="C23" s="1"/>
      <c r="D23" s="2"/>
      <c r="E23" s="2"/>
      <c r="F23" s="2"/>
      <c r="G23" s="2"/>
      <c r="H23" s="2"/>
    </row>
    <row r="24" spans="2:11" ht="95.25" customHeight="1" x14ac:dyDescent="0.9">
      <c r="B24" s="47">
        <f>YEAR(DATE(Calendar1Year,Calendar1MonthOption+1,1))</f>
        <v>2023</v>
      </c>
      <c r="C24" s="158" t="str">
        <f>TEXT(DATE(Calendar1Year,Calendar1MonthOption+1,1),"mmmm")</f>
        <v>September</v>
      </c>
      <c r="D24" s="158"/>
      <c r="E24" s="44"/>
      <c r="F24" s="45"/>
      <c r="G24" s="45"/>
      <c r="H24" s="46"/>
    </row>
    <row r="25" spans="2:11" ht="9" customHeight="1" x14ac:dyDescent="0.3"/>
    <row r="26" spans="2:11" s="6" customFormat="1" ht="24" customHeight="1" x14ac:dyDescent="0.35">
      <c r="B26" s="49" t="str">
        <f t="shared" ref="B26:H26" si="0">TEXT(B27,"dddd")</f>
        <v>Sunday</v>
      </c>
      <c r="C26" s="50" t="str">
        <f t="shared" si="0"/>
        <v>Monday</v>
      </c>
      <c r="D26" s="49" t="str">
        <f t="shared" si="0"/>
        <v>Tuesday</v>
      </c>
      <c r="E26" s="50" t="str">
        <f t="shared" si="0"/>
        <v>Wednesday</v>
      </c>
      <c r="F26" s="49" t="str">
        <f t="shared" si="0"/>
        <v>Thursday</v>
      </c>
      <c r="G26" s="50" t="str">
        <f t="shared" si="0"/>
        <v>Friday</v>
      </c>
      <c r="H26" s="49" t="str">
        <f t="shared" si="0"/>
        <v>Saturday</v>
      </c>
    </row>
    <row r="27" spans="2:11" s="9" customFormat="1" ht="24" customHeight="1" x14ac:dyDescent="0.35">
      <c r="B27" s="31">
        <f t="array" ref="B27:H27">Days+1+DATE(Calendar2Year,Calendar2MonthOption,1)-WEEKDAY(DATE(Calendar2Year,Calendar2MonthOption,1),WeekdayOption)</f>
        <v>45165</v>
      </c>
      <c r="C27" s="29">
        <v>45166</v>
      </c>
      <c r="D27" s="29">
        <v>45167</v>
      </c>
      <c r="E27" s="29">
        <v>45168</v>
      </c>
      <c r="F27" s="29">
        <v>45169</v>
      </c>
      <c r="G27" s="29">
        <v>45170</v>
      </c>
      <c r="H27" s="31">
        <v>45171</v>
      </c>
      <c r="K27" s="41"/>
    </row>
    <row r="28" spans="2:11" s="8" customFormat="1" ht="51" customHeight="1" x14ac:dyDescent="0.3">
      <c r="B28" s="83"/>
      <c r="C28" s="103"/>
      <c r="D28" s="103"/>
      <c r="E28" s="103"/>
      <c r="F28" s="103"/>
      <c r="G28" s="100"/>
      <c r="H28" s="83"/>
    </row>
    <row r="29" spans="2:11" s="9" customFormat="1" ht="24" customHeight="1" x14ac:dyDescent="0.35">
      <c r="B29" s="32">
        <f t="array" ref="B29:H29">Days+8+DATE(Calendar2Year,Calendar2MonthOption,1)-WEEKDAY(DATE(Calendar2Year,Calendar2MonthOption,1),WeekdayOption)</f>
        <v>45172</v>
      </c>
      <c r="C29" s="29">
        <v>45173</v>
      </c>
      <c r="D29" s="30">
        <v>45174</v>
      </c>
      <c r="E29" s="30">
        <v>45175</v>
      </c>
      <c r="F29" s="30">
        <v>45176</v>
      </c>
      <c r="G29" s="30">
        <v>45177</v>
      </c>
      <c r="H29" s="32">
        <v>45178</v>
      </c>
      <c r="K29" s="41"/>
    </row>
    <row r="30" spans="2:11" s="8" customFormat="1" ht="51" customHeight="1" x14ac:dyDescent="0.3">
      <c r="B30" s="56"/>
      <c r="C30" s="100" t="s">
        <v>9</v>
      </c>
      <c r="D30" s="100"/>
      <c r="E30" s="100"/>
      <c r="F30" s="100"/>
      <c r="G30" s="100"/>
      <c r="H30" s="56"/>
    </row>
    <row r="31" spans="2:11" s="9" customFormat="1" ht="24" customHeight="1" x14ac:dyDescent="0.35">
      <c r="B31" s="32">
        <f t="array" ref="B31:H31">Days+15+DATE(Calendar2Year,Calendar2MonthOption,1)-WEEKDAY(DATE(Calendar2Year,Calendar2MonthOption,1),WeekdayOption)</f>
        <v>45179</v>
      </c>
      <c r="C31" s="30">
        <v>45180</v>
      </c>
      <c r="D31" s="30">
        <v>45181</v>
      </c>
      <c r="E31" s="30">
        <v>45182</v>
      </c>
      <c r="F31" s="30">
        <v>45183</v>
      </c>
      <c r="G31" s="30">
        <v>45184</v>
      </c>
      <c r="H31" s="32">
        <v>45185</v>
      </c>
      <c r="K31" s="41"/>
    </row>
    <row r="32" spans="2:11" s="8" customFormat="1" ht="51" customHeight="1" x14ac:dyDescent="0.3">
      <c r="B32" s="56"/>
      <c r="C32" s="100"/>
      <c r="D32" s="100"/>
      <c r="E32" s="100"/>
      <c r="F32" s="100"/>
      <c r="G32" s="100"/>
      <c r="H32" s="56"/>
    </row>
    <row r="33" spans="2:11" s="9" customFormat="1" ht="24" customHeight="1" x14ac:dyDescent="0.35">
      <c r="B33" s="32">
        <f t="array" ref="B33:H33">Days+22+DATE(Calendar2Year,Calendar2MonthOption,1)-WEEKDAY(DATE(Calendar2Year,Calendar2MonthOption,1),WeekdayOption)</f>
        <v>45186</v>
      </c>
      <c r="C33" s="30">
        <v>45187</v>
      </c>
      <c r="D33" s="30">
        <v>45188</v>
      </c>
      <c r="E33" s="30">
        <v>45189</v>
      </c>
      <c r="F33" s="30">
        <v>45190</v>
      </c>
      <c r="G33" s="30">
        <v>45191</v>
      </c>
      <c r="H33" s="32">
        <v>45192</v>
      </c>
      <c r="K33" s="41"/>
    </row>
    <row r="34" spans="2:11" s="8" customFormat="1" ht="51" customHeight="1" x14ac:dyDescent="0.3">
      <c r="B34" s="56"/>
      <c r="C34" s="100"/>
      <c r="D34" s="100"/>
      <c r="E34" s="100"/>
      <c r="F34" s="100"/>
      <c r="G34" s="100"/>
      <c r="H34" s="56"/>
    </row>
    <row r="35" spans="2:11" s="9" customFormat="1" ht="24" customHeight="1" x14ac:dyDescent="0.35">
      <c r="B35" s="32">
        <f t="array" ref="B35:H35">Days+29+DATE(Calendar2Year,Calendar2MonthOption,1)-WEEKDAY(DATE(Calendar2Year,Calendar2MonthOption,1),WeekdayOption)</f>
        <v>45193</v>
      </c>
      <c r="C35" s="30">
        <v>45194</v>
      </c>
      <c r="D35" s="30">
        <v>45195</v>
      </c>
      <c r="E35" s="30">
        <v>45196</v>
      </c>
      <c r="F35" s="30">
        <v>45197</v>
      </c>
      <c r="G35" s="30">
        <v>45198</v>
      </c>
      <c r="H35" s="32">
        <v>45199</v>
      </c>
    </row>
    <row r="36" spans="2:11" s="8" customFormat="1" ht="51" customHeight="1" x14ac:dyDescent="0.3">
      <c r="B36" s="83"/>
      <c r="C36" s="100"/>
      <c r="D36" s="100"/>
      <c r="E36" s="100"/>
      <c r="F36" s="100"/>
      <c r="G36" s="100"/>
      <c r="H36" s="56"/>
    </row>
    <row r="37" spans="2:11" s="9" customFormat="1" ht="24" customHeight="1" x14ac:dyDescent="0.35">
      <c r="B37" s="3">
        <f t="array" ref="B37:C37">Days+36+DATE(Calendar2Year,Calendar2MonthOption,1)-WEEKDAY(DATE(Calendar2Year,Calendar2MonthOption,1),WeekdayOption)</f>
        <v>45200</v>
      </c>
      <c r="C37" s="29">
        <v>45201</v>
      </c>
      <c r="D37" s="163" t="s">
        <v>8</v>
      </c>
      <c r="E37" s="163"/>
      <c r="F37" s="163"/>
      <c r="G37" s="163"/>
      <c r="H37" s="163"/>
    </row>
    <row r="38" spans="2:11" s="8" customFormat="1" ht="51" customHeight="1" x14ac:dyDescent="0.3">
      <c r="B38" s="83"/>
      <c r="C38" s="105"/>
      <c r="D38" s="162"/>
      <c r="E38" s="162"/>
      <c r="F38" s="162"/>
      <c r="G38" s="162"/>
      <c r="H38" s="162"/>
    </row>
    <row r="39" spans="2:11" s="10" customFormat="1" ht="9" customHeight="1" x14ac:dyDescent="0.3">
      <c r="B39" s="1"/>
      <c r="C39" s="1"/>
      <c r="D39" s="2"/>
      <c r="E39" s="2"/>
      <c r="F39" s="2"/>
      <c r="G39" s="2"/>
      <c r="H39" s="2"/>
    </row>
    <row r="40" spans="2:11" ht="95.25" customHeight="1" x14ac:dyDescent="0.9">
      <c r="B40" s="47">
        <f>YEAR(DATE(Calendar2Year,Calendar2MonthOption+1,1))</f>
        <v>2023</v>
      </c>
      <c r="C40" s="158" t="str">
        <f>TEXT(DATE(Calendar2Year,Calendar2MonthOption+1,1),"mmmm")</f>
        <v>October</v>
      </c>
      <c r="D40" s="158"/>
      <c r="E40" s="44"/>
      <c r="F40" s="45"/>
      <c r="G40" s="45"/>
      <c r="H40" s="46"/>
    </row>
    <row r="41" spans="2:11" ht="9" customHeight="1" x14ac:dyDescent="0.3"/>
    <row r="42" spans="2:11" s="6" customFormat="1" ht="24" customHeight="1" x14ac:dyDescent="0.35">
      <c r="B42" s="49" t="str">
        <f t="shared" ref="B42:H42" si="1">TEXT(B43,"dddd")</f>
        <v>Sunday</v>
      </c>
      <c r="C42" s="50" t="str">
        <f t="shared" si="1"/>
        <v>Monday</v>
      </c>
      <c r="D42" s="49" t="str">
        <f t="shared" si="1"/>
        <v>Tuesday</v>
      </c>
      <c r="E42" s="50" t="str">
        <f t="shared" si="1"/>
        <v>Wednesday</v>
      </c>
      <c r="F42" s="49" t="str">
        <f t="shared" si="1"/>
        <v>Thursday</v>
      </c>
      <c r="G42" s="50" t="str">
        <f t="shared" si="1"/>
        <v>Friday</v>
      </c>
      <c r="H42" s="49" t="str">
        <f t="shared" si="1"/>
        <v>Saturday</v>
      </c>
    </row>
    <row r="43" spans="2:11" s="7" customFormat="1" ht="24" customHeight="1" x14ac:dyDescent="0.35">
      <c r="B43" s="31">
        <f t="array" ref="B43:H43">Days+1+DATE(Calendar3Year,Calendar3MonthOption,1)-WEEKDAY(DATE(Calendar3Year,Calendar3MonthOption,1),WeekdayOption)</f>
        <v>45200</v>
      </c>
      <c r="C43" s="29">
        <v>45201</v>
      </c>
      <c r="D43" s="29">
        <v>45202</v>
      </c>
      <c r="E43" s="29">
        <v>45203</v>
      </c>
      <c r="F43" s="29">
        <v>45204</v>
      </c>
      <c r="G43" s="29">
        <v>45205</v>
      </c>
      <c r="H43" s="3">
        <v>45206</v>
      </c>
    </row>
    <row r="44" spans="2:11" s="8" customFormat="1" ht="51" customHeight="1" x14ac:dyDescent="0.3">
      <c r="B44" s="56"/>
      <c r="C44" s="100"/>
      <c r="D44" s="100"/>
      <c r="E44" s="100"/>
      <c r="F44" s="100"/>
      <c r="G44" s="100"/>
      <c r="H44" s="56"/>
    </row>
    <row r="45" spans="2:11" s="7" customFormat="1" ht="24" customHeight="1" x14ac:dyDescent="0.35">
      <c r="B45" s="32">
        <f t="array" ref="B45:H45">Days+8+DATE(Calendar3Year,Calendar3MonthOption,1)-WEEKDAY(DATE(Calendar3Year,Calendar3MonthOption,1),WeekdayOption)</f>
        <v>45207</v>
      </c>
      <c r="C45" s="43">
        <v>45208</v>
      </c>
      <c r="D45" s="30">
        <v>45209</v>
      </c>
      <c r="E45" s="30">
        <v>45210</v>
      </c>
      <c r="F45" s="30">
        <v>45211</v>
      </c>
      <c r="G45" s="30">
        <v>45212</v>
      </c>
      <c r="H45" s="32">
        <v>45213</v>
      </c>
    </row>
    <row r="46" spans="2:11" s="8" customFormat="1" ht="51" customHeight="1" x14ac:dyDescent="0.3">
      <c r="B46" s="56"/>
      <c r="C46" s="100" t="s">
        <v>9</v>
      </c>
      <c r="D46" s="100"/>
      <c r="E46" s="100"/>
      <c r="F46" s="100"/>
      <c r="G46" s="100"/>
      <c r="H46" s="56"/>
    </row>
    <row r="47" spans="2:11" s="7" customFormat="1" ht="24" customHeight="1" x14ac:dyDescent="0.35">
      <c r="B47" s="32">
        <f t="array" ref="B47:H47">Days+15+DATE(Calendar3Year,Calendar3MonthOption,1)-WEEKDAY(DATE(Calendar3Year,Calendar3MonthOption,1),WeekdayOption)</f>
        <v>45214</v>
      </c>
      <c r="C47" s="30">
        <v>45215</v>
      </c>
      <c r="D47" s="30">
        <v>45216</v>
      </c>
      <c r="E47" s="30">
        <v>45217</v>
      </c>
      <c r="F47" s="30">
        <v>45218</v>
      </c>
      <c r="G47" s="30">
        <v>45219</v>
      </c>
      <c r="H47" s="32">
        <v>45220</v>
      </c>
    </row>
    <row r="48" spans="2:11" s="8" customFormat="1" ht="51" customHeight="1" x14ac:dyDescent="0.3">
      <c r="B48" s="56"/>
      <c r="C48" s="100"/>
      <c r="D48" s="100"/>
      <c r="E48" s="100"/>
      <c r="F48" s="100"/>
      <c r="G48" s="100"/>
      <c r="H48" s="56"/>
    </row>
    <row r="49" spans="2:8" s="7" customFormat="1" ht="24" customHeight="1" x14ac:dyDescent="0.35">
      <c r="B49" s="32">
        <f t="array" ref="B49:H49">Days+22+DATE(Calendar3Year,Calendar3MonthOption,1)-WEEKDAY(DATE(Calendar3Year,Calendar3MonthOption,1),WeekdayOption)</f>
        <v>45221</v>
      </c>
      <c r="C49" s="30">
        <v>45222</v>
      </c>
      <c r="D49" s="30">
        <v>45223</v>
      </c>
      <c r="E49" s="30">
        <v>45224</v>
      </c>
      <c r="F49" s="30">
        <v>45225</v>
      </c>
      <c r="G49" s="30">
        <v>45226</v>
      </c>
      <c r="H49" s="32">
        <v>45227</v>
      </c>
    </row>
    <row r="50" spans="2:8" s="8" customFormat="1" ht="51" customHeight="1" x14ac:dyDescent="0.3">
      <c r="B50" s="56"/>
      <c r="C50" s="100"/>
      <c r="D50" s="100"/>
      <c r="E50" s="100"/>
      <c r="F50" s="100"/>
      <c r="G50" s="100"/>
      <c r="H50" s="56"/>
    </row>
    <row r="51" spans="2:8" s="7" customFormat="1" ht="24" customHeight="1" x14ac:dyDescent="0.35">
      <c r="B51" s="32">
        <f t="array" ref="B51:H51">Days+29+DATE(Calendar3Year,Calendar3MonthOption,1)-WEEKDAY(DATE(Calendar3Year,Calendar3MonthOption,1),WeekdayOption)</f>
        <v>45228</v>
      </c>
      <c r="C51" s="30">
        <v>45229</v>
      </c>
      <c r="D51" s="30">
        <v>45230</v>
      </c>
      <c r="E51" s="30">
        <v>45231</v>
      </c>
      <c r="F51" s="30">
        <v>45232</v>
      </c>
      <c r="G51" s="30">
        <v>45233</v>
      </c>
      <c r="H51" s="32">
        <v>45234</v>
      </c>
    </row>
    <row r="52" spans="2:8" s="8" customFormat="1" ht="51" customHeight="1" x14ac:dyDescent="0.3">
      <c r="B52" s="56"/>
      <c r="C52" s="100"/>
      <c r="D52" s="100"/>
      <c r="E52" s="104"/>
      <c r="F52" s="104"/>
      <c r="G52" s="104"/>
      <c r="H52" s="56"/>
    </row>
    <row r="53" spans="2:8" s="7" customFormat="1" ht="24" customHeight="1" x14ac:dyDescent="0.35">
      <c r="B53" s="31">
        <f t="array" ref="B53:C53">Days+36+DATE(Calendar3Year,Calendar3MonthOption,1)-WEEKDAY(DATE(Calendar3Year,Calendar3MonthOption,1),WeekdayOption)</f>
        <v>45235</v>
      </c>
      <c r="C53" s="29">
        <v>45236</v>
      </c>
      <c r="D53" s="163" t="s">
        <v>8</v>
      </c>
      <c r="E53" s="164"/>
      <c r="F53" s="164"/>
      <c r="G53" s="164"/>
      <c r="H53" s="164"/>
    </row>
    <row r="54" spans="2:8" s="8" customFormat="1" ht="51" customHeight="1" x14ac:dyDescent="0.3">
      <c r="B54" s="83"/>
      <c r="C54" s="104"/>
      <c r="D54" s="162"/>
      <c r="E54" s="162"/>
      <c r="F54" s="162"/>
      <c r="G54" s="162"/>
      <c r="H54" s="162"/>
    </row>
    <row r="55" spans="2:8" s="10" customFormat="1" ht="9" customHeight="1" x14ac:dyDescent="0.3">
      <c r="B55" s="1"/>
      <c r="C55" s="1"/>
      <c r="D55" s="2"/>
      <c r="E55" s="2"/>
      <c r="F55" s="2"/>
      <c r="G55" s="2"/>
      <c r="H55" s="2"/>
    </row>
    <row r="56" spans="2:8" ht="95.25" customHeight="1" x14ac:dyDescent="0.9">
      <c r="B56" s="47">
        <f>YEAR(DATE(Calendar3Year,Calendar3MonthOption+1,1))</f>
        <v>2023</v>
      </c>
      <c r="C56" s="158" t="str">
        <f>TEXT(DATE(Calendar3Year,Calendar3MonthOption+1,1),"mmmm")</f>
        <v>November</v>
      </c>
      <c r="D56" s="158"/>
      <c r="E56" s="44"/>
      <c r="F56" s="45"/>
      <c r="G56" s="45"/>
      <c r="H56" s="46"/>
    </row>
    <row r="57" spans="2:8" ht="9" customHeight="1" x14ac:dyDescent="0.3"/>
    <row r="58" spans="2:8" s="6" customFormat="1" ht="24" customHeight="1" x14ac:dyDescent="0.35">
      <c r="B58" s="49" t="str">
        <f t="shared" ref="B58:H58" si="2">TEXT(B59,"dddd")</f>
        <v>Sunday</v>
      </c>
      <c r="C58" s="50" t="str">
        <f t="shared" si="2"/>
        <v>Monday</v>
      </c>
      <c r="D58" s="49" t="str">
        <f t="shared" si="2"/>
        <v>Tuesday</v>
      </c>
      <c r="E58" s="50" t="str">
        <f t="shared" si="2"/>
        <v>Wednesday</v>
      </c>
      <c r="F58" s="49" t="str">
        <f t="shared" si="2"/>
        <v>Thursday</v>
      </c>
      <c r="G58" s="50" t="str">
        <f t="shared" si="2"/>
        <v>Friday</v>
      </c>
      <c r="H58" s="49" t="str">
        <f t="shared" si="2"/>
        <v>Saturday</v>
      </c>
    </row>
    <row r="59" spans="2:8" s="9" customFormat="1" ht="24" customHeight="1" x14ac:dyDescent="0.35">
      <c r="B59" s="31">
        <f t="array" ref="B59:H59">Days+1+DATE(Calendar4Year,Calendar4MonthOption,1)-WEEKDAY(DATE(Calendar4Year,Calendar4MonthOption,1),WeekdayOption)</f>
        <v>45228</v>
      </c>
      <c r="C59" s="29">
        <v>45229</v>
      </c>
      <c r="D59" s="29">
        <v>45230</v>
      </c>
      <c r="E59" s="29">
        <v>45231</v>
      </c>
      <c r="F59" s="29">
        <v>45232</v>
      </c>
      <c r="G59" s="29">
        <v>45233</v>
      </c>
      <c r="H59" s="31">
        <v>45234</v>
      </c>
    </row>
    <row r="60" spans="2:8" s="8" customFormat="1" ht="51" customHeight="1" x14ac:dyDescent="0.3">
      <c r="B60" s="56"/>
      <c r="C60" s="100"/>
      <c r="D60" s="100"/>
      <c r="E60" s="100"/>
      <c r="F60" s="100"/>
      <c r="G60" s="100"/>
      <c r="H60" s="56"/>
    </row>
    <row r="61" spans="2:8" s="9" customFormat="1" ht="24" customHeight="1" x14ac:dyDescent="0.35">
      <c r="B61" s="32">
        <f t="array" ref="B61:H61">Days+8+DATE(Calendar4Year,Calendar4MonthOption,1)-WEEKDAY(DATE(Calendar4Year,Calendar4MonthOption,1),WeekdayOption)</f>
        <v>45235</v>
      </c>
      <c r="C61" s="30">
        <v>45236</v>
      </c>
      <c r="D61" s="30">
        <v>45237</v>
      </c>
      <c r="E61" s="30">
        <v>45238</v>
      </c>
      <c r="F61" s="30">
        <v>45239</v>
      </c>
      <c r="G61" s="30">
        <v>45240</v>
      </c>
      <c r="H61" s="32">
        <v>45241</v>
      </c>
    </row>
    <row r="62" spans="2:8" s="8" customFormat="1" ht="51" customHeight="1" x14ac:dyDescent="0.3">
      <c r="B62" s="56"/>
      <c r="C62" s="100"/>
      <c r="D62" s="100"/>
      <c r="E62" s="100"/>
      <c r="F62" s="100"/>
      <c r="G62" s="100"/>
      <c r="H62" s="56"/>
    </row>
    <row r="63" spans="2:8" s="9" customFormat="1" ht="24" customHeight="1" x14ac:dyDescent="0.35">
      <c r="B63" s="32">
        <f t="array" ref="B63:H63">Days+15+DATE(Calendar4Year,Calendar4MonthOption,1)-WEEKDAY(DATE(Calendar4Year,Calendar4MonthOption,1),WeekdayOption)</f>
        <v>45242</v>
      </c>
      <c r="C63" s="30">
        <v>45243</v>
      </c>
      <c r="D63" s="30">
        <v>45244</v>
      </c>
      <c r="E63" s="30">
        <v>45245</v>
      </c>
      <c r="F63" s="30">
        <v>45246</v>
      </c>
      <c r="G63" s="30">
        <v>45247</v>
      </c>
      <c r="H63" s="32">
        <v>45248</v>
      </c>
    </row>
    <row r="64" spans="2:8" s="8" customFormat="1" ht="51" customHeight="1" x14ac:dyDescent="0.3">
      <c r="B64" s="56"/>
      <c r="C64" s="100"/>
      <c r="D64" s="100"/>
      <c r="E64" s="100"/>
      <c r="F64" s="100"/>
      <c r="G64" s="100"/>
      <c r="H64" s="56"/>
    </row>
    <row r="65" spans="2:8" s="9" customFormat="1" ht="24" customHeight="1" x14ac:dyDescent="0.35">
      <c r="B65" s="32">
        <f t="array" ref="B65:H65">Days+22+DATE(Calendar4Year,Calendar4MonthOption,1)-WEEKDAY(DATE(Calendar4Year,Calendar4MonthOption,1),WeekdayOption)</f>
        <v>45249</v>
      </c>
      <c r="C65" s="30">
        <v>45250</v>
      </c>
      <c r="D65" s="30">
        <v>45251</v>
      </c>
      <c r="E65" s="30">
        <v>45252</v>
      </c>
      <c r="F65" s="30">
        <v>45253</v>
      </c>
      <c r="G65" s="30">
        <v>45254</v>
      </c>
      <c r="H65" s="32">
        <v>45255</v>
      </c>
    </row>
    <row r="66" spans="2:8" s="8" customFormat="1" ht="51" customHeight="1" x14ac:dyDescent="0.3">
      <c r="B66" s="56"/>
      <c r="C66" s="100"/>
      <c r="D66" s="100"/>
      <c r="E66" s="100"/>
      <c r="F66" s="100"/>
      <c r="G66" s="100"/>
      <c r="H66" s="56"/>
    </row>
    <row r="67" spans="2:8" s="9" customFormat="1" ht="24" customHeight="1" x14ac:dyDescent="0.35">
      <c r="B67" s="32">
        <f t="array" ref="B67:H67">Days+29+DATE(Calendar4Year,Calendar4MonthOption,1)-WEEKDAY(DATE(Calendar4Year,Calendar4MonthOption,1),WeekdayOption)</f>
        <v>45256</v>
      </c>
      <c r="C67" s="30">
        <v>45257</v>
      </c>
      <c r="D67" s="30">
        <v>45258</v>
      </c>
      <c r="E67" s="30">
        <v>45259</v>
      </c>
      <c r="F67" s="30">
        <v>45260</v>
      </c>
      <c r="G67" s="30">
        <v>45261</v>
      </c>
      <c r="H67" s="32">
        <v>45262</v>
      </c>
    </row>
    <row r="68" spans="2:8" s="8" customFormat="1" ht="51" customHeight="1" x14ac:dyDescent="0.3">
      <c r="B68" s="56"/>
      <c r="C68" s="100"/>
      <c r="D68" s="100"/>
      <c r="E68" s="100"/>
      <c r="F68" s="100"/>
      <c r="G68" s="100"/>
      <c r="H68" s="56"/>
    </row>
    <row r="69" spans="2:8" s="9" customFormat="1" ht="24" customHeight="1" x14ac:dyDescent="0.35">
      <c r="B69" s="31">
        <f t="array" ref="B69:C69">Days+36+DATE(Calendar4Year,Calendar4MonthOption,1)-WEEKDAY(DATE(Calendar4Year,Calendar4MonthOption,1),WeekdayOption)</f>
        <v>45263</v>
      </c>
      <c r="C69" s="29">
        <v>45264</v>
      </c>
      <c r="D69" s="163" t="s">
        <v>8</v>
      </c>
      <c r="E69" s="164"/>
      <c r="F69" s="164"/>
      <c r="G69" s="164"/>
      <c r="H69" s="164"/>
    </row>
    <row r="70" spans="2:8" s="8" customFormat="1" ht="51" customHeight="1" x14ac:dyDescent="0.3">
      <c r="B70" s="83"/>
      <c r="C70" s="100"/>
      <c r="D70" s="162"/>
      <c r="E70" s="162"/>
      <c r="F70" s="162"/>
      <c r="G70" s="162"/>
      <c r="H70" s="162"/>
    </row>
    <row r="71" spans="2:8" s="10" customFormat="1" ht="9" customHeight="1" x14ac:dyDescent="0.3">
      <c r="B71" s="1"/>
      <c r="C71" s="1"/>
      <c r="D71" s="2"/>
      <c r="E71" s="2"/>
      <c r="F71" s="2"/>
      <c r="G71" s="2"/>
      <c r="H71" s="2"/>
    </row>
    <row r="72" spans="2:8" ht="95.25" customHeight="1" x14ac:dyDescent="0.9">
      <c r="B72" s="47">
        <f>YEAR(DATE(Calendar4Year,Calendar4MonthOption+1,1))</f>
        <v>2023</v>
      </c>
      <c r="C72" s="158" t="str">
        <f>TEXT(DATE(Calendar4Year,Calendar4MonthOption+1,1),"mmmm")</f>
        <v>December</v>
      </c>
      <c r="D72" s="158"/>
      <c r="E72" s="44"/>
      <c r="F72" s="45"/>
      <c r="G72" s="45"/>
      <c r="H72" s="46"/>
    </row>
    <row r="73" spans="2:8" ht="9" customHeight="1" x14ac:dyDescent="0.3"/>
    <row r="74" spans="2:8" s="6" customFormat="1" ht="24" customHeight="1" x14ac:dyDescent="0.35">
      <c r="B74" s="49" t="str">
        <f t="shared" ref="B74:G74" si="3">TEXT(B75,"dddd")</f>
        <v>Sunday</v>
      </c>
      <c r="C74" s="50" t="str">
        <f t="shared" si="3"/>
        <v>Monday</v>
      </c>
      <c r="D74" s="49" t="str">
        <f t="shared" si="3"/>
        <v>Tuesday</v>
      </c>
      <c r="E74" s="50" t="str">
        <f t="shared" si="3"/>
        <v>Wednesday</v>
      </c>
      <c r="F74" s="49" t="str">
        <f t="shared" si="3"/>
        <v>Thursday</v>
      </c>
      <c r="G74" s="50" t="str">
        <f t="shared" si="3"/>
        <v>Friday</v>
      </c>
      <c r="H74" s="49" t="str">
        <f>TEXT(H75,"dddd")</f>
        <v>Saturday</v>
      </c>
    </row>
    <row r="75" spans="2:8" s="9" customFormat="1" ht="24" customHeight="1" x14ac:dyDescent="0.35">
      <c r="B75" s="31">
        <f t="array" ref="B75:H75">Days+1+DATE(Calendar5Year,Calendar5MonthOption,1)-WEEKDAY(DATE(Calendar5Year,Calendar5MonthOption,1),WeekdayOption)</f>
        <v>45256</v>
      </c>
      <c r="C75" s="29">
        <v>45257</v>
      </c>
      <c r="D75" s="29">
        <v>45258</v>
      </c>
      <c r="E75" s="29">
        <v>45259</v>
      </c>
      <c r="F75" s="29">
        <v>45260</v>
      </c>
      <c r="G75" s="29">
        <v>45261</v>
      </c>
      <c r="H75" s="31">
        <v>45262</v>
      </c>
    </row>
    <row r="76" spans="2:8" s="8" customFormat="1" ht="51" customHeight="1" x14ac:dyDescent="0.3">
      <c r="B76" s="56"/>
      <c r="C76" s="100"/>
      <c r="D76" s="100"/>
      <c r="E76" s="100"/>
      <c r="F76" s="100"/>
      <c r="G76" s="100"/>
      <c r="H76" s="56"/>
    </row>
    <row r="77" spans="2:8" s="9" customFormat="1" ht="24" customHeight="1" x14ac:dyDescent="0.35">
      <c r="B77" s="32">
        <f t="array" ref="B77:H77">Days+8+DATE(Calendar5Year,Calendar5MonthOption,1)-WEEKDAY(DATE(Calendar5Year,Calendar5MonthOption,1),WeekdayOption)</f>
        <v>45263</v>
      </c>
      <c r="C77" s="30">
        <v>45264</v>
      </c>
      <c r="D77" s="30">
        <v>45265</v>
      </c>
      <c r="E77" s="30">
        <v>45266</v>
      </c>
      <c r="F77" s="30">
        <v>45267</v>
      </c>
      <c r="G77" s="30">
        <v>45268</v>
      </c>
      <c r="H77" s="32">
        <v>45269</v>
      </c>
    </row>
    <row r="78" spans="2:8" s="8" customFormat="1" ht="51" customHeight="1" x14ac:dyDescent="0.3">
      <c r="B78" s="56"/>
      <c r="C78" s="100"/>
      <c r="D78" s="100"/>
      <c r="E78" s="100"/>
      <c r="F78" s="100"/>
      <c r="G78" s="100"/>
      <c r="H78" s="56"/>
    </row>
    <row r="79" spans="2:8" s="9" customFormat="1" ht="24" customHeight="1" x14ac:dyDescent="0.35">
      <c r="B79" s="32">
        <f t="array" ref="B79:H79">Days+15+DATE(Calendar5Year,Calendar5MonthOption,1)-WEEKDAY(DATE(Calendar5Year,Calendar5MonthOption,1),WeekdayOption)</f>
        <v>45270</v>
      </c>
      <c r="C79" s="30">
        <v>45271</v>
      </c>
      <c r="D79" s="30">
        <v>45272</v>
      </c>
      <c r="E79" s="30">
        <v>45273</v>
      </c>
      <c r="F79" s="30">
        <v>45274</v>
      </c>
      <c r="G79" s="30">
        <v>45275</v>
      </c>
      <c r="H79" s="32">
        <v>45276</v>
      </c>
    </row>
    <row r="80" spans="2:8" s="8" customFormat="1" ht="51" customHeight="1" x14ac:dyDescent="0.3">
      <c r="B80" s="56"/>
      <c r="C80" s="100"/>
      <c r="D80" s="100"/>
      <c r="E80" s="100"/>
      <c r="F80" s="100"/>
      <c r="G80" s="100"/>
      <c r="H80" s="56"/>
    </row>
    <row r="81" spans="2:8" s="9" customFormat="1" ht="24" customHeight="1" x14ac:dyDescent="0.35">
      <c r="B81" s="32">
        <f t="array" ref="B81:H81">Days+22+DATE(Calendar5Year,Calendar5MonthOption,1)-WEEKDAY(DATE(Calendar5Year,Calendar5MonthOption,1),WeekdayOption)</f>
        <v>45277</v>
      </c>
      <c r="C81" s="30">
        <v>45278</v>
      </c>
      <c r="D81" s="30">
        <v>45279</v>
      </c>
      <c r="E81" s="30">
        <v>45280</v>
      </c>
      <c r="F81" s="30">
        <v>45281</v>
      </c>
      <c r="G81" s="30">
        <v>45282</v>
      </c>
      <c r="H81" s="32">
        <v>45283</v>
      </c>
    </row>
    <row r="82" spans="2:8" s="8" customFormat="1" ht="51" customHeight="1" x14ac:dyDescent="0.3">
      <c r="B82" s="56"/>
      <c r="C82" s="100"/>
      <c r="D82" s="100"/>
      <c r="E82" s="100"/>
      <c r="F82" s="100"/>
      <c r="G82" s="100"/>
      <c r="H82" s="56"/>
    </row>
    <row r="83" spans="2:8" s="9" customFormat="1" ht="24" customHeight="1" x14ac:dyDescent="0.35">
      <c r="B83" s="32">
        <f t="array" ref="B83:H83">Days+29+DATE(Calendar5Year,Calendar5MonthOption,1)-WEEKDAY(DATE(Calendar5Year,Calendar5MonthOption,1),WeekdayOption)</f>
        <v>45284</v>
      </c>
      <c r="C83" s="30">
        <v>45285</v>
      </c>
      <c r="D83" s="30">
        <v>45286</v>
      </c>
      <c r="E83" s="30">
        <v>45287</v>
      </c>
      <c r="F83" s="30">
        <v>45288</v>
      </c>
      <c r="G83" s="30">
        <v>45289</v>
      </c>
      <c r="H83" s="32">
        <v>45290</v>
      </c>
    </row>
    <row r="84" spans="2:8" s="8" customFormat="1" ht="51" customHeight="1" x14ac:dyDescent="0.3">
      <c r="B84" s="56"/>
      <c r="C84" s="100" t="s">
        <v>9</v>
      </c>
      <c r="D84" s="100" t="s">
        <v>9</v>
      </c>
      <c r="E84" s="100" t="s">
        <v>9</v>
      </c>
      <c r="F84" s="100" t="s">
        <v>9</v>
      </c>
      <c r="G84" s="100" t="s">
        <v>9</v>
      </c>
      <c r="H84" s="56"/>
    </row>
    <row r="85" spans="2:8" s="9" customFormat="1" ht="24" customHeight="1" x14ac:dyDescent="0.35">
      <c r="B85" s="31">
        <f t="array" ref="B85:C85">Days+36+DATE(Calendar5Year,Calendar5MonthOption,1)-WEEKDAY(DATE(Calendar5Year,Calendar5MonthOption,1),WeekdayOption)</f>
        <v>45291</v>
      </c>
      <c r="C85" s="29">
        <v>45292</v>
      </c>
      <c r="D85" s="163" t="s">
        <v>8</v>
      </c>
      <c r="E85" s="164"/>
      <c r="F85" s="164"/>
      <c r="G85" s="164"/>
      <c r="H85" s="164"/>
    </row>
    <row r="86" spans="2:8" s="8" customFormat="1" ht="51" customHeight="1" x14ac:dyDescent="0.3">
      <c r="B86" s="83"/>
      <c r="C86" s="103"/>
      <c r="D86" s="162"/>
      <c r="E86" s="162"/>
      <c r="F86" s="162"/>
      <c r="G86" s="162"/>
      <c r="H86" s="162"/>
    </row>
    <row r="87" spans="2:8" s="10" customFormat="1" ht="9" customHeight="1" x14ac:dyDescent="0.3">
      <c r="B87" s="1"/>
      <c r="C87" s="1"/>
      <c r="D87" s="2"/>
      <c r="E87" s="2"/>
      <c r="F87" s="2"/>
      <c r="G87" s="2"/>
      <c r="H87" s="2"/>
    </row>
    <row r="88" spans="2:8" ht="95.25" customHeight="1" x14ac:dyDescent="0.9">
      <c r="B88" s="47">
        <f>YEAR(DATE(Calendar5Year,Calendar5MonthOption+1,1))</f>
        <v>2024</v>
      </c>
      <c r="C88" s="158" t="str">
        <f>TEXT(DATE(Calendar5Year,Calendar5MonthOption+1,1),"mmmm")</f>
        <v>January</v>
      </c>
      <c r="D88" s="158"/>
      <c r="E88" s="44"/>
      <c r="F88" s="45"/>
      <c r="G88" s="45"/>
      <c r="H88" s="46"/>
    </row>
    <row r="89" spans="2:8" ht="9" customHeight="1" x14ac:dyDescent="0.3"/>
    <row r="90" spans="2:8" s="6" customFormat="1" ht="24" customHeight="1" x14ac:dyDescent="0.35">
      <c r="B90" s="49" t="str">
        <f t="shared" ref="B90:H90" si="4">TEXT(B91,"dddd")</f>
        <v>Sunday</v>
      </c>
      <c r="C90" s="50" t="str">
        <f t="shared" si="4"/>
        <v>Monday</v>
      </c>
      <c r="D90" s="49" t="str">
        <f t="shared" si="4"/>
        <v>Tuesday</v>
      </c>
      <c r="E90" s="50" t="str">
        <f t="shared" si="4"/>
        <v>Wednesday</v>
      </c>
      <c r="F90" s="49" t="str">
        <f t="shared" si="4"/>
        <v>Thursday</v>
      </c>
      <c r="G90" s="50" t="str">
        <f t="shared" si="4"/>
        <v>Friday</v>
      </c>
      <c r="H90" s="49" t="str">
        <f t="shared" si="4"/>
        <v>Saturday</v>
      </c>
    </row>
    <row r="91" spans="2:8" s="9" customFormat="1" ht="24" customHeight="1" x14ac:dyDescent="0.35">
      <c r="B91" s="31">
        <f t="array" ref="B91:H91">Days+1+DATE(Calendar6Year,Calendar6MonthOption,1)-WEEKDAY(DATE(Calendar6Year,Calendar6MonthOption,1),WeekdayOption)</f>
        <v>45291</v>
      </c>
      <c r="C91" s="29">
        <v>45292</v>
      </c>
      <c r="D91" s="29">
        <v>45293</v>
      </c>
      <c r="E91" s="29">
        <v>45294</v>
      </c>
      <c r="F91" s="29">
        <v>45295</v>
      </c>
      <c r="G91" s="29">
        <v>45296</v>
      </c>
      <c r="H91" s="31">
        <v>45297</v>
      </c>
    </row>
    <row r="92" spans="2:8" s="8" customFormat="1" ht="51" customHeight="1" x14ac:dyDescent="0.3">
      <c r="B92" s="56"/>
      <c r="C92" s="100" t="s">
        <v>9</v>
      </c>
      <c r="D92" s="100" t="s">
        <v>9</v>
      </c>
      <c r="E92" s="100" t="s">
        <v>9</v>
      </c>
      <c r="F92" s="100" t="s">
        <v>9</v>
      </c>
      <c r="G92" s="100" t="s">
        <v>9</v>
      </c>
      <c r="H92" s="56"/>
    </row>
    <row r="93" spans="2:8" s="9" customFormat="1" ht="24" customHeight="1" x14ac:dyDescent="0.35">
      <c r="B93" s="32">
        <f t="array" ref="B93:H93">Days+8+DATE(Calendar6Year,Calendar6MonthOption,1)-WEEKDAY(DATE(Calendar6Year,Calendar6MonthOption,1),WeekdayOption)</f>
        <v>45298</v>
      </c>
      <c r="C93" s="30">
        <v>45299</v>
      </c>
      <c r="D93" s="30">
        <v>45300</v>
      </c>
      <c r="E93" s="30">
        <v>45301</v>
      </c>
      <c r="F93" s="30">
        <v>45302</v>
      </c>
      <c r="G93" s="30">
        <v>45303</v>
      </c>
      <c r="H93" s="32">
        <v>45304</v>
      </c>
    </row>
    <row r="94" spans="2:8" s="8" customFormat="1" ht="51" customHeight="1" x14ac:dyDescent="0.3">
      <c r="B94" s="56"/>
      <c r="C94" s="100"/>
      <c r="D94" s="100"/>
      <c r="E94" s="100"/>
      <c r="F94" s="100"/>
      <c r="G94" s="100"/>
      <c r="H94" s="56"/>
    </row>
    <row r="95" spans="2:8" s="9" customFormat="1" ht="24" customHeight="1" x14ac:dyDescent="0.35">
      <c r="B95" s="32">
        <f t="array" ref="B95:H95">Days+15+DATE(Calendar6Year,Calendar6MonthOption,1)-WEEKDAY(DATE(Calendar6Year,Calendar6MonthOption,1),WeekdayOption)</f>
        <v>45305</v>
      </c>
      <c r="C95" s="30">
        <v>45306</v>
      </c>
      <c r="D95" s="30">
        <v>45307</v>
      </c>
      <c r="E95" s="30">
        <v>45308</v>
      </c>
      <c r="F95" s="30">
        <v>45309</v>
      </c>
      <c r="G95" s="30">
        <v>45310</v>
      </c>
      <c r="H95" s="32">
        <v>45311</v>
      </c>
    </row>
    <row r="96" spans="2:8" s="8" customFormat="1" ht="51" customHeight="1" x14ac:dyDescent="0.3">
      <c r="B96" s="56"/>
      <c r="C96" s="100"/>
      <c r="D96" s="100"/>
      <c r="E96" s="100"/>
      <c r="F96" s="100"/>
      <c r="G96" s="100"/>
      <c r="H96" s="56"/>
    </row>
    <row r="97" spans="2:8" s="9" customFormat="1" ht="24" customHeight="1" x14ac:dyDescent="0.35">
      <c r="B97" s="32">
        <f t="array" ref="B97:H97">Days+22+DATE(Calendar6Year,Calendar6MonthOption,1)-WEEKDAY(DATE(Calendar6Year,Calendar6MonthOption,1),WeekdayOption)</f>
        <v>45312</v>
      </c>
      <c r="C97" s="30">
        <v>45313</v>
      </c>
      <c r="D97" s="30">
        <v>45314</v>
      </c>
      <c r="E97" s="30">
        <v>45315</v>
      </c>
      <c r="F97" s="30">
        <v>45316</v>
      </c>
      <c r="G97" s="30">
        <v>45317</v>
      </c>
      <c r="H97" s="32">
        <v>45318</v>
      </c>
    </row>
    <row r="98" spans="2:8" s="8" customFormat="1" ht="51" customHeight="1" x14ac:dyDescent="0.3">
      <c r="B98" s="56"/>
      <c r="C98" s="100"/>
      <c r="D98" s="100"/>
      <c r="E98" s="100"/>
      <c r="F98" s="100"/>
      <c r="G98" s="100"/>
      <c r="H98" s="56"/>
    </row>
    <row r="99" spans="2:8" s="9" customFormat="1" ht="24" customHeight="1" x14ac:dyDescent="0.35">
      <c r="B99" s="32">
        <f t="array" ref="B99:H99">Days+29+DATE(Calendar6Year,Calendar6MonthOption,1)-WEEKDAY(DATE(Calendar6Year,Calendar6MonthOption,1),WeekdayOption)</f>
        <v>45319</v>
      </c>
      <c r="C99" s="30">
        <v>45320</v>
      </c>
      <c r="D99" s="30">
        <v>45321</v>
      </c>
      <c r="E99" s="30">
        <v>45322</v>
      </c>
      <c r="F99" s="30">
        <v>45323</v>
      </c>
      <c r="G99" s="30">
        <v>45324</v>
      </c>
      <c r="H99" s="32">
        <v>45325</v>
      </c>
    </row>
    <row r="100" spans="2:8" s="8" customFormat="1" ht="51" customHeight="1" x14ac:dyDescent="0.3">
      <c r="B100" s="56"/>
      <c r="C100" s="100"/>
      <c r="D100" s="100"/>
      <c r="E100" s="100"/>
      <c r="F100" s="100"/>
      <c r="G100" s="100"/>
      <c r="H100" s="56"/>
    </row>
    <row r="101" spans="2:8" s="9" customFormat="1" ht="24" customHeight="1" x14ac:dyDescent="0.35">
      <c r="B101" s="31">
        <f t="array" ref="B101:C101">Days+36+DATE(Calendar6Year,Calendar6MonthOption,1)-WEEKDAY(DATE(Calendar6Year,Calendar6MonthOption,1),WeekdayOption)</f>
        <v>45326</v>
      </c>
      <c r="C101" s="29">
        <v>45327</v>
      </c>
      <c r="D101" s="163" t="s">
        <v>8</v>
      </c>
      <c r="E101" s="164"/>
      <c r="F101" s="164"/>
      <c r="G101" s="164"/>
      <c r="H101" s="164"/>
    </row>
    <row r="102" spans="2:8" s="8" customFormat="1" ht="51" customHeight="1" x14ac:dyDescent="0.3">
      <c r="B102" s="83"/>
      <c r="C102" s="100"/>
      <c r="D102" s="162"/>
      <c r="E102" s="162"/>
      <c r="F102" s="162"/>
      <c r="G102" s="162"/>
      <c r="H102" s="162"/>
    </row>
    <row r="103" spans="2:8" s="10" customFormat="1" ht="9" customHeight="1" x14ac:dyDescent="0.3">
      <c r="B103" s="1"/>
      <c r="C103" s="1"/>
      <c r="D103" s="2"/>
      <c r="E103" s="2"/>
      <c r="F103" s="2"/>
      <c r="G103" s="2"/>
      <c r="H103" s="2"/>
    </row>
    <row r="104" spans="2:8" ht="95.25" customHeight="1" x14ac:dyDescent="0.9">
      <c r="B104" s="47">
        <f>YEAR(DATE(Calendar6Year,Calendar6MonthOption+1,1))</f>
        <v>2024</v>
      </c>
      <c r="C104" s="158" t="str">
        <f>TEXT(DATE(Calendar6Year,Calendar6MonthOption+1,1),"mmmm")</f>
        <v>February</v>
      </c>
      <c r="D104" s="158"/>
      <c r="E104" s="44"/>
      <c r="F104" s="45"/>
      <c r="G104" s="45"/>
      <c r="H104" s="46"/>
    </row>
    <row r="105" spans="2:8" ht="9" customHeight="1" x14ac:dyDescent="0.3"/>
    <row r="106" spans="2:8" s="6" customFormat="1" ht="24" customHeight="1" x14ac:dyDescent="0.35">
      <c r="B106" s="49" t="str">
        <f t="shared" ref="B106:H106" si="5">TEXT(B107,"dddd")</f>
        <v>Sunday</v>
      </c>
      <c r="C106" s="50" t="str">
        <f t="shared" si="5"/>
        <v>Monday</v>
      </c>
      <c r="D106" s="49" t="str">
        <f t="shared" si="5"/>
        <v>Tuesday</v>
      </c>
      <c r="E106" s="50" t="str">
        <f t="shared" si="5"/>
        <v>Wednesday</v>
      </c>
      <c r="F106" s="49" t="str">
        <f t="shared" si="5"/>
        <v>Thursday</v>
      </c>
      <c r="G106" s="50" t="str">
        <f t="shared" si="5"/>
        <v>Friday</v>
      </c>
      <c r="H106" s="49" t="str">
        <f t="shared" si="5"/>
        <v>Saturday</v>
      </c>
    </row>
    <row r="107" spans="2:8" s="9" customFormat="1" ht="24" customHeight="1" x14ac:dyDescent="0.35">
      <c r="B107" s="3">
        <f t="array" ref="B107:H107">Days+1+DATE(Calendar7Year,Calendar7MonthOption,1)-WEEKDAY(DATE(Calendar7Year,Calendar7MonthOption,1),WeekdayOption)</f>
        <v>45319</v>
      </c>
      <c r="C107" s="29">
        <v>45320</v>
      </c>
      <c r="D107" s="29">
        <v>45321</v>
      </c>
      <c r="E107" s="29">
        <v>45322</v>
      </c>
      <c r="F107" s="29">
        <v>45323</v>
      </c>
      <c r="G107" s="29">
        <v>45324</v>
      </c>
      <c r="H107" s="31">
        <v>45325</v>
      </c>
    </row>
    <row r="108" spans="2:8" s="8" customFormat="1" ht="51" customHeight="1" x14ac:dyDescent="0.3">
      <c r="B108" s="83"/>
      <c r="C108" s="100"/>
      <c r="D108" s="100"/>
      <c r="E108" s="100"/>
      <c r="F108" s="100"/>
      <c r="G108" s="100"/>
      <c r="H108" s="83"/>
    </row>
    <row r="109" spans="2:8" s="9" customFormat="1" ht="24" customHeight="1" x14ac:dyDescent="0.35">
      <c r="B109" s="32">
        <f t="array" ref="B109:H109">Days+8+DATE(Calendar7Year,Calendar7MonthOption,1)-WEEKDAY(DATE(Calendar7Year,Calendar7MonthOption,1),WeekdayOption)</f>
        <v>45326</v>
      </c>
      <c r="C109" s="30">
        <v>45327</v>
      </c>
      <c r="D109" s="30">
        <v>45328</v>
      </c>
      <c r="E109" s="30">
        <v>45329</v>
      </c>
      <c r="F109" s="30">
        <v>45330</v>
      </c>
      <c r="G109" s="30">
        <v>45331</v>
      </c>
      <c r="H109" s="32">
        <v>45332</v>
      </c>
    </row>
    <row r="110" spans="2:8" s="8" customFormat="1" ht="51" customHeight="1" x14ac:dyDescent="0.3">
      <c r="B110" s="56"/>
      <c r="C110" s="100"/>
      <c r="D110" s="100"/>
      <c r="E110" s="100"/>
      <c r="F110" s="100"/>
      <c r="G110" s="100"/>
      <c r="H110" s="56"/>
    </row>
    <row r="111" spans="2:8" s="9" customFormat="1" ht="24" customHeight="1" x14ac:dyDescent="0.35">
      <c r="B111" s="32">
        <f t="array" ref="B111:H111">Days+15+DATE(Calendar7Year,Calendar7MonthOption,1)-WEEKDAY(DATE(Calendar7Year,Calendar7MonthOption,1),WeekdayOption)</f>
        <v>45333</v>
      </c>
      <c r="C111" s="30">
        <v>45334</v>
      </c>
      <c r="D111" s="30">
        <v>45335</v>
      </c>
      <c r="E111" s="30">
        <v>45336</v>
      </c>
      <c r="F111" s="30">
        <v>45337</v>
      </c>
      <c r="G111" s="30">
        <v>45338</v>
      </c>
      <c r="H111" s="32">
        <v>45339</v>
      </c>
    </row>
    <row r="112" spans="2:8" s="8" customFormat="1" ht="51" customHeight="1" x14ac:dyDescent="0.3">
      <c r="B112" s="56"/>
      <c r="C112" s="100"/>
      <c r="D112" s="100"/>
      <c r="E112" s="100"/>
      <c r="F112" s="100"/>
      <c r="G112" s="100"/>
      <c r="H112" s="56"/>
    </row>
    <row r="113" spans="2:8" s="9" customFormat="1" ht="24" customHeight="1" x14ac:dyDescent="0.35">
      <c r="B113" s="32">
        <f t="array" ref="B113:H113">Days+22+DATE(Calendar7Year,Calendar7MonthOption,1)-WEEKDAY(DATE(Calendar7Year,Calendar7MonthOption,1),WeekdayOption)</f>
        <v>45340</v>
      </c>
      <c r="C113" s="30">
        <v>45341</v>
      </c>
      <c r="D113" s="30">
        <v>45342</v>
      </c>
      <c r="E113" s="30">
        <v>45343</v>
      </c>
      <c r="F113" s="30">
        <v>45344</v>
      </c>
      <c r="G113" s="30">
        <v>45345</v>
      </c>
      <c r="H113" s="32">
        <v>45346</v>
      </c>
    </row>
    <row r="114" spans="2:8" s="8" customFormat="1" ht="51" customHeight="1" x14ac:dyDescent="0.3">
      <c r="B114" s="56"/>
      <c r="C114" s="100" t="s">
        <v>9</v>
      </c>
      <c r="D114" s="100"/>
      <c r="E114" s="100"/>
      <c r="F114" s="100"/>
      <c r="G114" s="100"/>
      <c r="H114" s="56"/>
    </row>
    <row r="115" spans="2:8" s="9" customFormat="1" ht="24" customHeight="1" x14ac:dyDescent="0.35">
      <c r="B115" s="32">
        <f t="array" ref="B115:H115">Days+29+DATE(Calendar7Year,Calendar7MonthOption,1)-WEEKDAY(DATE(Calendar7Year,Calendar7MonthOption,1),WeekdayOption)</f>
        <v>45347</v>
      </c>
      <c r="C115" s="30">
        <v>45348</v>
      </c>
      <c r="D115" s="30">
        <v>45349</v>
      </c>
      <c r="E115" s="30">
        <v>45350</v>
      </c>
      <c r="F115" s="30">
        <v>45351</v>
      </c>
      <c r="G115" s="30">
        <v>45352</v>
      </c>
      <c r="H115" s="32">
        <v>45353</v>
      </c>
    </row>
    <row r="116" spans="2:8" s="8" customFormat="1" ht="51" customHeight="1" x14ac:dyDescent="0.3">
      <c r="B116" s="56"/>
      <c r="C116" s="100"/>
      <c r="D116" s="100"/>
      <c r="E116" s="100"/>
      <c r="F116" s="100"/>
      <c r="G116" s="100"/>
      <c r="H116" s="56"/>
    </row>
    <row r="117" spans="2:8" s="9" customFormat="1" ht="24" customHeight="1" x14ac:dyDescent="0.35">
      <c r="B117" s="31">
        <f t="array" ref="B117:C117">Days+36+DATE(Calendar7Year,Calendar7MonthOption,1)-WEEKDAY(DATE(Calendar7Year,Calendar7MonthOption,1),WeekdayOption)</f>
        <v>45354</v>
      </c>
      <c r="C117" s="29">
        <v>45355</v>
      </c>
      <c r="D117" s="163" t="s">
        <v>8</v>
      </c>
      <c r="E117" s="164"/>
      <c r="F117" s="164"/>
      <c r="G117" s="164"/>
      <c r="H117" s="164"/>
    </row>
    <row r="118" spans="2:8" s="8" customFormat="1" ht="51" customHeight="1" x14ac:dyDescent="0.3">
      <c r="B118" s="83"/>
      <c r="C118" s="100"/>
      <c r="D118" s="162"/>
      <c r="E118" s="162"/>
      <c r="F118" s="162"/>
      <c r="G118" s="162"/>
      <c r="H118" s="162"/>
    </row>
    <row r="119" spans="2:8" s="10" customFormat="1" ht="9" customHeight="1" x14ac:dyDescent="0.3">
      <c r="B119" s="1"/>
      <c r="C119" s="1"/>
      <c r="D119" s="2"/>
      <c r="E119" s="2"/>
      <c r="F119" s="2"/>
      <c r="G119" s="2"/>
      <c r="H119" s="2"/>
    </row>
    <row r="120" spans="2:8" ht="95.25" customHeight="1" x14ac:dyDescent="0.9">
      <c r="B120" s="47">
        <f>YEAR(DATE(Calendar7Year,Calendar7MonthOption+1,1))</f>
        <v>2024</v>
      </c>
      <c r="C120" s="158" t="str">
        <f>TEXT(DATE(Calendar7Year,Calendar7MonthOption+1,1),"mmmm")</f>
        <v>March</v>
      </c>
      <c r="D120" s="158"/>
      <c r="E120" s="44"/>
      <c r="F120" s="45"/>
      <c r="G120" s="45"/>
      <c r="H120" s="46"/>
    </row>
    <row r="121" spans="2:8" ht="9" customHeight="1" x14ac:dyDescent="0.3"/>
    <row r="122" spans="2:8" s="6" customFormat="1" ht="24" customHeight="1" x14ac:dyDescent="0.35">
      <c r="B122" s="49" t="str">
        <f t="shared" ref="B122:H122" si="6">TEXT(B123,"dddd")</f>
        <v>Sunday</v>
      </c>
      <c r="C122" s="50" t="str">
        <f t="shared" si="6"/>
        <v>Monday</v>
      </c>
      <c r="D122" s="49" t="str">
        <f t="shared" si="6"/>
        <v>Tuesday</v>
      </c>
      <c r="E122" s="50" t="str">
        <f t="shared" si="6"/>
        <v>Wednesday</v>
      </c>
      <c r="F122" s="49" t="str">
        <f t="shared" si="6"/>
        <v>Thursday</v>
      </c>
      <c r="G122" s="50" t="str">
        <f t="shared" si="6"/>
        <v>Friday</v>
      </c>
      <c r="H122" s="49" t="str">
        <f t="shared" si="6"/>
        <v>Saturday</v>
      </c>
    </row>
    <row r="123" spans="2:8" s="9" customFormat="1" ht="24" customHeight="1" x14ac:dyDescent="0.35">
      <c r="B123" s="33">
        <f t="array" ref="B123:H123">Days+1+DATE(Calendar8Year,Calendar8MonthOption,1)-WEEKDAY(DATE(Calendar8Year,Calendar8MonthOption,1),WeekdayOption)</f>
        <v>45347</v>
      </c>
      <c r="C123" s="12">
        <v>45348</v>
      </c>
      <c r="D123" s="12">
        <v>45349</v>
      </c>
      <c r="E123" s="12">
        <v>45350</v>
      </c>
      <c r="F123" s="12">
        <v>45351</v>
      </c>
      <c r="G123" s="12">
        <v>45352</v>
      </c>
      <c r="H123" s="35">
        <v>45353</v>
      </c>
    </row>
    <row r="124" spans="2:8" s="8" customFormat="1" ht="51" customHeight="1" x14ac:dyDescent="0.3">
      <c r="B124" s="85"/>
      <c r="C124" s="100"/>
      <c r="D124" s="100"/>
      <c r="E124" s="100"/>
      <c r="F124" s="100"/>
      <c r="G124" s="100"/>
      <c r="H124" s="86"/>
    </row>
    <row r="125" spans="2:8" s="9" customFormat="1" ht="24" customHeight="1" x14ac:dyDescent="0.35">
      <c r="B125" s="34">
        <f t="array" ref="B125:H125">Days+8+DATE(Calendar8Year,Calendar8MonthOption,1)-WEEKDAY(DATE(Calendar8Year,Calendar8MonthOption,1),WeekdayOption)</f>
        <v>45354</v>
      </c>
      <c r="C125" s="11">
        <v>45355</v>
      </c>
      <c r="D125" s="11">
        <v>45356</v>
      </c>
      <c r="E125" s="11">
        <v>45357</v>
      </c>
      <c r="F125" s="11">
        <v>45358</v>
      </c>
      <c r="G125" s="11">
        <v>45359</v>
      </c>
      <c r="H125" s="36">
        <v>45360</v>
      </c>
    </row>
    <row r="126" spans="2:8" s="8" customFormat="1" ht="51" customHeight="1" x14ac:dyDescent="0.3">
      <c r="B126" s="85"/>
      <c r="C126" s="100"/>
      <c r="D126" s="100"/>
      <c r="E126" s="100"/>
      <c r="F126" s="100"/>
      <c r="G126" s="100"/>
      <c r="H126" s="86"/>
    </row>
    <row r="127" spans="2:8" s="9" customFormat="1" ht="24" customHeight="1" x14ac:dyDescent="0.35">
      <c r="B127" s="34">
        <f t="array" ref="B127:H127">Days+15+DATE(Calendar8Year,Calendar8MonthOption,1)-WEEKDAY(DATE(Calendar8Year,Calendar8MonthOption,1),WeekdayOption)</f>
        <v>45361</v>
      </c>
      <c r="C127" s="11">
        <v>45362</v>
      </c>
      <c r="D127" s="11">
        <v>45363</v>
      </c>
      <c r="E127" s="11">
        <v>45364</v>
      </c>
      <c r="F127" s="11">
        <v>45365</v>
      </c>
      <c r="G127" s="11">
        <v>45366</v>
      </c>
      <c r="H127" s="36">
        <v>45367</v>
      </c>
    </row>
    <row r="128" spans="2:8" s="8" customFormat="1" ht="51" customHeight="1" x14ac:dyDescent="0.3">
      <c r="B128" s="85"/>
      <c r="C128" s="100"/>
      <c r="D128" s="100"/>
      <c r="E128" s="100"/>
      <c r="F128" s="100"/>
      <c r="G128" s="100"/>
      <c r="H128" s="86"/>
    </row>
    <row r="129" spans="2:8" s="9" customFormat="1" ht="24" customHeight="1" x14ac:dyDescent="0.35">
      <c r="B129" s="34">
        <f t="array" ref="B129:H129">Days+22+DATE(Calendar8Year,Calendar8MonthOption,1)-WEEKDAY(DATE(Calendar8Year,Calendar8MonthOption,1),WeekdayOption)</f>
        <v>45368</v>
      </c>
      <c r="C129" s="11">
        <v>45369</v>
      </c>
      <c r="D129" s="11">
        <v>45370</v>
      </c>
      <c r="E129" s="11">
        <v>45371</v>
      </c>
      <c r="F129" s="11">
        <v>45372</v>
      </c>
      <c r="G129" s="11">
        <v>45373</v>
      </c>
      <c r="H129" s="36">
        <v>45374</v>
      </c>
    </row>
    <row r="130" spans="2:8" s="8" customFormat="1" ht="51" customHeight="1" x14ac:dyDescent="0.3">
      <c r="B130" s="85"/>
      <c r="C130" s="100"/>
      <c r="D130" s="100"/>
      <c r="E130" s="100"/>
      <c r="F130" s="100"/>
      <c r="G130" s="100"/>
      <c r="H130" s="86"/>
    </row>
    <row r="131" spans="2:8" s="9" customFormat="1" ht="24" customHeight="1" x14ac:dyDescent="0.35">
      <c r="B131" s="34">
        <f t="array" ref="B131:H131">Days+29+DATE(Calendar8Year,Calendar8MonthOption,1)-WEEKDAY(DATE(Calendar8Year,Calendar8MonthOption,1),WeekdayOption)</f>
        <v>45375</v>
      </c>
      <c r="C131" s="11">
        <v>45376</v>
      </c>
      <c r="D131" s="11">
        <v>45377</v>
      </c>
      <c r="E131" s="11">
        <v>45378</v>
      </c>
      <c r="F131" s="11">
        <v>45379</v>
      </c>
      <c r="G131" s="11">
        <v>45380</v>
      </c>
      <c r="H131" s="36">
        <v>45381</v>
      </c>
    </row>
    <row r="132" spans="2:8" s="8" customFormat="1" ht="51" customHeight="1" x14ac:dyDescent="0.3">
      <c r="B132" s="85"/>
      <c r="C132" s="100"/>
      <c r="D132" s="100"/>
      <c r="E132" s="100"/>
      <c r="F132" s="100"/>
      <c r="G132" s="100" t="s">
        <v>9</v>
      </c>
      <c r="H132" s="87"/>
    </row>
    <row r="133" spans="2:8" s="9" customFormat="1" ht="24" customHeight="1" x14ac:dyDescent="0.35">
      <c r="B133" s="34">
        <f t="array" ref="B133:C133">Days+36+DATE(Calendar8Year,Calendar8MonthOption,1)-WEEKDAY(DATE(Calendar8Year,Calendar8MonthOption,1),WeekdayOption)</f>
        <v>45382</v>
      </c>
      <c r="C133" s="11">
        <v>45383</v>
      </c>
      <c r="D133" s="159" t="s">
        <v>8</v>
      </c>
      <c r="E133" s="159"/>
      <c r="F133" s="159"/>
      <c r="G133" s="159"/>
      <c r="H133" s="159"/>
    </row>
    <row r="134" spans="2:8" s="8" customFormat="1" ht="51" customHeight="1" x14ac:dyDescent="0.3">
      <c r="B134" s="85"/>
      <c r="C134" s="100"/>
      <c r="D134" s="162"/>
      <c r="E134" s="162"/>
      <c r="F134" s="162"/>
      <c r="G134" s="162"/>
      <c r="H134" s="162"/>
    </row>
    <row r="135" spans="2:8" s="10" customFormat="1" ht="9" customHeight="1" x14ac:dyDescent="0.3">
      <c r="B135" s="1"/>
      <c r="C135" s="1"/>
      <c r="D135" s="2"/>
      <c r="E135" s="2"/>
      <c r="F135" s="2"/>
      <c r="G135" s="2"/>
      <c r="H135" s="2"/>
    </row>
    <row r="136" spans="2:8" ht="95.25" customHeight="1" x14ac:dyDescent="0.9">
      <c r="B136" s="47">
        <f>YEAR(DATE(Calendar7Year,Calendar7MonthOption+1,1))</f>
        <v>2024</v>
      </c>
      <c r="C136" s="158" t="str">
        <f>TEXT(DATE(Calendar8Year,Calendar8MonthOption+1,1),"mmmm")</f>
        <v>April</v>
      </c>
      <c r="D136" s="158"/>
      <c r="E136" s="44"/>
      <c r="F136" s="45"/>
      <c r="G136" s="45"/>
      <c r="H136" s="46"/>
    </row>
    <row r="137" spans="2:8" ht="9" customHeight="1" x14ac:dyDescent="0.3"/>
    <row r="138" spans="2:8" s="6" customFormat="1" ht="24" customHeight="1" x14ac:dyDescent="0.35">
      <c r="B138" s="49" t="str">
        <f t="shared" ref="B138:H138" si="7">TEXT(B139,"dddd")</f>
        <v>Sunday</v>
      </c>
      <c r="C138" s="50" t="str">
        <f t="shared" si="7"/>
        <v>Monday</v>
      </c>
      <c r="D138" s="49" t="str">
        <f t="shared" si="7"/>
        <v>Tuesday</v>
      </c>
      <c r="E138" s="50" t="str">
        <f t="shared" si="7"/>
        <v>Wednesday</v>
      </c>
      <c r="F138" s="49" t="str">
        <f t="shared" si="7"/>
        <v>Thursday</v>
      </c>
      <c r="G138" s="50" t="str">
        <f t="shared" si="7"/>
        <v>Friday</v>
      </c>
      <c r="H138" s="49" t="str">
        <f t="shared" si="7"/>
        <v>Saturday</v>
      </c>
    </row>
    <row r="139" spans="2:8" s="9" customFormat="1" ht="24" customHeight="1" x14ac:dyDescent="0.35">
      <c r="B139" s="31">
        <f t="array" ref="B139:H139">Days+1+DATE(Calendar9Year,Calendar9MonthOption,1)-WEEKDAY(DATE(Calendar9Year,Calendar9MonthOption,1),WeekdayOption)</f>
        <v>45382</v>
      </c>
      <c r="C139" s="29">
        <v>45383</v>
      </c>
      <c r="D139" s="29">
        <v>45384</v>
      </c>
      <c r="E139" s="29">
        <v>45385</v>
      </c>
      <c r="F139" s="29">
        <v>45386</v>
      </c>
      <c r="G139" s="29">
        <v>45387</v>
      </c>
      <c r="H139" s="31">
        <v>45388</v>
      </c>
    </row>
    <row r="140" spans="2:8" s="8" customFormat="1" ht="51" customHeight="1" x14ac:dyDescent="0.3">
      <c r="B140" s="83"/>
      <c r="C140" s="100" t="s">
        <v>9</v>
      </c>
      <c r="D140" s="100"/>
      <c r="E140" s="100"/>
      <c r="F140" s="100"/>
      <c r="G140" s="100"/>
      <c r="H140" s="83"/>
    </row>
    <row r="141" spans="2:8" s="9" customFormat="1" ht="24" customHeight="1" x14ac:dyDescent="0.35">
      <c r="B141" s="32">
        <f t="array" ref="B141:H141">Days+8+DATE(Calendar9Year,Calendar9MonthOption,1)-WEEKDAY(DATE(Calendar9Year,Calendar9MonthOption,1),WeekdayOption)</f>
        <v>45389</v>
      </c>
      <c r="C141" s="30">
        <v>45390</v>
      </c>
      <c r="D141" s="30">
        <v>45391</v>
      </c>
      <c r="E141" s="30">
        <v>45392</v>
      </c>
      <c r="F141" s="30">
        <v>45393</v>
      </c>
      <c r="G141" s="30">
        <v>45394</v>
      </c>
      <c r="H141" s="32">
        <v>45395</v>
      </c>
    </row>
    <row r="142" spans="2:8" s="8" customFormat="1" ht="51" customHeight="1" x14ac:dyDescent="0.3">
      <c r="B142" s="56"/>
      <c r="C142" s="100"/>
      <c r="D142" s="100"/>
      <c r="E142" s="100"/>
      <c r="F142" s="100"/>
      <c r="G142" s="100"/>
      <c r="H142" s="56"/>
    </row>
    <row r="143" spans="2:8" s="9" customFormat="1" ht="24" customHeight="1" x14ac:dyDescent="0.35">
      <c r="B143" s="32">
        <f t="array" ref="B143:H143">Days+15+DATE(Calendar9Year,Calendar9MonthOption,1)-WEEKDAY(DATE(Calendar9Year,Calendar9MonthOption,1),WeekdayOption)</f>
        <v>45396</v>
      </c>
      <c r="C143" s="30">
        <v>45397</v>
      </c>
      <c r="D143" s="30">
        <v>45398</v>
      </c>
      <c r="E143" s="30">
        <v>45399</v>
      </c>
      <c r="F143" s="30">
        <v>45400</v>
      </c>
      <c r="G143" s="30">
        <v>45401</v>
      </c>
      <c r="H143" s="32">
        <v>45402</v>
      </c>
    </row>
    <row r="144" spans="2:8" s="8" customFormat="1" ht="51" customHeight="1" x14ac:dyDescent="0.3">
      <c r="B144" s="56"/>
      <c r="C144" s="100"/>
      <c r="D144" s="100"/>
      <c r="E144" s="100"/>
      <c r="F144" s="100"/>
      <c r="G144" s="100"/>
      <c r="H144" s="56"/>
    </row>
    <row r="145" spans="2:8" s="9" customFormat="1" ht="24" customHeight="1" x14ac:dyDescent="0.35">
      <c r="B145" s="32">
        <f t="array" ref="B145:H145">Days+22+DATE(Calendar9Year,Calendar9MonthOption,1)-WEEKDAY(DATE(Calendar9Year,Calendar9MonthOption,1),WeekdayOption)</f>
        <v>45403</v>
      </c>
      <c r="C145" s="30">
        <v>45404</v>
      </c>
      <c r="D145" s="30">
        <v>45405</v>
      </c>
      <c r="E145" s="30">
        <v>45406</v>
      </c>
      <c r="F145" s="30">
        <v>45407</v>
      </c>
      <c r="G145" s="30">
        <v>45408</v>
      </c>
      <c r="H145" s="32">
        <v>45409</v>
      </c>
    </row>
    <row r="146" spans="2:8" s="8" customFormat="1" ht="51" customHeight="1" x14ac:dyDescent="0.3">
      <c r="B146" s="56"/>
      <c r="C146" s="100"/>
      <c r="D146" s="100"/>
      <c r="E146" s="100"/>
      <c r="F146" s="100"/>
      <c r="G146" s="100"/>
      <c r="H146" s="56"/>
    </row>
    <row r="147" spans="2:8" s="9" customFormat="1" ht="24" customHeight="1" x14ac:dyDescent="0.35">
      <c r="B147" s="32">
        <f t="array" ref="B147:H147">Days+29+DATE(Calendar9Year,Calendar9MonthOption,1)-WEEKDAY(DATE(Calendar9Year,Calendar9MonthOption,1),WeekdayOption)</f>
        <v>45410</v>
      </c>
      <c r="C147" s="30">
        <v>45411</v>
      </c>
      <c r="D147" s="30">
        <v>45412</v>
      </c>
      <c r="E147" s="30">
        <v>45413</v>
      </c>
      <c r="F147" s="30">
        <v>45414</v>
      </c>
      <c r="G147" s="30">
        <v>45415</v>
      </c>
      <c r="H147" s="32">
        <v>45416</v>
      </c>
    </row>
    <row r="148" spans="2:8" s="8" customFormat="1" ht="51" customHeight="1" x14ac:dyDescent="0.3">
      <c r="B148" s="56"/>
      <c r="C148" s="100"/>
      <c r="D148" s="100"/>
      <c r="E148" s="100"/>
      <c r="F148" s="100"/>
      <c r="G148" s="100"/>
      <c r="H148" s="56"/>
    </row>
    <row r="149" spans="2:8" s="9" customFormat="1" ht="24" customHeight="1" x14ac:dyDescent="0.35">
      <c r="B149" s="31">
        <f t="array" ref="B149:C149">Days+36+DATE(Calendar9Year,Calendar9MonthOption,1)-WEEKDAY(DATE(Calendar9Year,Calendar9MonthOption,1),WeekdayOption)</f>
        <v>45417</v>
      </c>
      <c r="C149" s="29">
        <v>45418</v>
      </c>
      <c r="D149" s="163" t="s">
        <v>8</v>
      </c>
      <c r="E149" s="164"/>
      <c r="F149" s="164"/>
      <c r="G149" s="164"/>
      <c r="H149" s="164"/>
    </row>
    <row r="150" spans="2:8" s="8" customFormat="1" ht="51" customHeight="1" x14ac:dyDescent="0.3">
      <c r="B150" s="83"/>
      <c r="C150" s="100"/>
      <c r="D150" s="162"/>
      <c r="E150" s="162"/>
      <c r="F150" s="162"/>
      <c r="G150" s="162"/>
      <c r="H150" s="162"/>
    </row>
    <row r="151" spans="2:8" s="10" customFormat="1" ht="9" customHeight="1" x14ac:dyDescent="0.3">
      <c r="B151" s="1"/>
      <c r="C151" s="1"/>
      <c r="D151" s="2"/>
      <c r="E151" s="2"/>
      <c r="F151" s="2"/>
      <c r="G151" s="2"/>
      <c r="H151" s="2"/>
    </row>
    <row r="152" spans="2:8" ht="95.25" customHeight="1" x14ac:dyDescent="0.9">
      <c r="B152" s="47">
        <f>YEAR(DATE(Calendar9Year,Calendar9MonthOption+1,1))</f>
        <v>2024</v>
      </c>
      <c r="C152" s="158" t="str">
        <f>TEXT(DATE(Calendar9Year,Calendar9MonthOption+1,1),"mmmm")</f>
        <v>May</v>
      </c>
      <c r="D152" s="158"/>
      <c r="E152" s="44"/>
      <c r="F152" s="45"/>
      <c r="G152" s="45"/>
      <c r="H152" s="46"/>
    </row>
    <row r="153" spans="2:8" ht="9" customHeight="1" x14ac:dyDescent="0.3"/>
    <row r="154" spans="2:8" s="6" customFormat="1" ht="24" customHeight="1" x14ac:dyDescent="0.35">
      <c r="B154" s="49" t="str">
        <f t="shared" ref="B154:H154" si="8">TEXT(B155,"dddd")</f>
        <v>Sunday</v>
      </c>
      <c r="C154" s="50" t="str">
        <f t="shared" si="8"/>
        <v>Monday</v>
      </c>
      <c r="D154" s="49" t="str">
        <f t="shared" si="8"/>
        <v>Tuesday</v>
      </c>
      <c r="E154" s="50" t="str">
        <f t="shared" si="8"/>
        <v>Wednesday</v>
      </c>
      <c r="F154" s="49" t="str">
        <f t="shared" si="8"/>
        <v>Thursday</v>
      </c>
      <c r="G154" s="50" t="str">
        <f t="shared" si="8"/>
        <v>Friday</v>
      </c>
      <c r="H154" s="49" t="str">
        <f t="shared" si="8"/>
        <v>Saturday</v>
      </c>
    </row>
    <row r="155" spans="2:8" s="9" customFormat="1" ht="24" customHeight="1" x14ac:dyDescent="0.35">
      <c r="B155" s="31">
        <f t="array" ref="B155:H155">Days+1+DATE(Calendar10Year,Calendar10MonthOption,1)-WEEKDAY(DATE(Calendar10Year,Calendar10MonthOption,1),WeekdayOption)</f>
        <v>45410</v>
      </c>
      <c r="C155" s="29">
        <v>45411</v>
      </c>
      <c r="D155" s="29">
        <v>45412</v>
      </c>
      <c r="E155" s="29">
        <v>45413</v>
      </c>
      <c r="F155" s="29">
        <v>45414</v>
      </c>
      <c r="G155" s="29">
        <v>45415</v>
      </c>
      <c r="H155" s="31">
        <v>45416</v>
      </c>
    </row>
    <row r="156" spans="2:8" s="8" customFormat="1" ht="51" customHeight="1" x14ac:dyDescent="0.3">
      <c r="B156" s="83"/>
      <c r="C156" s="100"/>
      <c r="D156" s="100"/>
      <c r="E156" s="100"/>
      <c r="F156" s="100"/>
      <c r="G156" s="100"/>
      <c r="H156" s="83"/>
    </row>
    <row r="157" spans="2:8" s="9" customFormat="1" ht="24" customHeight="1" x14ac:dyDescent="0.35">
      <c r="B157" s="32">
        <f t="array" ref="B157:H157">Days+8+DATE(Calendar10Year,Calendar10MonthOption,1)-WEEKDAY(DATE(Calendar10Year,Calendar10MonthOption,1),WeekdayOption)</f>
        <v>45417</v>
      </c>
      <c r="C157" s="30">
        <v>45418</v>
      </c>
      <c r="D157" s="30">
        <v>45419</v>
      </c>
      <c r="E157" s="30">
        <v>45420</v>
      </c>
      <c r="F157" s="30">
        <v>45421</v>
      </c>
      <c r="G157" s="30">
        <v>45422</v>
      </c>
      <c r="H157" s="32">
        <v>45423</v>
      </c>
    </row>
    <row r="158" spans="2:8" s="8" customFormat="1" ht="51" customHeight="1" x14ac:dyDescent="0.3">
      <c r="B158" s="56"/>
      <c r="C158" s="100"/>
      <c r="D158" s="100"/>
      <c r="E158" s="100"/>
      <c r="F158" s="100"/>
      <c r="G158" s="100"/>
      <c r="H158" s="56"/>
    </row>
    <row r="159" spans="2:8" s="9" customFormat="1" ht="24" customHeight="1" x14ac:dyDescent="0.35">
      <c r="B159" s="32">
        <f t="array" ref="B159:H159">Days+15+DATE(Calendar10Year,Calendar10MonthOption,1)-WEEKDAY(DATE(Calendar10Year,Calendar10MonthOption,1),WeekdayOption)</f>
        <v>45424</v>
      </c>
      <c r="C159" s="30">
        <v>45425</v>
      </c>
      <c r="D159" s="30">
        <v>45426</v>
      </c>
      <c r="E159" s="30">
        <v>45427</v>
      </c>
      <c r="F159" s="30">
        <v>45428</v>
      </c>
      <c r="G159" s="30">
        <v>45429</v>
      </c>
      <c r="H159" s="32">
        <v>45430</v>
      </c>
    </row>
    <row r="160" spans="2:8" s="8" customFormat="1" ht="51" customHeight="1" x14ac:dyDescent="0.3">
      <c r="B160" s="56"/>
      <c r="C160" s="100"/>
      <c r="D160" s="100"/>
      <c r="E160" s="100"/>
      <c r="F160" s="100"/>
      <c r="G160" s="100"/>
      <c r="H160" s="56"/>
    </row>
    <row r="161" spans="2:8" s="9" customFormat="1" ht="24.6" customHeight="1" x14ac:dyDescent="0.35">
      <c r="B161" s="32">
        <f t="array" ref="B161:H161">Days+22+DATE(Calendar10Year,Calendar10MonthOption,1)-WEEKDAY(DATE(Calendar10Year,Calendar10MonthOption,1),WeekdayOption)</f>
        <v>45431</v>
      </c>
      <c r="C161" s="30">
        <v>45432</v>
      </c>
      <c r="D161" s="30">
        <v>45433</v>
      </c>
      <c r="E161" s="30">
        <v>45434</v>
      </c>
      <c r="F161" s="30">
        <v>45435</v>
      </c>
      <c r="G161" s="30">
        <v>45436</v>
      </c>
      <c r="H161" s="32">
        <v>45437</v>
      </c>
    </row>
    <row r="162" spans="2:8" s="8" customFormat="1" ht="51" customHeight="1" x14ac:dyDescent="0.3">
      <c r="B162" s="56"/>
      <c r="C162" s="100" t="s">
        <v>9</v>
      </c>
      <c r="D162" s="100"/>
      <c r="E162" s="100"/>
      <c r="F162" s="100"/>
      <c r="G162" s="100"/>
      <c r="H162" s="56"/>
    </row>
    <row r="163" spans="2:8" s="9" customFormat="1" ht="24" customHeight="1" x14ac:dyDescent="0.35">
      <c r="B163" s="32">
        <f t="array" ref="B163:H163">Days+29+DATE(Calendar10Year,Calendar10MonthOption,1)-WEEKDAY(DATE(Calendar10Year,Calendar10MonthOption,1),WeekdayOption)</f>
        <v>45438</v>
      </c>
      <c r="C163" s="30">
        <v>45439</v>
      </c>
      <c r="D163" s="30">
        <v>45440</v>
      </c>
      <c r="E163" s="30">
        <v>45441</v>
      </c>
      <c r="F163" s="30">
        <v>45442</v>
      </c>
      <c r="G163" s="30">
        <v>45443</v>
      </c>
      <c r="H163" s="32">
        <v>45444</v>
      </c>
    </row>
    <row r="164" spans="2:8" s="8" customFormat="1" ht="51" customHeight="1" x14ac:dyDescent="0.3">
      <c r="B164" s="56"/>
      <c r="C164" s="100"/>
      <c r="D164" s="100"/>
      <c r="E164" s="100"/>
      <c r="F164" s="100"/>
      <c r="G164" s="100"/>
      <c r="H164" s="56"/>
    </row>
    <row r="165" spans="2:8" s="9" customFormat="1" ht="24" customHeight="1" x14ac:dyDescent="0.35">
      <c r="B165" s="31">
        <f t="array" ref="B165:C165">Days+36+DATE(Calendar10Year,Calendar10MonthOption,1)-WEEKDAY(DATE(Calendar10Year,Calendar10MonthOption,1),WeekdayOption)</f>
        <v>45445</v>
      </c>
      <c r="C165" s="29">
        <v>45446</v>
      </c>
      <c r="D165" s="163" t="s">
        <v>8</v>
      </c>
      <c r="E165" s="164"/>
      <c r="F165" s="164"/>
      <c r="G165" s="164"/>
      <c r="H165" s="164"/>
    </row>
    <row r="166" spans="2:8" s="8" customFormat="1" ht="51" customHeight="1" x14ac:dyDescent="0.3">
      <c r="B166" s="83"/>
      <c r="C166" s="103"/>
      <c r="D166" s="162"/>
      <c r="E166" s="162"/>
      <c r="F166" s="162"/>
      <c r="G166" s="162"/>
      <c r="H166" s="162"/>
    </row>
    <row r="167" spans="2:8" s="10" customFormat="1" ht="9" customHeight="1" x14ac:dyDescent="0.3">
      <c r="B167" s="1"/>
      <c r="C167" s="1"/>
      <c r="D167" s="2"/>
      <c r="E167" s="2"/>
      <c r="F167" s="2"/>
      <c r="G167" s="2"/>
      <c r="H167" s="2"/>
    </row>
    <row r="168" spans="2:8" ht="95.25" customHeight="1" x14ac:dyDescent="0.9">
      <c r="B168" s="47">
        <f>YEAR(DATE(Calendar10Year,Calendar10MonthOption+1,1))</f>
        <v>2024</v>
      </c>
      <c r="C168" s="158" t="str">
        <f>TEXT(DATE(Calendar10Year,Calendar10MonthOption+1,1),"mmmm")</f>
        <v>June</v>
      </c>
      <c r="D168" s="158"/>
      <c r="E168" s="44"/>
      <c r="F168" s="45"/>
      <c r="G168" s="45"/>
      <c r="H168" s="46"/>
    </row>
    <row r="169" spans="2:8" ht="9" customHeight="1" x14ac:dyDescent="0.3"/>
    <row r="170" spans="2:8" s="6" customFormat="1" ht="24" customHeight="1" x14ac:dyDescent="0.35">
      <c r="B170" s="49" t="str">
        <f t="shared" ref="B170:H170" si="9">TEXT(B171,"dddd")</f>
        <v>Sunday</v>
      </c>
      <c r="C170" s="50" t="str">
        <f t="shared" si="9"/>
        <v>Monday</v>
      </c>
      <c r="D170" s="49" t="str">
        <f t="shared" si="9"/>
        <v>Tuesday</v>
      </c>
      <c r="E170" s="50" t="str">
        <f t="shared" si="9"/>
        <v>Wednesday</v>
      </c>
      <c r="F170" s="49" t="str">
        <f t="shared" si="9"/>
        <v>Thursday</v>
      </c>
      <c r="G170" s="50" t="str">
        <f t="shared" si="9"/>
        <v>Friday</v>
      </c>
      <c r="H170" s="49" t="str">
        <f t="shared" si="9"/>
        <v>Saturday</v>
      </c>
    </row>
    <row r="171" spans="2:8" s="9" customFormat="1" ht="24" customHeight="1" x14ac:dyDescent="0.35">
      <c r="B171" s="33">
        <f t="array" ref="B171:H171">Days+1+DATE(Calendar11Year,Calendar11MonthOption,1)-WEEKDAY(DATE(Calendar11Year,Calendar11MonthOption,1),WeekdayOption)</f>
        <v>45438</v>
      </c>
      <c r="C171" s="12">
        <v>45439</v>
      </c>
      <c r="D171" s="12">
        <v>45440</v>
      </c>
      <c r="E171" s="12">
        <v>45441</v>
      </c>
      <c r="F171" s="12">
        <v>45442</v>
      </c>
      <c r="G171" s="12">
        <v>45443</v>
      </c>
      <c r="H171" s="35">
        <v>45444</v>
      </c>
    </row>
    <row r="172" spans="2:8" s="8" customFormat="1" ht="51" customHeight="1" x14ac:dyDescent="0.3">
      <c r="B172" s="85"/>
      <c r="C172" s="78"/>
      <c r="D172" s="78"/>
      <c r="E172" s="78"/>
      <c r="F172" s="78"/>
      <c r="G172" s="78"/>
      <c r="H172" s="86"/>
    </row>
    <row r="173" spans="2:8" s="9" customFormat="1" ht="24" customHeight="1" x14ac:dyDescent="0.35">
      <c r="B173" s="34">
        <f t="array" ref="B173:H173">Days+8+DATE(Calendar11Year,Calendar11MonthOption,1)-WEEKDAY(DATE(Calendar11Year,Calendar11MonthOption,1),WeekdayOption)</f>
        <v>45445</v>
      </c>
      <c r="C173" s="11">
        <v>45446</v>
      </c>
      <c r="D173" s="11">
        <v>45447</v>
      </c>
      <c r="E173" s="11">
        <v>45448</v>
      </c>
      <c r="F173" s="11">
        <v>45449</v>
      </c>
      <c r="G173" s="11">
        <v>45450</v>
      </c>
      <c r="H173" s="36">
        <v>45451</v>
      </c>
    </row>
    <row r="174" spans="2:8" s="8" customFormat="1" ht="51" customHeight="1" x14ac:dyDescent="0.3">
      <c r="B174" s="85"/>
      <c r="C174" s="100"/>
      <c r="D174" s="100"/>
      <c r="E174" s="100"/>
      <c r="F174" s="100"/>
      <c r="G174" s="100"/>
      <c r="H174" s="86"/>
    </row>
    <row r="175" spans="2:8" s="9" customFormat="1" ht="24" customHeight="1" x14ac:dyDescent="0.35">
      <c r="B175" s="34">
        <f t="array" ref="B175:H175">Days+15+DATE(Calendar11Year,Calendar11MonthOption,1)-WEEKDAY(DATE(Calendar11Year,Calendar11MonthOption,1),WeekdayOption)</f>
        <v>45452</v>
      </c>
      <c r="C175" s="11">
        <v>45453</v>
      </c>
      <c r="D175" s="11">
        <v>45454</v>
      </c>
      <c r="E175" s="11">
        <v>45455</v>
      </c>
      <c r="F175" s="11">
        <v>45456</v>
      </c>
      <c r="G175" s="11">
        <v>45457</v>
      </c>
      <c r="H175" s="36">
        <v>45458</v>
      </c>
    </row>
    <row r="176" spans="2:8" s="8" customFormat="1" ht="51" customHeight="1" x14ac:dyDescent="0.3">
      <c r="B176" s="85"/>
      <c r="C176" s="100"/>
      <c r="D176" s="100"/>
      <c r="E176" s="100"/>
      <c r="F176" s="100"/>
      <c r="G176" s="100"/>
      <c r="H176" s="86"/>
    </row>
    <row r="177" spans="2:8" s="9" customFormat="1" ht="24" customHeight="1" x14ac:dyDescent="0.35">
      <c r="B177" s="34">
        <f t="array" ref="B177:H177">Days+22+DATE(Calendar11Year,Calendar11MonthOption,1)-WEEKDAY(DATE(Calendar11Year,Calendar11MonthOption,1),WeekdayOption)</f>
        <v>45459</v>
      </c>
      <c r="C177" s="11">
        <v>45460</v>
      </c>
      <c r="D177" s="11">
        <v>45461</v>
      </c>
      <c r="E177" s="11">
        <v>45462</v>
      </c>
      <c r="F177" s="11">
        <v>45463</v>
      </c>
      <c r="G177" s="11">
        <v>45464</v>
      </c>
      <c r="H177" s="36">
        <v>45465</v>
      </c>
    </row>
    <row r="178" spans="2:8" s="8" customFormat="1" ht="51" customHeight="1" x14ac:dyDescent="0.3">
      <c r="B178" s="85"/>
      <c r="C178" s="100"/>
      <c r="D178" s="100"/>
      <c r="E178" s="100"/>
      <c r="F178" s="100"/>
      <c r="G178" s="100"/>
      <c r="H178" s="86"/>
    </row>
    <row r="179" spans="2:8" s="9" customFormat="1" ht="24" customHeight="1" x14ac:dyDescent="0.35">
      <c r="B179" s="34">
        <f t="array" ref="B179:H179">Days+29+DATE(Calendar11Year,Calendar11MonthOption,1)-WEEKDAY(DATE(Calendar11Year,Calendar11MonthOption,1),WeekdayOption)</f>
        <v>45466</v>
      </c>
      <c r="C179" s="11">
        <v>45467</v>
      </c>
      <c r="D179" s="11">
        <v>45468</v>
      </c>
      <c r="E179" s="11">
        <v>45469</v>
      </c>
      <c r="F179" s="11">
        <v>45470</v>
      </c>
      <c r="G179" s="11">
        <v>45471</v>
      </c>
      <c r="H179" s="36">
        <v>45472</v>
      </c>
    </row>
    <row r="180" spans="2:8" s="8" customFormat="1" ht="51" customHeight="1" x14ac:dyDescent="0.3">
      <c r="B180" s="85"/>
      <c r="C180" s="100"/>
      <c r="D180" s="100"/>
      <c r="E180" s="100"/>
      <c r="F180" s="100"/>
      <c r="G180" s="100"/>
      <c r="H180" s="87"/>
    </row>
    <row r="181" spans="2:8" s="9" customFormat="1" ht="24" customHeight="1" x14ac:dyDescent="0.35">
      <c r="B181" s="34">
        <f t="array" ref="B181:C181">Days+36+DATE(Calendar11Year,Calendar11MonthOption,1)-WEEKDAY(DATE(Calendar11Year,Calendar11MonthOption,1),WeekdayOption)</f>
        <v>45473</v>
      </c>
      <c r="C181" s="11">
        <v>45474</v>
      </c>
      <c r="D181" s="159" t="s">
        <v>8</v>
      </c>
      <c r="E181" s="159"/>
      <c r="F181" s="159"/>
      <c r="G181" s="159"/>
      <c r="H181" s="159"/>
    </row>
    <row r="182" spans="2:8" s="8" customFormat="1" ht="51" customHeight="1" x14ac:dyDescent="0.3">
      <c r="B182" s="85"/>
      <c r="C182" s="100"/>
      <c r="D182" s="162"/>
      <c r="E182" s="162"/>
      <c r="F182" s="162"/>
      <c r="G182" s="162"/>
      <c r="H182" s="162"/>
    </row>
    <row r="183" spans="2:8" s="10" customFormat="1" ht="9" customHeight="1" x14ac:dyDescent="0.3">
      <c r="B183" s="1"/>
      <c r="C183" s="1"/>
      <c r="D183" s="2"/>
      <c r="E183" s="2"/>
      <c r="F183" s="2"/>
      <c r="G183" s="2"/>
      <c r="H183" s="2"/>
    </row>
    <row r="184" spans="2:8" ht="95.25" customHeight="1" x14ac:dyDescent="0.9">
      <c r="B184" s="47">
        <f>YEAR(DATE(Calendar11Year,Calendar11MonthOption+1,1))</f>
        <v>2024</v>
      </c>
      <c r="C184" s="47" t="str">
        <f>TEXT(DATE(Calendar11Year,Calendar11MonthOption+1,1),"mmmm")</f>
        <v>July</v>
      </c>
      <c r="D184" s="48"/>
      <c r="E184" s="44"/>
      <c r="F184" s="45"/>
      <c r="G184" s="45"/>
      <c r="H184" s="46"/>
    </row>
    <row r="185" spans="2:8" ht="9" customHeight="1" x14ac:dyDescent="0.3"/>
    <row r="186" spans="2:8" s="6" customFormat="1" ht="24" customHeight="1" x14ac:dyDescent="0.35">
      <c r="B186" s="49" t="str">
        <f t="shared" ref="B186:H186" si="10">TEXT(B187,"dddd")</f>
        <v>Sunday</v>
      </c>
      <c r="C186" s="50" t="str">
        <f t="shared" si="10"/>
        <v>Monday</v>
      </c>
      <c r="D186" s="49" t="str">
        <f t="shared" si="10"/>
        <v>Tuesday</v>
      </c>
      <c r="E186" s="50" t="str">
        <f t="shared" si="10"/>
        <v>Wednesday</v>
      </c>
      <c r="F186" s="49" t="str">
        <f t="shared" si="10"/>
        <v>Thursday</v>
      </c>
      <c r="G186" s="50" t="str">
        <f t="shared" si="10"/>
        <v>Friday</v>
      </c>
      <c r="H186" s="49" t="str">
        <f t="shared" si="10"/>
        <v>Saturday</v>
      </c>
    </row>
    <row r="187" spans="2:8" s="9" customFormat="1" ht="24" customHeight="1" x14ac:dyDescent="0.35">
      <c r="B187" s="3">
        <f t="array" ref="B187:H187">Days+1+DATE(Calendar12Year,Calendar12MonthOption,1)-WEEKDAY(DATE(Calendar12Year,Calendar12MonthOption,1),WeekdayOption)</f>
        <v>45473</v>
      </c>
      <c r="C187" s="29">
        <v>45474</v>
      </c>
      <c r="D187" s="29">
        <v>45475</v>
      </c>
      <c r="E187" s="29">
        <v>45476</v>
      </c>
      <c r="F187" s="29">
        <v>45477</v>
      </c>
      <c r="G187" s="29">
        <v>45478</v>
      </c>
      <c r="H187" s="3">
        <v>45479</v>
      </c>
    </row>
    <row r="188" spans="2:8" s="8" customFormat="1" ht="51" customHeight="1" x14ac:dyDescent="0.3">
      <c r="B188" s="84"/>
      <c r="C188" s="100"/>
      <c r="D188" s="100"/>
      <c r="E188" s="100"/>
      <c r="F188" s="100"/>
      <c r="G188" s="100"/>
      <c r="H188" s="84"/>
    </row>
    <row r="189" spans="2:8" s="9" customFormat="1" ht="24" customHeight="1" x14ac:dyDescent="0.35">
      <c r="B189" s="13">
        <f t="array" ref="B189:H189">Days+8+DATE(Calendar12Year,Calendar12MonthOption,1)-WEEKDAY(DATE(Calendar12Year,Calendar12MonthOption,1),WeekdayOption)</f>
        <v>45480</v>
      </c>
      <c r="C189" s="30">
        <v>45481</v>
      </c>
      <c r="D189" s="30">
        <v>45482</v>
      </c>
      <c r="E189" s="30">
        <v>45483</v>
      </c>
      <c r="F189" s="30">
        <v>45484</v>
      </c>
      <c r="G189" s="30">
        <v>45485</v>
      </c>
      <c r="H189" s="13">
        <v>45486</v>
      </c>
    </row>
    <row r="190" spans="2:8" s="8" customFormat="1" ht="51" customHeight="1" x14ac:dyDescent="0.3">
      <c r="B190" s="88"/>
      <c r="C190" s="100"/>
      <c r="D190" s="100"/>
      <c r="E190" s="100"/>
      <c r="F190" s="100"/>
      <c r="G190" s="100"/>
      <c r="H190" s="88"/>
    </row>
    <row r="191" spans="2:8" s="9" customFormat="1" ht="24" customHeight="1" x14ac:dyDescent="0.35">
      <c r="B191" s="13">
        <f t="array" ref="B191:H191">Days+15+DATE(Calendar12Year,Calendar12MonthOption,1)-WEEKDAY(DATE(Calendar12Year,Calendar12MonthOption,1),WeekdayOption)</f>
        <v>45487</v>
      </c>
      <c r="C191" s="30">
        <v>45488</v>
      </c>
      <c r="D191" s="30">
        <v>45489</v>
      </c>
      <c r="E191" s="30">
        <v>45490</v>
      </c>
      <c r="F191" s="30">
        <v>45491</v>
      </c>
      <c r="G191" s="30">
        <v>45492</v>
      </c>
      <c r="H191" s="13">
        <v>45493</v>
      </c>
    </row>
    <row r="192" spans="2:8" s="8" customFormat="1" ht="51" customHeight="1" x14ac:dyDescent="0.3">
      <c r="B192" s="88"/>
      <c r="C192" s="100"/>
      <c r="D192" s="100"/>
      <c r="E192" s="100"/>
      <c r="F192" s="100"/>
      <c r="G192" s="100"/>
      <c r="H192" s="88"/>
    </row>
    <row r="193" spans="2:8" s="9" customFormat="1" ht="24" customHeight="1" x14ac:dyDescent="0.35">
      <c r="B193" s="13">
        <f t="array" ref="B193:H193">Days+22+DATE(Calendar12Year,Calendar12MonthOption,1)-WEEKDAY(DATE(Calendar12Year,Calendar12MonthOption,1),WeekdayOption)</f>
        <v>45494</v>
      </c>
      <c r="C193" s="30">
        <v>45495</v>
      </c>
      <c r="D193" s="30">
        <v>45496</v>
      </c>
      <c r="E193" s="30">
        <v>45497</v>
      </c>
      <c r="F193" s="30">
        <v>45498</v>
      </c>
      <c r="G193" s="30">
        <v>45499</v>
      </c>
      <c r="H193" s="13">
        <v>45500</v>
      </c>
    </row>
    <row r="194" spans="2:8" s="8" customFormat="1" ht="51" customHeight="1" x14ac:dyDescent="0.3">
      <c r="B194" s="88"/>
      <c r="C194" s="100"/>
      <c r="D194" s="100"/>
      <c r="E194" s="100"/>
      <c r="F194" s="100"/>
      <c r="G194" s="100"/>
      <c r="H194" s="88"/>
    </row>
    <row r="195" spans="2:8" s="9" customFormat="1" ht="24" customHeight="1" x14ac:dyDescent="0.35">
      <c r="B195" s="13">
        <f t="array" ref="B195:H195">Days+29+DATE(Calendar12Year,Calendar12MonthOption,1)-WEEKDAY(DATE(Calendar12Year,Calendar12MonthOption,1),WeekdayOption)</f>
        <v>45501</v>
      </c>
      <c r="C195" s="30">
        <v>45502</v>
      </c>
      <c r="D195" s="30">
        <v>45503</v>
      </c>
      <c r="E195" s="30">
        <v>45504</v>
      </c>
      <c r="F195" s="30">
        <v>45505</v>
      </c>
      <c r="G195" s="30">
        <v>45506</v>
      </c>
      <c r="H195" s="13">
        <v>45507</v>
      </c>
    </row>
    <row r="196" spans="2:8" s="8" customFormat="1" ht="51" customHeight="1" x14ac:dyDescent="0.3">
      <c r="B196" s="88"/>
      <c r="C196" s="100"/>
      <c r="D196" s="100"/>
      <c r="E196" s="100"/>
      <c r="F196" s="100"/>
      <c r="G196" s="100"/>
      <c r="H196" s="88"/>
    </row>
    <row r="197" spans="2:8" s="9" customFormat="1" ht="24" customHeight="1" x14ac:dyDescent="0.35">
      <c r="B197" s="3">
        <f t="array" ref="B197:C197">Days+36+DATE(Calendar12Year,Calendar12MonthOption,1)-WEEKDAY(DATE(Calendar12Year,Calendar12MonthOption,1),WeekdayOption)</f>
        <v>45508</v>
      </c>
      <c r="C197" s="29">
        <v>45509</v>
      </c>
      <c r="D197" s="165" t="s">
        <v>8</v>
      </c>
      <c r="E197" s="166"/>
      <c r="F197" s="166"/>
      <c r="G197" s="166"/>
      <c r="H197" s="166"/>
    </row>
    <row r="198" spans="2:8" s="8" customFormat="1" ht="51" customHeight="1" x14ac:dyDescent="0.3">
      <c r="B198" s="84"/>
      <c r="C198" s="100"/>
      <c r="D198" s="162"/>
      <c r="E198" s="162"/>
      <c r="F198" s="162"/>
      <c r="G198" s="162"/>
      <c r="H198" s="162"/>
    </row>
  </sheetData>
  <sheetProtection algorithmName="SHA-512" hashValue="I+AE/DgjAuBHKQzbYAvyV+n2h326tgR80euOdQ6AAWJFNdw5TwLsiTRcP+9zJ1vsMpw0k01KoWm1yTqy48yw/g==" saltValue="Af1ALeli24gJYNhtxkQJqg==" spinCount="100000" sheet="1" selectLockedCells="1"/>
  <mergeCells count="37">
    <mergeCell ref="C24:D24"/>
    <mergeCell ref="D101:H101"/>
    <mergeCell ref="D117:H117"/>
    <mergeCell ref="D102:H102"/>
    <mergeCell ref="C56:D56"/>
    <mergeCell ref="C72:D72"/>
    <mergeCell ref="C88:D88"/>
    <mergeCell ref="C104:D104"/>
    <mergeCell ref="D198:H198"/>
    <mergeCell ref="D165:H165"/>
    <mergeCell ref="D166:H166"/>
    <mergeCell ref="D150:H150"/>
    <mergeCell ref="D197:H197"/>
    <mergeCell ref="D149:H149"/>
    <mergeCell ref="D118:H118"/>
    <mergeCell ref="D134:H134"/>
    <mergeCell ref="D182:H182"/>
    <mergeCell ref="C120:D120"/>
    <mergeCell ref="C136:D136"/>
    <mergeCell ref="C152:D152"/>
    <mergeCell ref="C168:D168"/>
    <mergeCell ref="L13:P13"/>
    <mergeCell ref="K12:Q12"/>
    <mergeCell ref="C8:D8"/>
    <mergeCell ref="D181:H181"/>
    <mergeCell ref="D21:H21"/>
    <mergeCell ref="D22:H22"/>
    <mergeCell ref="D54:H54"/>
    <mergeCell ref="D70:H70"/>
    <mergeCell ref="D86:H86"/>
    <mergeCell ref="D69:H69"/>
    <mergeCell ref="D85:H85"/>
    <mergeCell ref="D37:H37"/>
    <mergeCell ref="D38:H38"/>
    <mergeCell ref="D53:H53"/>
    <mergeCell ref="C40:D40"/>
    <mergeCell ref="D133:H133"/>
  </mergeCells>
  <phoneticPr fontId="3" type="noConversion"/>
  <conditionalFormatting sqref="B12">
    <cfRule type="expression" dxfId="638" priority="836">
      <formula>MONTH($B$11)&lt;&gt;8</formula>
    </cfRule>
  </conditionalFormatting>
  <conditionalFormatting sqref="B18 H18">
    <cfRule type="expression" dxfId="637" priority="829">
      <formula>MONTH($B$17)&lt;&gt;8</formula>
    </cfRule>
  </conditionalFormatting>
  <conditionalFormatting sqref="B20">
    <cfRule type="expression" dxfId="636" priority="816">
      <formula>MONTH($B$19)&lt;&gt;8</formula>
    </cfRule>
  </conditionalFormatting>
  <conditionalFormatting sqref="B22">
    <cfRule type="expression" dxfId="635" priority="824">
      <formula>MONTH($B$21)&lt;&gt;8</formula>
    </cfRule>
  </conditionalFormatting>
  <conditionalFormatting sqref="B28">
    <cfRule type="expression" dxfId="634" priority="815">
      <formula>MONTH(B27)&lt;&gt;MONTH(DATE(Calendar1Year,_xlfn.SINGLE(Calendar1MonthOption)+1,1))</formula>
    </cfRule>
  </conditionalFormatting>
  <conditionalFormatting sqref="B36">
    <cfRule type="expression" dxfId="633" priority="806">
      <formula>MONTH(B35)&lt;&gt;MONTH(DATE(Calendar1Year,_xlfn.SINGLE(Calendar1MonthOption)+1,1))</formula>
    </cfRule>
  </conditionalFormatting>
  <conditionalFormatting sqref="B44">
    <cfRule type="expression" dxfId="632" priority="795">
      <formula>MONTH($B$43)&lt;&gt;Calendar3MonthOption</formula>
    </cfRule>
  </conditionalFormatting>
  <conditionalFormatting sqref="B54">
    <cfRule type="expression" dxfId="631" priority="827">
      <formula>MONTH($B$53)&lt;&gt;MONTH(DATE(Calendar2Year,_xlfn.SINGLE(Calendar2MonthOption)+1,1))</formula>
    </cfRule>
  </conditionalFormatting>
  <conditionalFormatting sqref="B60">
    <cfRule type="expression" dxfId="630" priority="786">
      <formula>MONTH($B$59)&lt;&gt;Calendar4MonthOption</formula>
    </cfRule>
  </conditionalFormatting>
  <conditionalFormatting sqref="B70">
    <cfRule type="expression" dxfId="629" priority="773">
      <formula>MONTH($B$69)&lt;&gt;Calendar4MonthOption</formula>
    </cfRule>
  </conditionalFormatting>
  <conditionalFormatting sqref="B76">
    <cfRule type="expression" dxfId="628" priority="771">
      <formula>MONTH($B$75)&lt;&gt;Calendar5MonthOption</formula>
    </cfRule>
  </conditionalFormatting>
  <conditionalFormatting sqref="B86">
    <cfRule type="expression" dxfId="627" priority="757">
      <formula>MONTH($B$85)&lt;&gt;Calendar5MonthOption</formula>
    </cfRule>
  </conditionalFormatting>
  <conditionalFormatting sqref="B92">
    <cfRule type="expression" dxfId="626" priority="755">
      <formula>MONTH($B$91)&lt;&gt;Calendar6MonthOption</formula>
    </cfRule>
  </conditionalFormatting>
  <conditionalFormatting sqref="B102">
    <cfRule type="expression" dxfId="625" priority="743">
      <formula>MONTH($B$101)&lt;&gt;Calendar6MonthOption</formula>
    </cfRule>
  </conditionalFormatting>
  <conditionalFormatting sqref="B108">
    <cfRule type="expression" dxfId="624" priority="741">
      <formula>MONTH($B$107)&lt;&gt;Calendar7MonthOption</formula>
    </cfRule>
  </conditionalFormatting>
  <conditionalFormatting sqref="B116">
    <cfRule type="expression" dxfId="623" priority="735">
      <formula>MONTH($B$115)&lt;&gt;Calendar7MonthOption</formula>
    </cfRule>
  </conditionalFormatting>
  <conditionalFormatting sqref="B118">
    <cfRule type="expression" dxfId="622" priority="728">
      <formula>MONTH($B$118)&lt;&gt;Calendar7MonthOption</formula>
    </cfRule>
  </conditionalFormatting>
  <conditionalFormatting sqref="B124">
    <cfRule type="expression" dxfId="621" priority="726">
      <formula>MONTH($B$123)&lt;&gt;Calendar8MonthOption</formula>
    </cfRule>
  </conditionalFormatting>
  <conditionalFormatting sqref="B134">
    <cfRule type="expression" dxfId="620" priority="715">
      <formula>MONTH($B$133)&lt;&gt;Calendar8MonthOption</formula>
    </cfRule>
  </conditionalFormatting>
  <conditionalFormatting sqref="B140">
    <cfRule type="expression" dxfId="619" priority="713">
      <formula>MONTH($B$139)&lt;&gt;Calendar9MonthOption</formula>
    </cfRule>
  </conditionalFormatting>
  <conditionalFormatting sqref="B150">
    <cfRule type="expression" dxfId="618" priority="699">
      <formula>MONTH($B$149)&lt;&gt;Calendar9MonthOption</formula>
    </cfRule>
  </conditionalFormatting>
  <conditionalFormatting sqref="B156">
    <cfRule type="expression" dxfId="617" priority="697">
      <formula>MONTH($B$155)&lt;&gt;Calendar10MonthOption</formula>
    </cfRule>
  </conditionalFormatting>
  <conditionalFormatting sqref="B166">
    <cfRule type="expression" dxfId="616" priority="686">
      <formula>MONTH($B$165)&lt;&gt;Calendar10MonthOption</formula>
    </cfRule>
  </conditionalFormatting>
  <conditionalFormatting sqref="B172">
    <cfRule type="expression" dxfId="615" priority="684">
      <formula>MONTH($B$171)&lt;&gt;Calendar11MonthOption</formula>
    </cfRule>
  </conditionalFormatting>
  <conditionalFormatting sqref="B182">
    <cfRule type="expression" dxfId="614" priority="673">
      <formula>MONTH($B$181)&lt;&gt;Calendar11MonthOption</formula>
    </cfRule>
  </conditionalFormatting>
  <conditionalFormatting sqref="B188">
    <cfRule type="expression" dxfId="613" priority="671">
      <formula>MONTH($B$187)&lt;&gt;Calendar12MonthOption</formula>
    </cfRule>
  </conditionalFormatting>
  <conditionalFormatting sqref="B198">
    <cfRule type="expression" dxfId="612" priority="660">
      <formula>MONTH($B$197)&lt;&gt;Calendar12MonthOption</formula>
    </cfRule>
  </conditionalFormatting>
  <conditionalFormatting sqref="B38:C38">
    <cfRule type="expression" dxfId="611" priority="805">
      <formula>MONTH(B37)&lt;&gt;MONTH(DATE(Calendar1Year,_xlfn.SINGLE(Calendar1MonthOption)+1,1))</formula>
    </cfRule>
  </conditionalFormatting>
  <conditionalFormatting sqref="B11:H11 B13:H13 B15:H15 B17:H17 B19:H19 B21:C21">
    <cfRule type="expression" dxfId="610" priority="874">
      <formula>MONTH(B11)&lt;&gt;Calendar1MonthOption</formula>
    </cfRule>
  </conditionalFormatting>
  <conditionalFormatting sqref="B27:H27 B29:H29 B31:H31 B33:H33 B35:H35 B37:C37">
    <cfRule type="expression" dxfId="609" priority="863">
      <formula>MONTH(B27)&lt;&gt;Calendar2MonthOption</formula>
    </cfRule>
  </conditionalFormatting>
  <conditionalFormatting sqref="B43:H43 B45:H45 B47:H47 B49:H49 B51:H51 B53:C53">
    <cfRule type="expression" dxfId="608" priority="861">
      <formula>MONTH(B43)&lt;&gt;Calendar3MonthOption</formula>
    </cfRule>
  </conditionalFormatting>
  <conditionalFormatting sqref="B59:H59 B61:H61 B63:H63 B65:H65 B67:H67 B69:C69">
    <cfRule type="expression" dxfId="607" priority="859">
      <formula>MONTH(B59)&lt;&gt;Calendar4MonthOption</formula>
    </cfRule>
  </conditionalFormatting>
  <conditionalFormatting sqref="B75:H75 B77:H77 B79:H79 B81:H81 B83:H83 B85:C85">
    <cfRule type="expression" dxfId="606" priority="857">
      <formula>MONTH(B75)&lt;&gt;Calendar5MonthOption</formula>
    </cfRule>
  </conditionalFormatting>
  <conditionalFormatting sqref="B91:H91 B93:H93 B95:H95 B97:H97 B99:H99 B101:C101">
    <cfRule type="expression" dxfId="605" priority="855">
      <formula>MONTH(B91)&lt;&gt;Calendar6MonthOption</formula>
    </cfRule>
  </conditionalFormatting>
  <conditionalFormatting sqref="B107:H107 B109:H109 B111:H111 B113:H113 B115:H115 B117:C117">
    <cfRule type="expression" dxfId="604" priority="853">
      <formula>MONTH(B107)&lt;&gt;Calendar7MonthOption</formula>
    </cfRule>
  </conditionalFormatting>
  <conditionalFormatting sqref="B123:H123 B125:H125 B127:H127 B129:H129 B131:H131 B133:C133">
    <cfRule type="expression" dxfId="603" priority="851">
      <formula>MONTH(B123)&lt;&gt;Calendar8MonthOption</formula>
    </cfRule>
  </conditionalFormatting>
  <conditionalFormatting sqref="B139:H139 B141:H141 B143:H143 B145:H145 B147:H147 B149:C149">
    <cfRule type="expression" dxfId="602" priority="849">
      <formula>MONTH(B139)&lt;&gt;Calendar9MonthOption</formula>
    </cfRule>
  </conditionalFormatting>
  <conditionalFormatting sqref="B155:H155 B157:H157 B159:H159 B161:H161 B163:H163 B165:C165">
    <cfRule type="expression" dxfId="601" priority="839">
      <formula>MONTH(B155)&lt;&gt;Calendar10MonthOption</formula>
    </cfRule>
  </conditionalFormatting>
  <conditionalFormatting sqref="B171:H171 B173:H173 B175:H175 B177:H177 B179:H179 B181:C181">
    <cfRule type="expression" dxfId="600" priority="838">
      <formula>MONTH(B171)&lt;&gt;Calendar11MonthOption</formula>
    </cfRule>
  </conditionalFormatting>
  <conditionalFormatting sqref="B187:H187 B189:H189 B191:H191 B193:H193 B195:H195 B197:C197">
    <cfRule type="expression" dxfId="599" priority="837">
      <formula>MONTH(B187)&lt;&gt;Calendar12MonthOption</formula>
    </cfRule>
  </conditionalFormatting>
  <conditionalFormatting sqref="C12">
    <cfRule type="expression" dxfId="598" priority="835">
      <formula>MONTH($C$11)&lt;&gt;8</formula>
    </cfRule>
  </conditionalFormatting>
  <conditionalFormatting sqref="C22">
    <cfRule type="expression" dxfId="597" priority="823">
      <formula>MONTH($C$21)&lt;&gt;8</formula>
    </cfRule>
  </conditionalFormatting>
  <conditionalFormatting sqref="C28">
    <cfRule type="expression" dxfId="596" priority="814">
      <formula>MONTH($C$27)&lt;&gt;MONTH(DATE(Calendar1Year,_xlfn.SINGLE(Calendar1MonthOption)+1,1))</formula>
    </cfRule>
  </conditionalFormatting>
  <conditionalFormatting sqref="C54">
    <cfRule type="expression" dxfId="595" priority="630">
      <formula>MONTH($E$51)&lt;&gt;MONTH(DATE(Calendar2Year,_xlfn.SINGLE(Calendar2MonthOption)+1,1))</formula>
    </cfRule>
  </conditionalFormatting>
  <conditionalFormatting sqref="C60">
    <cfRule type="expression" dxfId="594" priority="785">
      <formula>MONTH($C$59)&lt;&gt;Calendar4MonthOption</formula>
    </cfRule>
  </conditionalFormatting>
  <conditionalFormatting sqref="C70">
    <cfRule type="expression" dxfId="593" priority="772">
      <formula>MONTH($C$69)&lt;&gt;Calendar4MonthOption</formula>
    </cfRule>
  </conditionalFormatting>
  <conditionalFormatting sqref="C76">
    <cfRule type="expression" dxfId="592" priority="770">
      <formula>MONTH($C$75)&lt;&gt;Calendar5MonthOption</formula>
    </cfRule>
  </conditionalFormatting>
  <conditionalFormatting sqref="C86">
    <cfRule type="expression" dxfId="591" priority="756">
      <formula>MONTH($C$85)&lt;&gt;Calendar5MonthOption</formula>
    </cfRule>
  </conditionalFormatting>
  <conditionalFormatting sqref="C102">
    <cfRule type="expression" dxfId="590" priority="620">
      <formula>MONTH($F$99)&lt;&gt;Calendar6MonthOption</formula>
    </cfRule>
  </conditionalFormatting>
  <conditionalFormatting sqref="C118">
    <cfRule type="expression" dxfId="589" priority="727">
      <formula>MONTH($C$117)&lt;&gt;Calendar7MonthOption</formula>
    </cfRule>
  </conditionalFormatting>
  <conditionalFormatting sqref="C124">
    <cfRule type="expression" dxfId="588" priority="725">
      <formula>MONTH($C$123)&lt;&gt;Calendar8MonthOption</formula>
    </cfRule>
  </conditionalFormatting>
  <conditionalFormatting sqref="C134">
    <cfRule type="expression" dxfId="587" priority="714">
      <formula>MONTH($C$133)&lt;&gt;Calendar8MonthOption</formula>
    </cfRule>
  </conditionalFormatting>
  <conditionalFormatting sqref="C150">
    <cfRule type="expression" dxfId="586" priority="698">
      <formula>MONTH($C$149)&lt;&gt;Calendar9MonthOption</formula>
    </cfRule>
  </conditionalFormatting>
  <conditionalFormatting sqref="C156">
    <cfRule type="expression" dxfId="585" priority="696">
      <formula>MONTH($C$155)&lt;&gt;Calendar10MonthOption</formula>
    </cfRule>
  </conditionalFormatting>
  <conditionalFormatting sqref="C166">
    <cfRule type="expression" dxfId="584" priority="685">
      <formula>MONTH($C$165)&lt;&gt;Calendar10MonthOption</formula>
    </cfRule>
  </conditionalFormatting>
  <conditionalFormatting sqref="C172">
    <cfRule type="expression" dxfId="583" priority="683">
      <formula>MONTH($C$171)&lt;&gt;Calendar11MonthOption</formula>
    </cfRule>
  </conditionalFormatting>
  <conditionalFormatting sqref="C182">
    <cfRule type="expression" dxfId="582" priority="672">
      <formula>MONTH($C$181)&lt;&gt;Calendar11MonthOption</formula>
    </cfRule>
  </conditionalFormatting>
  <conditionalFormatting sqref="C198">
    <cfRule type="expression" dxfId="581" priority="659">
      <formula>MONTH($C$197)&lt;&gt;Calendar12MonthOption</formula>
    </cfRule>
  </conditionalFormatting>
  <conditionalFormatting sqref="C52:D52">
    <cfRule type="expression" dxfId="580" priority="441">
      <formula>C52="Extra Day 3"</formula>
    </cfRule>
    <cfRule type="expression" dxfId="579" priority="442">
      <formula>C52="Extra Day 1"</formula>
    </cfRule>
    <cfRule type="expression" dxfId="578" priority="443">
      <formula>C52="Extra Day 2"</formula>
    </cfRule>
    <cfRule type="expression" dxfId="577" priority="444">
      <formula>C52="Early Dismissal 1"</formula>
    </cfRule>
    <cfRule type="expression" dxfId="576" priority="445">
      <formula>C52 = "Early Dismissal 2"</formula>
    </cfRule>
    <cfRule type="expression" dxfId="575" priority="446">
      <formula>C52 = "Early Dismissal 3"</formula>
    </cfRule>
    <cfRule type="expression" dxfId="574" priority="447">
      <formula>C52="Closed (non-operational)"</formula>
    </cfRule>
    <cfRule type="expression" dxfId="573" priority="449">
      <formula>C52="Operational (no students)"</formula>
    </cfRule>
    <cfRule type="expression" priority="450">
      <formula>MONTH($E$19)&lt;&gt;8</formula>
    </cfRule>
    <cfRule type="expression" dxfId="572" priority="448">
      <formula>C52="Not Scheduled"</formula>
    </cfRule>
  </conditionalFormatting>
  <conditionalFormatting sqref="C148:D148">
    <cfRule type="expression" priority="150">
      <formula>MONTH($E$19)&lt;&gt;8</formula>
    </cfRule>
    <cfRule type="expression" dxfId="571" priority="141">
      <formula>C148="Extra Day 3"</formula>
    </cfRule>
    <cfRule type="expression" dxfId="570" priority="142">
      <formula>C148="Extra Day 1"</formula>
    </cfRule>
    <cfRule type="expression" dxfId="569" priority="143">
      <formula>C148="Extra Day 2"</formula>
    </cfRule>
    <cfRule type="expression" dxfId="568" priority="144">
      <formula>C148="Early Dismissal 1"</formula>
    </cfRule>
    <cfRule type="expression" dxfId="567" priority="145">
      <formula>C148 = "Early Dismissal 2"</formula>
    </cfRule>
    <cfRule type="expression" dxfId="566" priority="146">
      <formula>C148 = "Early Dismissal 3"</formula>
    </cfRule>
    <cfRule type="expression" dxfId="565" priority="147">
      <formula>C148="Closed (non-operational)"</formula>
    </cfRule>
    <cfRule type="expression" dxfId="564" priority="148">
      <formula>C148="Not Scheduled"</formula>
    </cfRule>
    <cfRule type="expression" dxfId="563" priority="149">
      <formula>C148="Operational (no students)"</formula>
    </cfRule>
  </conditionalFormatting>
  <conditionalFormatting sqref="C100:E100">
    <cfRule type="expression" dxfId="562" priority="294">
      <formula>C100="Early Dismissal 1"</formula>
    </cfRule>
    <cfRule type="expression" dxfId="561" priority="296">
      <formula>C100 = "Early Dismissal 3"</formula>
    </cfRule>
    <cfRule type="expression" dxfId="560" priority="298">
      <formula>C100="Not Scheduled"</formula>
    </cfRule>
    <cfRule type="expression" dxfId="559" priority="295">
      <formula>C100 = "Early Dismissal 2"</formula>
    </cfRule>
    <cfRule type="expression" dxfId="558" priority="293">
      <formula>C100="Extra Day 2"</formula>
    </cfRule>
    <cfRule type="expression" dxfId="557" priority="292">
      <formula>C100="Extra Day 1"</formula>
    </cfRule>
    <cfRule type="expression" dxfId="556" priority="291">
      <formula>C100="Extra Day 3"</formula>
    </cfRule>
    <cfRule type="expression" priority="300">
      <formula>MONTH($E$19)&lt;&gt;8</formula>
    </cfRule>
    <cfRule type="expression" dxfId="555" priority="297">
      <formula>C100="Closed (non-operational)"</formula>
    </cfRule>
    <cfRule type="expression" dxfId="554" priority="299">
      <formula>C100="Operational (no students)"</formula>
    </cfRule>
  </conditionalFormatting>
  <conditionalFormatting sqref="C108:E108">
    <cfRule type="expression" dxfId="553" priority="616">
      <formula>MONTH($F$99)&lt;&gt;Calendar6MonthOption</formula>
    </cfRule>
  </conditionalFormatting>
  <conditionalFormatting sqref="C196:E196">
    <cfRule type="expression" dxfId="552" priority="8">
      <formula>C196="Not Scheduled"</formula>
    </cfRule>
    <cfRule type="expression" dxfId="551" priority="7">
      <formula>C196="Closed (non-operational)"</formula>
    </cfRule>
    <cfRule type="expression" dxfId="550" priority="6">
      <formula>C196 = "Early Dismissal 3"</formula>
    </cfRule>
    <cfRule type="expression" dxfId="549" priority="5">
      <formula>C196 = "Early Dismissal 2"</formula>
    </cfRule>
    <cfRule type="expression" dxfId="548" priority="4">
      <formula>C196="Early Dismissal 1"</formula>
    </cfRule>
    <cfRule type="expression" dxfId="547" priority="9">
      <formula>C196="Operational (no students)"</formula>
    </cfRule>
    <cfRule type="expression" dxfId="546" priority="3">
      <formula>C196="Extra Day 2"</formula>
    </cfRule>
    <cfRule type="expression" dxfId="545" priority="1">
      <formula>C196="Extra Day 3"</formula>
    </cfRule>
    <cfRule type="expression" dxfId="544" priority="2">
      <formula>C196="Extra Day 1"</formula>
    </cfRule>
    <cfRule type="expression" priority="10">
      <formula>MONTH($E$19)&lt;&gt;8</formula>
    </cfRule>
  </conditionalFormatting>
  <conditionalFormatting sqref="C20:F20">
    <cfRule type="expression" dxfId="543" priority="555">
      <formula>C20 = "Early Dismissal 2"</formula>
    </cfRule>
    <cfRule type="expression" dxfId="542" priority="554">
      <formula>C20="Early Dismissal 1"</formula>
    </cfRule>
    <cfRule type="expression" dxfId="541" priority="553">
      <formula>C20="Extra Day 2"</formula>
    </cfRule>
    <cfRule type="expression" dxfId="540" priority="552">
      <formula>C20="Extra Day 1"</formula>
    </cfRule>
    <cfRule type="expression" dxfId="539" priority="551">
      <formula>C20="Extra Day 3"</formula>
    </cfRule>
    <cfRule type="expression" dxfId="538" priority="557">
      <formula>C20="Closed (non-operational)"</formula>
    </cfRule>
    <cfRule type="expression" dxfId="537" priority="556">
      <formula>C20 = "Early Dismissal 3"</formula>
    </cfRule>
    <cfRule type="expression" priority="560">
      <formula>MONTH($E$19)&lt;&gt;8</formula>
    </cfRule>
    <cfRule type="expression" dxfId="536" priority="559">
      <formula>C20="Operational (no students)"</formula>
    </cfRule>
    <cfRule type="expression" dxfId="535" priority="558">
      <formula>C20="Not Scheduled"</formula>
    </cfRule>
  </conditionalFormatting>
  <conditionalFormatting sqref="C68:F68">
    <cfRule type="expression" dxfId="534" priority="394">
      <formula>C68="Early Dismissal 1"</formula>
    </cfRule>
    <cfRule type="expression" dxfId="533" priority="393">
      <formula>C68="Extra Day 2"</formula>
    </cfRule>
    <cfRule type="expression" dxfId="532" priority="392">
      <formula>C68="Extra Day 1"</formula>
    </cfRule>
    <cfRule type="expression" dxfId="531" priority="391">
      <formula>C68="Extra Day 3"</formula>
    </cfRule>
    <cfRule type="expression" priority="400">
      <formula>MONTH($E$19)&lt;&gt;8</formula>
    </cfRule>
    <cfRule type="expression" dxfId="530" priority="395">
      <formula>C68 = "Early Dismissal 2"</formula>
    </cfRule>
    <cfRule type="expression" dxfId="529" priority="399">
      <formula>C68="Operational (no students)"</formula>
    </cfRule>
    <cfRule type="expression" dxfId="528" priority="398">
      <formula>C68="Not Scheduled"</formula>
    </cfRule>
    <cfRule type="expression" dxfId="527" priority="397">
      <formula>C68="Closed (non-operational)"</formula>
    </cfRule>
    <cfRule type="expression" dxfId="526" priority="396">
      <formula>C68 = "Early Dismissal 3"</formula>
    </cfRule>
  </conditionalFormatting>
  <conditionalFormatting sqref="C116:F116">
    <cfRule type="expression" dxfId="525" priority="249">
      <formula>C116="Operational (no students)"</formula>
    </cfRule>
    <cfRule type="expression" dxfId="524" priority="248">
      <formula>C116="Not Scheduled"</formula>
    </cfRule>
    <cfRule type="expression" dxfId="523" priority="247">
      <formula>C116="Closed (non-operational)"</formula>
    </cfRule>
    <cfRule type="expression" priority="250">
      <formula>MONTH($E$19)&lt;&gt;8</formula>
    </cfRule>
    <cfRule type="expression" dxfId="522" priority="245">
      <formula>C116 = "Early Dismissal 2"</formula>
    </cfRule>
    <cfRule type="expression" dxfId="521" priority="244">
      <formula>C116="Early Dismissal 1"</formula>
    </cfRule>
    <cfRule type="expression" dxfId="520" priority="243">
      <formula>C116="Extra Day 2"</formula>
    </cfRule>
    <cfRule type="expression" dxfId="519" priority="242">
      <formula>C116="Extra Day 1"</formula>
    </cfRule>
    <cfRule type="expression" dxfId="518" priority="241">
      <formula>C116="Extra Day 3"</formula>
    </cfRule>
    <cfRule type="expression" dxfId="517" priority="246">
      <formula>C116 = "Early Dismissal 3"</formula>
    </cfRule>
  </conditionalFormatting>
  <conditionalFormatting sqref="C14:G14">
    <cfRule type="expression" dxfId="516" priority="612">
      <formula>C14="Not Scheduled"</formula>
    </cfRule>
    <cfRule type="expression" priority="644">
      <formula>MONTH($E$19)&lt;&gt;8</formula>
    </cfRule>
    <cfRule type="expression" dxfId="515" priority="613">
      <formula>C14="Operational (no students)"</formula>
    </cfRule>
    <cfRule type="expression" dxfId="514" priority="611">
      <formula>C14="Closed (non-operational)"</formula>
    </cfRule>
    <cfRule type="expression" dxfId="513" priority="610">
      <formula>C14 = "Early Dismissal 3"</formula>
    </cfRule>
    <cfRule type="expression" dxfId="512" priority="609">
      <formula>C14 = "Early Dismissal 2"</formula>
    </cfRule>
    <cfRule type="expression" dxfId="511" priority="608">
      <formula>C14="Early Dismissal 1"</formula>
    </cfRule>
    <cfRule type="expression" dxfId="510" priority="607">
      <formula>C14="Extra Day 2"</formula>
    </cfRule>
    <cfRule type="expression" dxfId="509" priority="606">
      <formula>C14="Extra Day 1"</formula>
    </cfRule>
    <cfRule type="expression" dxfId="508" priority="605">
      <formula>C14="Extra Day 3"</formula>
    </cfRule>
  </conditionalFormatting>
  <conditionalFormatting sqref="C16:G16">
    <cfRule type="expression" dxfId="507" priority="595">
      <formula>C16 = "Early Dismissal 2"</formula>
    </cfRule>
    <cfRule type="expression" dxfId="506" priority="592">
      <formula>C16="Extra Day 1"</formula>
    </cfRule>
    <cfRule type="expression" priority="600">
      <formula>MONTH($E$19)&lt;&gt;8</formula>
    </cfRule>
    <cfRule type="expression" dxfId="505" priority="599">
      <formula>C16="Operational (no students)"</formula>
    </cfRule>
    <cfRule type="expression" dxfId="504" priority="598">
      <formula>C16="Not Scheduled"</formula>
    </cfRule>
    <cfRule type="expression" dxfId="503" priority="597">
      <formula>C16="Closed (non-operational)"</formula>
    </cfRule>
    <cfRule type="expression" dxfId="502" priority="596">
      <formula>C16 = "Early Dismissal 3"</formula>
    </cfRule>
    <cfRule type="expression" dxfId="501" priority="594">
      <formula>C16="Early Dismissal 1"</formula>
    </cfRule>
    <cfRule type="expression" dxfId="500" priority="593">
      <formula>C16="Extra Day 2"</formula>
    </cfRule>
    <cfRule type="expression" dxfId="499" priority="591">
      <formula>C16="Extra Day 3"</formula>
    </cfRule>
  </conditionalFormatting>
  <conditionalFormatting sqref="C18:G18">
    <cfRule type="expression" priority="573">
      <formula>MONTH($E$19)&lt;&gt;8</formula>
    </cfRule>
    <cfRule type="expression" dxfId="498" priority="564">
      <formula>C18="Extra Day 3"</formula>
    </cfRule>
    <cfRule type="expression" dxfId="497" priority="565">
      <formula>C18="Extra Day 1"</formula>
    </cfRule>
    <cfRule type="expression" dxfId="496" priority="566">
      <formula>C18="Extra Day 2"</formula>
    </cfRule>
    <cfRule type="expression" dxfId="495" priority="567">
      <formula>C18="Early Dismissal 1"</formula>
    </cfRule>
    <cfRule type="expression" dxfId="494" priority="568">
      <formula>C18 = "Early Dismissal 2"</formula>
    </cfRule>
    <cfRule type="expression" dxfId="493" priority="569">
      <formula>C18 = "Early Dismissal 3"</formula>
    </cfRule>
    <cfRule type="expression" dxfId="492" priority="570">
      <formula>C18="Closed (non-operational)"</formula>
    </cfRule>
    <cfRule type="expression" dxfId="491" priority="571">
      <formula>C18="Not Scheduled"</formula>
    </cfRule>
    <cfRule type="expression" dxfId="490" priority="572">
      <formula>C18="Operational (no students)"</formula>
    </cfRule>
  </conditionalFormatting>
  <conditionalFormatting sqref="C30:G30">
    <cfRule type="expression" dxfId="489" priority="531">
      <formula>C30="Extra Day 3"</formula>
    </cfRule>
    <cfRule type="expression" priority="540">
      <formula>MONTH($E$19)&lt;&gt;8</formula>
    </cfRule>
    <cfRule type="expression" dxfId="488" priority="539">
      <formula>C30="Operational (no students)"</formula>
    </cfRule>
    <cfRule type="expression" dxfId="487" priority="538">
      <formula>C30="Not Scheduled"</formula>
    </cfRule>
    <cfRule type="expression" dxfId="486" priority="537">
      <formula>C30="Closed (non-operational)"</formula>
    </cfRule>
    <cfRule type="expression" dxfId="485" priority="536">
      <formula>C30 = "Early Dismissal 3"</formula>
    </cfRule>
    <cfRule type="expression" dxfId="484" priority="535">
      <formula>C30 = "Early Dismissal 2"</formula>
    </cfRule>
    <cfRule type="expression" dxfId="483" priority="534">
      <formula>C30="Early Dismissal 1"</formula>
    </cfRule>
    <cfRule type="expression" dxfId="482" priority="533">
      <formula>C30="Extra Day 2"</formula>
    </cfRule>
    <cfRule type="expression" dxfId="481" priority="532">
      <formula>C30="Extra Day 1"</formula>
    </cfRule>
  </conditionalFormatting>
  <conditionalFormatting sqref="C32:G32">
    <cfRule type="expression" priority="530">
      <formula>MONTH($E$19)&lt;&gt;8</formula>
    </cfRule>
    <cfRule type="expression" dxfId="480" priority="521">
      <formula>C32="Extra Day 3"</formula>
    </cfRule>
    <cfRule type="expression" dxfId="479" priority="529">
      <formula>C32="Operational (no students)"</formula>
    </cfRule>
    <cfRule type="expression" dxfId="478" priority="528">
      <formula>C32="Not Scheduled"</formula>
    </cfRule>
    <cfRule type="expression" dxfId="477" priority="527">
      <formula>C32="Closed (non-operational)"</formula>
    </cfRule>
    <cfRule type="expression" dxfId="476" priority="526">
      <formula>C32 = "Early Dismissal 3"</formula>
    </cfRule>
    <cfRule type="expression" dxfId="475" priority="525">
      <formula>C32 = "Early Dismissal 2"</formula>
    </cfRule>
    <cfRule type="expression" dxfId="474" priority="524">
      <formula>C32="Early Dismissal 1"</formula>
    </cfRule>
    <cfRule type="expression" dxfId="473" priority="523">
      <formula>C32="Extra Day 2"</formula>
    </cfRule>
    <cfRule type="expression" dxfId="472" priority="522">
      <formula>C32="Extra Day 1"</formula>
    </cfRule>
  </conditionalFormatting>
  <conditionalFormatting sqref="C34:G34">
    <cfRule type="expression" priority="520">
      <formula>MONTH($E$19)&lt;&gt;8</formula>
    </cfRule>
    <cfRule type="expression" dxfId="471" priority="519">
      <formula>C34="Operational (no students)"</formula>
    </cfRule>
    <cfRule type="expression" dxfId="470" priority="518">
      <formula>C34="Not Scheduled"</formula>
    </cfRule>
    <cfRule type="expression" dxfId="469" priority="517">
      <formula>C34="Closed (non-operational)"</formula>
    </cfRule>
    <cfRule type="expression" dxfId="468" priority="516">
      <formula>C34 = "Early Dismissal 3"</formula>
    </cfRule>
    <cfRule type="expression" dxfId="467" priority="515">
      <formula>C34 = "Early Dismissal 2"</formula>
    </cfRule>
    <cfRule type="expression" dxfId="466" priority="514">
      <formula>C34="Early Dismissal 1"</formula>
    </cfRule>
    <cfRule type="expression" dxfId="465" priority="513">
      <formula>C34="Extra Day 2"</formula>
    </cfRule>
    <cfRule type="expression" dxfId="464" priority="512">
      <formula>C34="Extra Day 1"</formula>
    </cfRule>
    <cfRule type="expression" dxfId="463" priority="511">
      <formula>C34="Extra Day 3"</formula>
    </cfRule>
  </conditionalFormatting>
  <conditionalFormatting sqref="C36:G36">
    <cfRule type="expression" priority="510">
      <formula>MONTH($E$19)&lt;&gt;8</formula>
    </cfRule>
    <cfRule type="expression" dxfId="462" priority="509">
      <formula>C36="Operational (no students)"</formula>
    </cfRule>
    <cfRule type="expression" dxfId="461" priority="508">
      <formula>C36="Not Scheduled"</formula>
    </cfRule>
    <cfRule type="expression" dxfId="460" priority="507">
      <formula>C36="Closed (non-operational)"</formula>
    </cfRule>
    <cfRule type="expression" dxfId="459" priority="506">
      <formula>C36 = "Early Dismissal 3"</formula>
    </cfRule>
    <cfRule type="expression" dxfId="458" priority="505">
      <formula>C36 = "Early Dismissal 2"</formula>
    </cfRule>
    <cfRule type="expression" dxfId="457" priority="504">
      <formula>C36="Early Dismissal 1"</formula>
    </cfRule>
    <cfRule type="expression" dxfId="456" priority="503">
      <formula>C36="Extra Day 2"</formula>
    </cfRule>
    <cfRule type="expression" dxfId="455" priority="502">
      <formula>C36="Extra Day 1"</formula>
    </cfRule>
    <cfRule type="expression" dxfId="454" priority="501">
      <formula>C36="Extra Day 3"</formula>
    </cfRule>
  </conditionalFormatting>
  <conditionalFormatting sqref="C44:G44">
    <cfRule type="expression" dxfId="453" priority="491">
      <formula>C44="Extra Day 3"</formula>
    </cfRule>
    <cfRule type="expression" priority="500">
      <formula>MONTH($E$19)&lt;&gt;8</formula>
    </cfRule>
    <cfRule type="expression" dxfId="452" priority="499">
      <formula>C44="Operational (no students)"</formula>
    </cfRule>
    <cfRule type="expression" dxfId="451" priority="498">
      <formula>C44="Not Scheduled"</formula>
    </cfRule>
    <cfRule type="expression" dxfId="450" priority="497">
      <formula>C44="Closed (non-operational)"</formula>
    </cfRule>
    <cfRule type="expression" dxfId="449" priority="496">
      <formula>C44 = "Early Dismissal 3"</formula>
    </cfRule>
    <cfRule type="expression" dxfId="448" priority="495">
      <formula>C44 = "Early Dismissal 2"</formula>
    </cfRule>
    <cfRule type="expression" dxfId="447" priority="494">
      <formula>C44="Early Dismissal 1"</formula>
    </cfRule>
    <cfRule type="expression" dxfId="446" priority="493">
      <formula>C44="Extra Day 2"</formula>
    </cfRule>
    <cfRule type="expression" dxfId="445" priority="492">
      <formula>C44="Extra Day 1"</formula>
    </cfRule>
  </conditionalFormatting>
  <conditionalFormatting sqref="C46:G46">
    <cfRule type="expression" dxfId="444" priority="481">
      <formula>C46="Extra Day 3"</formula>
    </cfRule>
    <cfRule type="expression" priority="490">
      <formula>MONTH($E$19)&lt;&gt;8</formula>
    </cfRule>
    <cfRule type="expression" dxfId="443" priority="489">
      <formula>C46="Operational (no students)"</formula>
    </cfRule>
    <cfRule type="expression" dxfId="442" priority="488">
      <formula>C46="Not Scheduled"</formula>
    </cfRule>
    <cfRule type="expression" dxfId="441" priority="487">
      <formula>C46="Closed (non-operational)"</formula>
    </cfRule>
    <cfRule type="expression" dxfId="440" priority="486">
      <formula>C46 = "Early Dismissal 3"</formula>
    </cfRule>
    <cfRule type="expression" dxfId="439" priority="485">
      <formula>C46 = "Early Dismissal 2"</formula>
    </cfRule>
    <cfRule type="expression" dxfId="438" priority="484">
      <formula>C46="Early Dismissal 1"</formula>
    </cfRule>
    <cfRule type="expression" dxfId="437" priority="483">
      <formula>C46="Extra Day 2"</formula>
    </cfRule>
    <cfRule type="expression" dxfId="436" priority="482">
      <formula>C46="Extra Day 1"</formula>
    </cfRule>
  </conditionalFormatting>
  <conditionalFormatting sqref="C48:G48">
    <cfRule type="expression" dxfId="435" priority="471">
      <formula>C48="Extra Day 3"</formula>
    </cfRule>
    <cfRule type="expression" priority="480">
      <formula>MONTH($E$19)&lt;&gt;8</formula>
    </cfRule>
    <cfRule type="expression" dxfId="434" priority="479">
      <formula>C48="Operational (no students)"</formula>
    </cfRule>
    <cfRule type="expression" dxfId="433" priority="478">
      <formula>C48="Not Scheduled"</formula>
    </cfRule>
    <cfRule type="expression" dxfId="432" priority="477">
      <formula>C48="Closed (non-operational)"</formula>
    </cfRule>
    <cfRule type="expression" dxfId="431" priority="476">
      <formula>C48 = "Early Dismissal 3"</formula>
    </cfRule>
    <cfRule type="expression" dxfId="430" priority="475">
      <formula>C48 = "Early Dismissal 2"</formula>
    </cfRule>
    <cfRule type="expression" dxfId="429" priority="474">
      <formula>C48="Early Dismissal 1"</formula>
    </cfRule>
    <cfRule type="expression" dxfId="428" priority="473">
      <formula>C48="Extra Day 2"</formula>
    </cfRule>
    <cfRule type="expression" dxfId="427" priority="472">
      <formula>C48="Extra Day 1"</formula>
    </cfRule>
  </conditionalFormatting>
  <conditionalFormatting sqref="C50:G50">
    <cfRule type="expression" dxfId="426" priority="461">
      <formula>C50="Extra Day 3"</formula>
    </cfRule>
    <cfRule type="expression" priority="470">
      <formula>MONTH($E$19)&lt;&gt;8</formula>
    </cfRule>
    <cfRule type="expression" dxfId="425" priority="469">
      <formula>C50="Operational (no students)"</formula>
    </cfRule>
    <cfRule type="expression" dxfId="424" priority="468">
      <formula>C50="Not Scheduled"</formula>
    </cfRule>
    <cfRule type="expression" dxfId="423" priority="467">
      <formula>C50="Closed (non-operational)"</formula>
    </cfRule>
    <cfRule type="expression" dxfId="422" priority="466">
      <formula>C50 = "Early Dismissal 3"</formula>
    </cfRule>
    <cfRule type="expression" dxfId="421" priority="465">
      <formula>C50 = "Early Dismissal 2"</formula>
    </cfRule>
    <cfRule type="expression" dxfId="420" priority="464">
      <formula>C50="Early Dismissal 1"</formula>
    </cfRule>
    <cfRule type="expression" dxfId="419" priority="463">
      <formula>C50="Extra Day 2"</formula>
    </cfRule>
    <cfRule type="expression" dxfId="418" priority="462">
      <formula>C50="Extra Day 1"</formula>
    </cfRule>
  </conditionalFormatting>
  <conditionalFormatting sqref="C62:G62">
    <cfRule type="expression" priority="440">
      <formula>MONTH($E$19)&lt;&gt;8</formula>
    </cfRule>
    <cfRule type="expression" dxfId="417" priority="432">
      <formula>C62="Extra Day 1"</formula>
    </cfRule>
    <cfRule type="expression" dxfId="416" priority="431">
      <formula>C62="Extra Day 3"</formula>
    </cfRule>
    <cfRule type="expression" dxfId="415" priority="434">
      <formula>C62="Early Dismissal 1"</formula>
    </cfRule>
    <cfRule type="expression" dxfId="414" priority="435">
      <formula>C62 = "Early Dismissal 2"</formula>
    </cfRule>
    <cfRule type="expression" dxfId="413" priority="436">
      <formula>C62 = "Early Dismissal 3"</formula>
    </cfRule>
    <cfRule type="expression" dxfId="412" priority="437">
      <formula>C62="Closed (non-operational)"</formula>
    </cfRule>
    <cfRule type="expression" dxfId="411" priority="438">
      <formula>C62="Not Scheduled"</formula>
    </cfRule>
    <cfRule type="expression" dxfId="410" priority="439">
      <formula>C62="Operational (no students)"</formula>
    </cfRule>
    <cfRule type="expression" dxfId="409" priority="433">
      <formula>C62="Extra Day 2"</formula>
    </cfRule>
  </conditionalFormatting>
  <conditionalFormatting sqref="C64:G64">
    <cfRule type="expression" dxfId="408" priority="414">
      <formula>C64="Early Dismissal 1"</formula>
    </cfRule>
    <cfRule type="expression" dxfId="407" priority="415">
      <formula>C64 = "Early Dismissal 2"</formula>
    </cfRule>
    <cfRule type="expression" dxfId="406" priority="416">
      <formula>C64 = "Early Dismissal 3"</formula>
    </cfRule>
    <cfRule type="expression" dxfId="405" priority="417">
      <formula>C64="Closed (non-operational)"</formula>
    </cfRule>
    <cfRule type="expression" dxfId="404" priority="418">
      <formula>C64="Not Scheduled"</formula>
    </cfRule>
    <cfRule type="expression" dxfId="403" priority="419">
      <formula>C64="Operational (no students)"</formula>
    </cfRule>
    <cfRule type="expression" priority="420">
      <formula>MONTH($E$19)&lt;&gt;8</formula>
    </cfRule>
    <cfRule type="expression" dxfId="402" priority="411">
      <formula>C64="Extra Day 3"</formula>
    </cfRule>
    <cfRule type="expression" dxfId="401" priority="413">
      <formula>C64="Extra Day 2"</formula>
    </cfRule>
    <cfRule type="expression" dxfId="400" priority="412">
      <formula>C64="Extra Day 1"</formula>
    </cfRule>
  </conditionalFormatting>
  <conditionalFormatting sqref="C66:G66">
    <cfRule type="expression" dxfId="399" priority="402">
      <formula>C66="Extra Day 1"</formula>
    </cfRule>
    <cfRule type="expression" priority="410">
      <formula>MONTH($E$19)&lt;&gt;8</formula>
    </cfRule>
    <cfRule type="expression" dxfId="398" priority="409">
      <formula>C66="Operational (no students)"</formula>
    </cfRule>
    <cfRule type="expression" dxfId="397" priority="408">
      <formula>C66="Not Scheduled"</formula>
    </cfRule>
    <cfRule type="expression" dxfId="396" priority="407">
      <formula>C66="Closed (non-operational)"</formula>
    </cfRule>
    <cfRule type="expression" dxfId="395" priority="406">
      <formula>C66 = "Early Dismissal 3"</formula>
    </cfRule>
    <cfRule type="expression" dxfId="394" priority="405">
      <formula>C66 = "Early Dismissal 2"</formula>
    </cfRule>
    <cfRule type="expression" dxfId="393" priority="404">
      <formula>C66="Early Dismissal 1"</formula>
    </cfRule>
    <cfRule type="expression" dxfId="392" priority="403">
      <formula>C66="Extra Day 2"</formula>
    </cfRule>
    <cfRule type="expression" dxfId="391" priority="401">
      <formula>C66="Extra Day 3"</formula>
    </cfRule>
  </conditionalFormatting>
  <conditionalFormatting sqref="C78:G78">
    <cfRule type="expression" dxfId="390" priority="387">
      <formula>C78="Closed (non-operational)"</formula>
    </cfRule>
    <cfRule type="expression" dxfId="389" priority="386">
      <formula>C78 = "Early Dismissal 3"</formula>
    </cfRule>
    <cfRule type="expression" dxfId="388" priority="385">
      <formula>C78 = "Early Dismissal 2"</formula>
    </cfRule>
    <cfRule type="expression" dxfId="387" priority="384">
      <formula>C78="Early Dismissal 1"</formula>
    </cfRule>
    <cfRule type="expression" dxfId="386" priority="383">
      <formula>C78="Extra Day 2"</formula>
    </cfRule>
    <cfRule type="expression" dxfId="385" priority="382">
      <formula>C78="Extra Day 1"</formula>
    </cfRule>
    <cfRule type="expression" dxfId="384" priority="381">
      <formula>C78="Extra Day 3"</formula>
    </cfRule>
    <cfRule type="expression" dxfId="383" priority="389">
      <formula>C78="Operational (no students)"</formula>
    </cfRule>
    <cfRule type="expression" priority="390">
      <formula>MONTH($E$19)&lt;&gt;8</formula>
    </cfRule>
    <cfRule type="expression" dxfId="382" priority="388">
      <formula>C78="Not Scheduled"</formula>
    </cfRule>
  </conditionalFormatting>
  <conditionalFormatting sqref="C80:G80">
    <cfRule type="expression" priority="370">
      <formula>MONTH($E$19)&lt;&gt;8</formula>
    </cfRule>
    <cfRule type="expression" dxfId="381" priority="364">
      <formula>C80="Early Dismissal 1"</formula>
    </cfRule>
    <cfRule type="expression" dxfId="380" priority="361">
      <formula>C80="Extra Day 3"</formula>
    </cfRule>
    <cfRule type="expression" dxfId="379" priority="362">
      <formula>C80="Extra Day 1"</formula>
    </cfRule>
    <cfRule type="expression" dxfId="378" priority="363">
      <formula>C80="Extra Day 2"</formula>
    </cfRule>
    <cfRule type="expression" dxfId="377" priority="365">
      <formula>C80 = "Early Dismissal 2"</formula>
    </cfRule>
    <cfRule type="expression" dxfId="376" priority="366">
      <formula>C80 = "Early Dismissal 3"</formula>
    </cfRule>
    <cfRule type="expression" dxfId="375" priority="367">
      <formula>C80="Closed (non-operational)"</formula>
    </cfRule>
    <cfRule type="expression" dxfId="374" priority="368">
      <formula>C80="Not Scheduled"</formula>
    </cfRule>
    <cfRule type="expression" dxfId="373" priority="369">
      <formula>C80="Operational (no students)"</formula>
    </cfRule>
  </conditionalFormatting>
  <conditionalFormatting sqref="C82:G82">
    <cfRule type="expression" priority="360">
      <formula>MONTH($E$19)&lt;&gt;8</formula>
    </cfRule>
    <cfRule type="expression" dxfId="372" priority="358">
      <formula>C82="Not Scheduled"</formula>
    </cfRule>
    <cfRule type="expression" dxfId="371" priority="357">
      <formula>C82="Closed (non-operational)"</formula>
    </cfRule>
    <cfRule type="expression" dxfId="370" priority="356">
      <formula>C82 = "Early Dismissal 3"</formula>
    </cfRule>
    <cfRule type="expression" dxfId="369" priority="355">
      <formula>C82 = "Early Dismissal 2"</formula>
    </cfRule>
    <cfRule type="expression" dxfId="368" priority="354">
      <formula>C82="Early Dismissal 1"</formula>
    </cfRule>
    <cfRule type="expression" dxfId="367" priority="353">
      <formula>C82="Extra Day 2"</formula>
    </cfRule>
    <cfRule type="expression" dxfId="366" priority="352">
      <formula>C82="Extra Day 1"</formula>
    </cfRule>
    <cfRule type="expression" dxfId="365" priority="351">
      <formula>C82="Extra Day 3"</formula>
    </cfRule>
    <cfRule type="expression" dxfId="364" priority="359">
      <formula>C82="Operational (no students)"</formula>
    </cfRule>
  </conditionalFormatting>
  <conditionalFormatting sqref="C84:G84">
    <cfRule type="expression" priority="350">
      <formula>MONTH($E$19)&lt;&gt;8</formula>
    </cfRule>
    <cfRule type="expression" dxfId="363" priority="341">
      <formula>C84="Extra Day 3"</formula>
    </cfRule>
    <cfRule type="expression" dxfId="362" priority="342">
      <formula>C84="Extra Day 1"</formula>
    </cfRule>
    <cfRule type="expression" dxfId="361" priority="343">
      <formula>C84="Extra Day 2"</formula>
    </cfRule>
    <cfRule type="expression" dxfId="360" priority="344">
      <formula>C84="Early Dismissal 1"</formula>
    </cfRule>
    <cfRule type="expression" dxfId="359" priority="345">
      <formula>C84 = "Early Dismissal 2"</formula>
    </cfRule>
    <cfRule type="expression" dxfId="358" priority="346">
      <formula>C84 = "Early Dismissal 3"</formula>
    </cfRule>
    <cfRule type="expression" dxfId="357" priority="347">
      <formula>C84="Closed (non-operational)"</formula>
    </cfRule>
    <cfRule type="expression" dxfId="356" priority="348">
      <formula>C84="Not Scheduled"</formula>
    </cfRule>
    <cfRule type="expression" dxfId="355" priority="349">
      <formula>C84="Operational (no students)"</formula>
    </cfRule>
  </conditionalFormatting>
  <conditionalFormatting sqref="C92:G92">
    <cfRule type="expression" dxfId="354" priority="334">
      <formula>C92="Early Dismissal 1"</formula>
    </cfRule>
    <cfRule type="expression" dxfId="353" priority="331">
      <formula>C92="Extra Day 3"</formula>
    </cfRule>
    <cfRule type="expression" dxfId="352" priority="332">
      <formula>C92="Extra Day 1"</formula>
    </cfRule>
    <cfRule type="expression" dxfId="351" priority="333">
      <formula>C92="Extra Day 2"</formula>
    </cfRule>
    <cfRule type="expression" dxfId="350" priority="335">
      <formula>C92 = "Early Dismissal 2"</formula>
    </cfRule>
    <cfRule type="expression" dxfId="349" priority="336">
      <formula>C92 = "Early Dismissal 3"</formula>
    </cfRule>
    <cfRule type="expression" dxfId="348" priority="337">
      <formula>C92="Closed (non-operational)"</formula>
    </cfRule>
    <cfRule type="expression" dxfId="347" priority="338">
      <formula>C92="Not Scheduled"</formula>
    </cfRule>
    <cfRule type="expression" dxfId="346" priority="339">
      <formula>C92="Operational (no students)"</formula>
    </cfRule>
    <cfRule type="expression" priority="340">
      <formula>MONTH($E$19)&lt;&gt;8</formula>
    </cfRule>
  </conditionalFormatting>
  <conditionalFormatting sqref="C94:G94">
    <cfRule type="expression" dxfId="345" priority="321">
      <formula>C94="Extra Day 3"</formula>
    </cfRule>
    <cfRule type="expression" dxfId="344" priority="329">
      <formula>C94="Operational (no students)"</formula>
    </cfRule>
    <cfRule type="expression" priority="330">
      <formula>MONTH($E$19)&lt;&gt;8</formula>
    </cfRule>
    <cfRule type="expression" dxfId="343" priority="328">
      <formula>C94="Not Scheduled"</formula>
    </cfRule>
    <cfRule type="expression" dxfId="342" priority="327">
      <formula>C94="Closed (non-operational)"</formula>
    </cfRule>
    <cfRule type="expression" dxfId="341" priority="326">
      <formula>C94 = "Early Dismissal 3"</formula>
    </cfRule>
    <cfRule type="expression" dxfId="340" priority="325">
      <formula>C94 = "Early Dismissal 2"</formula>
    </cfRule>
    <cfRule type="expression" dxfId="339" priority="324">
      <formula>C94="Early Dismissal 1"</formula>
    </cfRule>
    <cfRule type="expression" dxfId="338" priority="323">
      <formula>C94="Extra Day 2"</formula>
    </cfRule>
    <cfRule type="expression" dxfId="337" priority="322">
      <formula>C94="Extra Day 1"</formula>
    </cfRule>
  </conditionalFormatting>
  <conditionalFormatting sqref="C96:G96">
    <cfRule type="expression" priority="320">
      <formula>MONTH($E$19)&lt;&gt;8</formula>
    </cfRule>
    <cfRule type="expression" dxfId="336" priority="319">
      <formula>C96="Operational (no students)"</formula>
    </cfRule>
    <cfRule type="expression" dxfId="335" priority="318">
      <formula>C96="Not Scheduled"</formula>
    </cfRule>
    <cfRule type="expression" dxfId="334" priority="314">
      <formula>C96="Early Dismissal 1"</formula>
    </cfRule>
    <cfRule type="expression" dxfId="333" priority="316">
      <formula>C96 = "Early Dismissal 3"</formula>
    </cfRule>
    <cfRule type="expression" dxfId="332" priority="315">
      <formula>C96 = "Early Dismissal 2"</formula>
    </cfRule>
    <cfRule type="expression" dxfId="331" priority="317">
      <formula>C96="Closed (non-operational)"</formula>
    </cfRule>
    <cfRule type="expression" dxfId="330" priority="311">
      <formula>C96="Extra Day 3"</formula>
    </cfRule>
    <cfRule type="expression" dxfId="329" priority="312">
      <formula>C96="Extra Day 1"</formula>
    </cfRule>
    <cfRule type="expression" dxfId="328" priority="313">
      <formula>C96="Extra Day 2"</formula>
    </cfRule>
  </conditionalFormatting>
  <conditionalFormatting sqref="C98:G98">
    <cfRule type="expression" dxfId="327" priority="301">
      <formula>C98="Extra Day 3"</formula>
    </cfRule>
    <cfRule type="expression" dxfId="326" priority="302">
      <formula>C98="Extra Day 1"</formula>
    </cfRule>
    <cfRule type="expression" dxfId="325" priority="309">
      <formula>C98="Operational (no students)"</formula>
    </cfRule>
    <cfRule type="expression" dxfId="324" priority="303">
      <formula>C98="Extra Day 2"</formula>
    </cfRule>
    <cfRule type="expression" dxfId="323" priority="304">
      <formula>C98="Early Dismissal 1"</formula>
    </cfRule>
    <cfRule type="expression" dxfId="322" priority="305">
      <formula>C98 = "Early Dismissal 2"</formula>
    </cfRule>
    <cfRule type="expression" dxfId="321" priority="306">
      <formula>C98 = "Early Dismissal 3"</formula>
    </cfRule>
    <cfRule type="expression" dxfId="320" priority="307">
      <formula>C98="Closed (non-operational)"</formula>
    </cfRule>
    <cfRule type="expression" dxfId="319" priority="308">
      <formula>C98="Not Scheduled"</formula>
    </cfRule>
    <cfRule type="expression" priority="310">
      <formula>MONTH($E$19)&lt;&gt;8</formula>
    </cfRule>
  </conditionalFormatting>
  <conditionalFormatting sqref="C110:G110">
    <cfRule type="expression" dxfId="318" priority="279">
      <formula>C110="Operational (no students)"</formula>
    </cfRule>
    <cfRule type="expression" dxfId="317" priority="278">
      <formula>C110="Not Scheduled"</formula>
    </cfRule>
    <cfRule type="expression" dxfId="316" priority="277">
      <formula>C110="Closed (non-operational)"</formula>
    </cfRule>
    <cfRule type="expression" dxfId="315" priority="276">
      <formula>C110 = "Early Dismissal 3"</formula>
    </cfRule>
    <cfRule type="expression" dxfId="314" priority="274">
      <formula>C110="Early Dismissal 1"</formula>
    </cfRule>
    <cfRule type="expression" dxfId="313" priority="273">
      <formula>C110="Extra Day 2"</formula>
    </cfRule>
    <cfRule type="expression" dxfId="312" priority="272">
      <formula>C110="Extra Day 1"</formula>
    </cfRule>
    <cfRule type="expression" dxfId="311" priority="271">
      <formula>C110="Extra Day 3"</formula>
    </cfRule>
    <cfRule type="expression" dxfId="310" priority="275">
      <formula>C110 = "Early Dismissal 2"</formula>
    </cfRule>
    <cfRule type="expression" priority="280">
      <formula>MONTH($E$19)&lt;&gt;8</formula>
    </cfRule>
  </conditionalFormatting>
  <conditionalFormatting sqref="C112:G112">
    <cfRule type="expression" dxfId="309" priority="266">
      <formula>C112 = "Early Dismissal 3"</formula>
    </cfRule>
    <cfRule type="expression" priority="270">
      <formula>MONTH($E$19)&lt;&gt;8</formula>
    </cfRule>
    <cfRule type="expression" dxfId="308" priority="265">
      <formula>C112 = "Early Dismissal 2"</formula>
    </cfRule>
    <cfRule type="expression" dxfId="307" priority="263">
      <formula>C112="Extra Day 2"</formula>
    </cfRule>
    <cfRule type="expression" dxfId="306" priority="262">
      <formula>C112="Extra Day 1"</formula>
    </cfRule>
    <cfRule type="expression" dxfId="305" priority="269">
      <formula>C112="Operational (no students)"</formula>
    </cfRule>
    <cfRule type="expression" dxfId="304" priority="261">
      <formula>C112="Extra Day 3"</formula>
    </cfRule>
    <cfRule type="expression" dxfId="303" priority="264">
      <formula>C112="Early Dismissal 1"</formula>
    </cfRule>
    <cfRule type="expression" dxfId="302" priority="268">
      <formula>C112="Not Scheduled"</formula>
    </cfRule>
    <cfRule type="expression" dxfId="301" priority="267">
      <formula>C112="Closed (non-operational)"</formula>
    </cfRule>
  </conditionalFormatting>
  <conditionalFormatting sqref="C114:G114">
    <cfRule type="expression" dxfId="300" priority="251">
      <formula>C114="Extra Day 3"</formula>
    </cfRule>
    <cfRule type="expression" priority="260">
      <formula>MONTH($E$19)&lt;&gt;8</formula>
    </cfRule>
    <cfRule type="expression" dxfId="299" priority="252">
      <formula>C114="Extra Day 1"</formula>
    </cfRule>
    <cfRule type="expression" dxfId="298" priority="253">
      <formula>C114="Extra Day 2"</formula>
    </cfRule>
    <cfRule type="expression" dxfId="297" priority="254">
      <formula>C114="Early Dismissal 1"</formula>
    </cfRule>
    <cfRule type="expression" dxfId="296" priority="255">
      <formula>C114 = "Early Dismissal 2"</formula>
    </cfRule>
    <cfRule type="expression" dxfId="295" priority="256">
      <formula>C114 = "Early Dismissal 3"</formula>
    </cfRule>
    <cfRule type="expression" dxfId="294" priority="257">
      <formula>C114="Closed (non-operational)"</formula>
    </cfRule>
    <cfRule type="expression" dxfId="293" priority="258">
      <formula>C114="Not Scheduled"</formula>
    </cfRule>
    <cfRule type="expression" dxfId="292" priority="259">
      <formula>C114="Operational (no students)"</formula>
    </cfRule>
  </conditionalFormatting>
  <conditionalFormatting sqref="C126:G126">
    <cfRule type="expression" dxfId="291" priority="227">
      <formula>C126="Closed (non-operational)"</formula>
    </cfRule>
    <cfRule type="expression" priority="230">
      <formula>MONTH($E$19)&lt;&gt;8</formula>
    </cfRule>
    <cfRule type="expression" dxfId="290" priority="229">
      <formula>C126="Operational (no students)"</formula>
    </cfRule>
    <cfRule type="expression" dxfId="289" priority="228">
      <formula>C126="Not Scheduled"</formula>
    </cfRule>
    <cfRule type="expression" dxfId="288" priority="226">
      <formula>C126 = "Early Dismissal 3"</formula>
    </cfRule>
    <cfRule type="expression" dxfId="287" priority="224">
      <formula>C126="Early Dismissal 1"</formula>
    </cfRule>
    <cfRule type="expression" dxfId="286" priority="223">
      <formula>C126="Extra Day 2"</formula>
    </cfRule>
    <cfRule type="expression" dxfId="285" priority="222">
      <formula>C126="Extra Day 1"</formula>
    </cfRule>
    <cfRule type="expression" dxfId="284" priority="225">
      <formula>C126 = "Early Dismissal 2"</formula>
    </cfRule>
    <cfRule type="expression" dxfId="283" priority="221">
      <formula>C126="Extra Day 3"</formula>
    </cfRule>
  </conditionalFormatting>
  <conditionalFormatting sqref="C128:G128">
    <cfRule type="expression" dxfId="282" priority="216">
      <formula>C128 = "Early Dismissal 3"</formula>
    </cfRule>
    <cfRule type="expression" priority="220">
      <formula>MONTH($E$19)&lt;&gt;8</formula>
    </cfRule>
    <cfRule type="expression" dxfId="281" priority="219">
      <formula>C128="Operational (no students)"</formula>
    </cfRule>
    <cfRule type="expression" dxfId="280" priority="217">
      <formula>C128="Closed (non-operational)"</formula>
    </cfRule>
    <cfRule type="expression" dxfId="279" priority="218">
      <formula>C128="Not Scheduled"</formula>
    </cfRule>
    <cfRule type="expression" dxfId="278" priority="211">
      <formula>C128="Extra Day 3"</formula>
    </cfRule>
    <cfRule type="expression" dxfId="277" priority="212">
      <formula>C128="Extra Day 1"</formula>
    </cfRule>
    <cfRule type="expression" dxfId="276" priority="213">
      <formula>C128="Extra Day 2"</formula>
    </cfRule>
    <cfRule type="expression" dxfId="275" priority="214">
      <formula>C128="Early Dismissal 1"</formula>
    </cfRule>
    <cfRule type="expression" dxfId="274" priority="215">
      <formula>C128 = "Early Dismissal 2"</formula>
    </cfRule>
  </conditionalFormatting>
  <conditionalFormatting sqref="C130:G130">
    <cfRule type="expression" dxfId="273" priority="201">
      <formula>C130="Extra Day 3"</formula>
    </cfRule>
    <cfRule type="expression" dxfId="272" priority="202">
      <formula>C130="Extra Day 1"</formula>
    </cfRule>
    <cfRule type="expression" dxfId="271" priority="207">
      <formula>C130="Closed (non-operational)"</formula>
    </cfRule>
    <cfRule type="expression" dxfId="270" priority="203">
      <formula>C130="Extra Day 2"</formula>
    </cfRule>
    <cfRule type="expression" dxfId="269" priority="204">
      <formula>C130="Early Dismissal 1"</formula>
    </cfRule>
    <cfRule type="expression" dxfId="268" priority="205">
      <formula>C130 = "Early Dismissal 2"</formula>
    </cfRule>
    <cfRule type="expression" dxfId="267" priority="206">
      <formula>C130 = "Early Dismissal 3"</formula>
    </cfRule>
    <cfRule type="expression" dxfId="266" priority="208">
      <formula>C130="Not Scheduled"</formula>
    </cfRule>
    <cfRule type="expression" dxfId="265" priority="209">
      <formula>C130="Operational (no students)"</formula>
    </cfRule>
    <cfRule type="expression" priority="210">
      <formula>MONTH($E$19)&lt;&gt;8</formula>
    </cfRule>
  </conditionalFormatting>
  <conditionalFormatting sqref="C132:G132">
    <cfRule type="expression" dxfId="264" priority="198">
      <formula>C132="Not Scheduled"</formula>
    </cfRule>
    <cfRule type="expression" dxfId="263" priority="197">
      <formula>C132="Closed (non-operational)"</formula>
    </cfRule>
    <cfRule type="expression" dxfId="262" priority="192">
      <formula>C132="Extra Day 1"</formula>
    </cfRule>
    <cfRule type="expression" priority="200">
      <formula>MONTH($E$19)&lt;&gt;8</formula>
    </cfRule>
    <cfRule type="expression" dxfId="261" priority="191">
      <formula>C132="Extra Day 3"</formula>
    </cfRule>
    <cfRule type="expression" dxfId="260" priority="199">
      <formula>C132="Operational (no students)"</formula>
    </cfRule>
    <cfRule type="expression" dxfId="259" priority="193">
      <formula>C132="Extra Day 2"</formula>
    </cfRule>
    <cfRule type="expression" dxfId="258" priority="194">
      <formula>C132="Early Dismissal 1"</formula>
    </cfRule>
    <cfRule type="expression" dxfId="257" priority="195">
      <formula>C132 = "Early Dismissal 2"</formula>
    </cfRule>
    <cfRule type="expression" dxfId="256" priority="196">
      <formula>C132 = "Early Dismissal 3"</formula>
    </cfRule>
  </conditionalFormatting>
  <conditionalFormatting sqref="C140:G140">
    <cfRule type="expression" dxfId="255" priority="181">
      <formula>C140="Extra Day 3"</formula>
    </cfRule>
    <cfRule type="expression" dxfId="254" priority="182">
      <formula>C140="Extra Day 1"</formula>
    </cfRule>
    <cfRule type="expression" dxfId="253" priority="183">
      <formula>C140="Extra Day 2"</formula>
    </cfRule>
    <cfRule type="expression" dxfId="252" priority="185">
      <formula>C140 = "Early Dismissal 2"</formula>
    </cfRule>
    <cfRule type="expression" dxfId="251" priority="189">
      <formula>C140="Operational (no students)"</formula>
    </cfRule>
    <cfRule type="expression" dxfId="250" priority="188">
      <formula>C140="Not Scheduled"</formula>
    </cfRule>
    <cfRule type="expression" dxfId="249" priority="187">
      <formula>C140="Closed (non-operational)"</formula>
    </cfRule>
    <cfRule type="expression" dxfId="248" priority="186">
      <formula>C140 = "Early Dismissal 3"</formula>
    </cfRule>
    <cfRule type="expression" dxfId="247" priority="184">
      <formula>C140="Early Dismissal 1"</formula>
    </cfRule>
    <cfRule type="expression" priority="190">
      <formula>MONTH($E$19)&lt;&gt;8</formula>
    </cfRule>
  </conditionalFormatting>
  <conditionalFormatting sqref="C142:G142">
    <cfRule type="expression" dxfId="246" priority="174">
      <formula>C142="Early Dismissal 1"</formula>
    </cfRule>
    <cfRule type="expression" dxfId="245" priority="175">
      <formula>C142 = "Early Dismissal 2"</formula>
    </cfRule>
    <cfRule type="expression" dxfId="244" priority="176">
      <formula>C142 = "Early Dismissal 3"</formula>
    </cfRule>
    <cfRule type="expression" dxfId="243" priority="177">
      <formula>C142="Closed (non-operational)"</formula>
    </cfRule>
    <cfRule type="expression" dxfId="242" priority="178">
      <formula>C142="Not Scheduled"</formula>
    </cfRule>
    <cfRule type="expression" dxfId="241" priority="179">
      <formula>C142="Operational (no students)"</formula>
    </cfRule>
    <cfRule type="expression" priority="180">
      <formula>MONTH($E$19)&lt;&gt;8</formula>
    </cfRule>
    <cfRule type="expression" dxfId="240" priority="171">
      <formula>C142="Extra Day 3"</formula>
    </cfRule>
    <cfRule type="expression" dxfId="239" priority="172">
      <formula>C142="Extra Day 1"</formula>
    </cfRule>
    <cfRule type="expression" dxfId="238" priority="173">
      <formula>C142="Extra Day 2"</formula>
    </cfRule>
  </conditionalFormatting>
  <conditionalFormatting sqref="C144:G144">
    <cfRule type="expression" dxfId="237" priority="167">
      <formula>C144="Closed (non-operational)"</formula>
    </cfRule>
    <cfRule type="expression" dxfId="236" priority="168">
      <formula>C144="Not Scheduled"</formula>
    </cfRule>
    <cfRule type="expression" priority="170">
      <formula>MONTH($E$19)&lt;&gt;8</formula>
    </cfRule>
    <cfRule type="expression" dxfId="235" priority="169">
      <formula>C144="Operational (no students)"</formula>
    </cfRule>
    <cfRule type="expression" dxfId="234" priority="166">
      <formula>C144 = "Early Dismissal 3"</formula>
    </cfRule>
    <cfRule type="expression" dxfId="233" priority="165">
      <formula>C144 = "Early Dismissal 2"</formula>
    </cfRule>
    <cfRule type="expression" dxfId="232" priority="164">
      <formula>C144="Early Dismissal 1"</formula>
    </cfRule>
    <cfRule type="expression" dxfId="231" priority="163">
      <formula>C144="Extra Day 2"</formula>
    </cfRule>
    <cfRule type="expression" dxfId="230" priority="162">
      <formula>C144="Extra Day 1"</formula>
    </cfRule>
    <cfRule type="expression" dxfId="229" priority="161">
      <formula>C144="Extra Day 3"</formula>
    </cfRule>
  </conditionalFormatting>
  <conditionalFormatting sqref="C146:G146">
    <cfRule type="expression" dxfId="228" priority="154">
      <formula>C146="Early Dismissal 1"</formula>
    </cfRule>
    <cfRule type="expression" dxfId="227" priority="153">
      <formula>C146="Extra Day 2"</formula>
    </cfRule>
    <cfRule type="expression" dxfId="226" priority="151">
      <formula>C146="Extra Day 3"</formula>
    </cfRule>
    <cfRule type="expression" dxfId="225" priority="152">
      <formula>C146="Extra Day 1"</formula>
    </cfRule>
    <cfRule type="expression" dxfId="224" priority="155">
      <formula>C146 = "Early Dismissal 2"</formula>
    </cfRule>
    <cfRule type="expression" dxfId="223" priority="156">
      <formula>C146 = "Early Dismissal 3"</formula>
    </cfRule>
    <cfRule type="expression" dxfId="222" priority="157">
      <formula>C146="Closed (non-operational)"</formula>
    </cfRule>
    <cfRule type="expression" dxfId="221" priority="158">
      <formula>C146="Not Scheduled"</formula>
    </cfRule>
    <cfRule type="expression" dxfId="220" priority="159">
      <formula>C146="Operational (no students)"</formula>
    </cfRule>
    <cfRule type="expression" priority="160">
      <formula>MONTH($E$19)&lt;&gt;8</formula>
    </cfRule>
  </conditionalFormatting>
  <conditionalFormatting sqref="C158:G158">
    <cfRule type="expression" dxfId="219" priority="123">
      <formula>C158="Extra Day 2"</formula>
    </cfRule>
    <cfRule type="expression" dxfId="218" priority="125">
      <formula>C158 = "Early Dismissal 2"</formula>
    </cfRule>
    <cfRule type="expression" dxfId="217" priority="126">
      <formula>C158 = "Early Dismissal 3"</formula>
    </cfRule>
    <cfRule type="expression" dxfId="216" priority="124">
      <formula>C158="Early Dismissal 1"</formula>
    </cfRule>
    <cfRule type="expression" dxfId="215" priority="127">
      <formula>C158="Closed (non-operational)"</formula>
    </cfRule>
    <cfRule type="expression" dxfId="214" priority="128">
      <formula>C158="Not Scheduled"</formula>
    </cfRule>
    <cfRule type="expression" dxfId="213" priority="129">
      <formula>C158="Operational (no students)"</formula>
    </cfRule>
    <cfRule type="expression" priority="130">
      <formula>MONTH($E$19)&lt;&gt;8</formula>
    </cfRule>
    <cfRule type="expression" dxfId="212" priority="121">
      <formula>C158="Extra Day 3"</formula>
    </cfRule>
    <cfRule type="expression" dxfId="211" priority="122">
      <formula>C158="Extra Day 1"</formula>
    </cfRule>
  </conditionalFormatting>
  <conditionalFormatting sqref="C160:G160">
    <cfRule type="expression" dxfId="210" priority="111">
      <formula>C160="Extra Day 3"</formula>
    </cfRule>
    <cfRule type="expression" dxfId="209" priority="112">
      <formula>C160="Extra Day 1"</formula>
    </cfRule>
    <cfRule type="expression" dxfId="208" priority="113">
      <formula>C160="Extra Day 2"</formula>
    </cfRule>
    <cfRule type="expression" dxfId="207" priority="114">
      <formula>C160="Early Dismissal 1"</formula>
    </cfRule>
    <cfRule type="expression" dxfId="206" priority="115">
      <formula>C160 = "Early Dismissal 2"</formula>
    </cfRule>
    <cfRule type="expression" dxfId="205" priority="116">
      <formula>C160 = "Early Dismissal 3"</formula>
    </cfRule>
    <cfRule type="expression" dxfId="204" priority="117">
      <formula>C160="Closed (non-operational)"</formula>
    </cfRule>
    <cfRule type="expression" dxfId="203" priority="118">
      <formula>C160="Not Scheduled"</formula>
    </cfRule>
    <cfRule type="expression" dxfId="202" priority="119">
      <formula>C160="Operational (no students)"</formula>
    </cfRule>
    <cfRule type="expression" priority="120">
      <formula>MONTH($E$19)&lt;&gt;8</formula>
    </cfRule>
  </conditionalFormatting>
  <conditionalFormatting sqref="C162:G162">
    <cfRule type="expression" dxfId="201" priority="109">
      <formula>C162="Operational (no students)"</formula>
    </cfRule>
    <cfRule type="expression" dxfId="200" priority="105">
      <formula>C162 = "Early Dismissal 2"</formula>
    </cfRule>
    <cfRule type="expression" priority="110">
      <formula>MONTH($E$19)&lt;&gt;8</formula>
    </cfRule>
    <cfRule type="expression" dxfId="199" priority="108">
      <formula>C162="Not Scheduled"</formula>
    </cfRule>
    <cfRule type="expression" dxfId="198" priority="107">
      <formula>C162="Closed (non-operational)"</formula>
    </cfRule>
    <cfRule type="expression" dxfId="197" priority="104">
      <formula>C162="Early Dismissal 1"</formula>
    </cfRule>
    <cfRule type="expression" dxfId="196" priority="106">
      <formula>C162 = "Early Dismissal 3"</formula>
    </cfRule>
    <cfRule type="expression" dxfId="195" priority="101">
      <formula>C162="Extra Day 3"</formula>
    </cfRule>
    <cfRule type="expression" dxfId="194" priority="102">
      <formula>C162="Extra Day 1"</formula>
    </cfRule>
    <cfRule type="expression" dxfId="193" priority="103">
      <formula>C162="Extra Day 2"</formula>
    </cfRule>
  </conditionalFormatting>
  <conditionalFormatting sqref="C164:G164">
    <cfRule type="expression" dxfId="192" priority="96">
      <formula>C164 = "Early Dismissal 3"</formula>
    </cfRule>
    <cfRule type="expression" dxfId="191" priority="95">
      <formula>C164 = "Early Dismissal 2"</formula>
    </cfRule>
    <cfRule type="expression" dxfId="190" priority="97">
      <formula>C164="Closed (non-operational)"</formula>
    </cfRule>
    <cfRule type="expression" dxfId="189" priority="94">
      <formula>C164="Early Dismissal 1"</formula>
    </cfRule>
    <cfRule type="expression" dxfId="188" priority="93">
      <formula>C164="Extra Day 2"</formula>
    </cfRule>
    <cfRule type="expression" dxfId="187" priority="92">
      <formula>C164="Extra Day 1"</formula>
    </cfRule>
    <cfRule type="expression" dxfId="186" priority="91">
      <formula>C164="Extra Day 3"</formula>
    </cfRule>
    <cfRule type="expression" priority="100">
      <formula>MONTH($E$19)&lt;&gt;8</formula>
    </cfRule>
    <cfRule type="expression" dxfId="185" priority="99">
      <formula>C164="Operational (no students)"</formula>
    </cfRule>
    <cfRule type="expression" dxfId="184" priority="98">
      <formula>C164="Not Scheduled"</formula>
    </cfRule>
  </conditionalFormatting>
  <conditionalFormatting sqref="C174:G174">
    <cfRule type="expression" dxfId="183" priority="83">
      <formula>C174="Extra Day 2"</formula>
    </cfRule>
    <cfRule type="expression" priority="90">
      <formula>MONTH($E$19)&lt;&gt;8</formula>
    </cfRule>
    <cfRule type="expression" dxfId="182" priority="89">
      <formula>C174="Operational (no students)"</formula>
    </cfRule>
    <cfRule type="expression" dxfId="181" priority="88">
      <formula>C174="Not Scheduled"</formula>
    </cfRule>
    <cfRule type="expression" dxfId="180" priority="86">
      <formula>C174 = "Early Dismissal 3"</formula>
    </cfRule>
    <cfRule type="expression" dxfId="179" priority="85">
      <formula>C174 = "Early Dismissal 2"</formula>
    </cfRule>
    <cfRule type="expression" dxfId="178" priority="84">
      <formula>C174="Early Dismissal 1"</formula>
    </cfRule>
    <cfRule type="expression" dxfId="177" priority="82">
      <formula>C174="Extra Day 1"</formula>
    </cfRule>
    <cfRule type="expression" dxfId="176" priority="81">
      <formula>C174="Extra Day 3"</formula>
    </cfRule>
    <cfRule type="expression" dxfId="175" priority="87">
      <formula>C174="Closed (non-operational)"</formula>
    </cfRule>
  </conditionalFormatting>
  <conditionalFormatting sqref="C176:G176">
    <cfRule type="expression" dxfId="174" priority="77">
      <formula>C176="Closed (non-operational)"</formula>
    </cfRule>
    <cfRule type="expression" dxfId="173" priority="78">
      <formula>C176="Not Scheduled"</formula>
    </cfRule>
    <cfRule type="expression" dxfId="172" priority="79">
      <formula>C176="Operational (no students)"</formula>
    </cfRule>
    <cfRule type="expression" priority="80">
      <formula>MONTH($E$19)&lt;&gt;8</formula>
    </cfRule>
    <cfRule type="expression" dxfId="171" priority="76">
      <formula>C176 = "Early Dismissal 3"</formula>
    </cfRule>
    <cfRule type="expression" dxfId="170" priority="75">
      <formula>C176 = "Early Dismissal 2"</formula>
    </cfRule>
    <cfRule type="expression" dxfId="169" priority="74">
      <formula>C176="Early Dismissal 1"</formula>
    </cfRule>
    <cfRule type="expression" dxfId="168" priority="73">
      <formula>C176="Extra Day 2"</formula>
    </cfRule>
    <cfRule type="expression" dxfId="167" priority="72">
      <formula>C176="Extra Day 1"</formula>
    </cfRule>
    <cfRule type="expression" dxfId="166" priority="71">
      <formula>C176="Extra Day 3"</formula>
    </cfRule>
  </conditionalFormatting>
  <conditionalFormatting sqref="C178:G178">
    <cfRule type="expression" dxfId="165" priority="65">
      <formula>C178 = "Early Dismissal 2"</formula>
    </cfRule>
    <cfRule type="expression" priority="70">
      <formula>MONTH($E$19)&lt;&gt;8</formula>
    </cfRule>
    <cfRule type="expression" dxfId="164" priority="69">
      <formula>C178="Operational (no students)"</formula>
    </cfRule>
    <cfRule type="expression" dxfId="163" priority="68">
      <formula>C178="Not Scheduled"</formula>
    </cfRule>
    <cfRule type="expression" dxfId="162" priority="67">
      <formula>C178="Closed (non-operational)"</formula>
    </cfRule>
    <cfRule type="expression" dxfId="161" priority="66">
      <formula>C178 = "Early Dismissal 3"</formula>
    </cfRule>
    <cfRule type="expression" dxfId="160" priority="64">
      <formula>C178="Early Dismissal 1"</formula>
    </cfRule>
    <cfRule type="expression" dxfId="159" priority="63">
      <formula>C178="Extra Day 2"</formula>
    </cfRule>
    <cfRule type="expression" dxfId="158" priority="62">
      <formula>C178="Extra Day 1"</formula>
    </cfRule>
    <cfRule type="expression" dxfId="157" priority="61">
      <formula>C178="Extra Day 3"</formula>
    </cfRule>
  </conditionalFormatting>
  <conditionalFormatting sqref="C180:G180">
    <cfRule type="expression" dxfId="156" priority="52">
      <formula>C180="Extra Day 1"</formula>
    </cfRule>
    <cfRule type="expression" dxfId="155" priority="51">
      <formula>C180="Extra Day 3"</formula>
    </cfRule>
    <cfRule type="expression" dxfId="154" priority="59">
      <formula>C180="Operational (no students)"</formula>
    </cfRule>
    <cfRule type="expression" dxfId="153" priority="53">
      <formula>C180="Extra Day 2"</formula>
    </cfRule>
    <cfRule type="expression" dxfId="152" priority="54">
      <formula>C180="Early Dismissal 1"</formula>
    </cfRule>
    <cfRule type="expression" dxfId="151" priority="55">
      <formula>C180 = "Early Dismissal 2"</formula>
    </cfRule>
    <cfRule type="expression" dxfId="150" priority="56">
      <formula>C180 = "Early Dismissal 3"</formula>
    </cfRule>
    <cfRule type="expression" priority="60">
      <formula>MONTH($E$19)&lt;&gt;8</formula>
    </cfRule>
    <cfRule type="expression" dxfId="149" priority="57">
      <formula>C180="Closed (non-operational)"</formula>
    </cfRule>
    <cfRule type="expression" dxfId="148" priority="58">
      <formula>C180="Not Scheduled"</formula>
    </cfRule>
  </conditionalFormatting>
  <conditionalFormatting sqref="C188:G188">
    <cfRule type="expression" dxfId="147" priority="43">
      <formula>C188="Extra Day 2"</formula>
    </cfRule>
    <cfRule type="expression" priority="50">
      <formula>MONTH($E$19)&lt;&gt;8</formula>
    </cfRule>
    <cfRule type="expression" dxfId="146" priority="42">
      <formula>C188="Extra Day 1"</formula>
    </cfRule>
    <cfRule type="expression" dxfId="145" priority="44">
      <formula>C188="Early Dismissal 1"</formula>
    </cfRule>
    <cfRule type="expression" dxfId="144" priority="45">
      <formula>C188 = "Early Dismissal 2"</formula>
    </cfRule>
    <cfRule type="expression" dxfId="143" priority="46">
      <formula>C188 = "Early Dismissal 3"</formula>
    </cfRule>
    <cfRule type="expression" dxfId="142" priority="47">
      <formula>C188="Closed (non-operational)"</formula>
    </cfRule>
    <cfRule type="expression" dxfId="141" priority="48">
      <formula>C188="Not Scheduled"</formula>
    </cfRule>
    <cfRule type="expression" dxfId="140" priority="49">
      <formula>C188="Operational (no students)"</formula>
    </cfRule>
    <cfRule type="expression" dxfId="139" priority="41">
      <formula>C188="Extra Day 3"</formula>
    </cfRule>
  </conditionalFormatting>
  <conditionalFormatting sqref="C190:G190">
    <cfRule type="expression" priority="40">
      <formula>MONTH($E$19)&lt;&gt;8</formula>
    </cfRule>
    <cfRule type="expression" dxfId="138" priority="34">
      <formula>C190="Early Dismissal 1"</formula>
    </cfRule>
    <cfRule type="expression" dxfId="137" priority="35">
      <formula>C190 = "Early Dismissal 2"</formula>
    </cfRule>
    <cfRule type="expression" dxfId="136" priority="38">
      <formula>C190="Not Scheduled"</formula>
    </cfRule>
    <cfRule type="expression" dxfId="135" priority="37">
      <formula>C190="Closed (non-operational)"</formula>
    </cfRule>
    <cfRule type="expression" dxfId="134" priority="36">
      <formula>C190 = "Early Dismissal 3"</formula>
    </cfRule>
    <cfRule type="expression" dxfId="133" priority="33">
      <formula>C190="Extra Day 2"</formula>
    </cfRule>
    <cfRule type="expression" dxfId="132" priority="32">
      <formula>C190="Extra Day 1"</formula>
    </cfRule>
    <cfRule type="expression" dxfId="131" priority="31">
      <formula>C190="Extra Day 3"</formula>
    </cfRule>
    <cfRule type="expression" dxfId="130" priority="39">
      <formula>C190="Operational (no students)"</formula>
    </cfRule>
  </conditionalFormatting>
  <conditionalFormatting sqref="C192:G192">
    <cfRule type="expression" dxfId="129" priority="22">
      <formula>C192="Extra Day 1"</formula>
    </cfRule>
    <cfRule type="expression" dxfId="128" priority="23">
      <formula>C192="Extra Day 2"</formula>
    </cfRule>
    <cfRule type="expression" dxfId="127" priority="24">
      <formula>C192="Early Dismissal 1"</formula>
    </cfRule>
    <cfRule type="expression" dxfId="126" priority="25">
      <formula>C192 = "Early Dismissal 2"</formula>
    </cfRule>
    <cfRule type="expression" dxfId="125" priority="26">
      <formula>C192 = "Early Dismissal 3"</formula>
    </cfRule>
    <cfRule type="expression" dxfId="124" priority="27">
      <formula>C192="Closed (non-operational)"</formula>
    </cfRule>
    <cfRule type="expression" dxfId="123" priority="28">
      <formula>C192="Not Scheduled"</formula>
    </cfRule>
    <cfRule type="expression" dxfId="122" priority="29">
      <formula>C192="Operational (no students)"</formula>
    </cfRule>
    <cfRule type="expression" dxfId="121" priority="21">
      <formula>C192="Extra Day 3"</formula>
    </cfRule>
    <cfRule type="expression" priority="30">
      <formula>MONTH($E$19)&lt;&gt;8</formula>
    </cfRule>
  </conditionalFormatting>
  <conditionalFormatting sqref="C194:G194">
    <cfRule type="expression" priority="20">
      <formula>MONTH($E$19)&lt;&gt;8</formula>
    </cfRule>
    <cfRule type="expression" dxfId="120" priority="11">
      <formula>C194="Extra Day 3"</formula>
    </cfRule>
    <cfRule type="expression" dxfId="119" priority="12">
      <formula>C194="Extra Day 1"</formula>
    </cfRule>
    <cfRule type="expression" dxfId="118" priority="13">
      <formula>C194="Extra Day 2"</formula>
    </cfRule>
    <cfRule type="expression" dxfId="117" priority="14">
      <formula>C194="Early Dismissal 1"</formula>
    </cfRule>
    <cfRule type="expression" dxfId="116" priority="15">
      <formula>C194 = "Early Dismissal 2"</formula>
    </cfRule>
    <cfRule type="expression" dxfId="115" priority="16">
      <formula>C194 = "Early Dismissal 3"</formula>
    </cfRule>
    <cfRule type="expression" dxfId="114" priority="17">
      <formula>C194="Closed (non-operational)"</formula>
    </cfRule>
    <cfRule type="expression" dxfId="113" priority="18">
      <formula>C194="Not Scheduled"</formula>
    </cfRule>
    <cfRule type="expression" dxfId="112" priority="19">
      <formula>C194="Operational (no students)"</formula>
    </cfRule>
  </conditionalFormatting>
  <conditionalFormatting sqref="D28">
    <cfRule type="expression" dxfId="111" priority="813">
      <formula>MONTH($D$27)&lt;&gt;MONTH(DATE(Calendar1Year,_xlfn.SINGLE(Calendar1MonthOption)+1,1))</formula>
    </cfRule>
  </conditionalFormatting>
  <conditionalFormatting sqref="D60">
    <cfRule type="expression" dxfId="110" priority="784">
      <formula>MONTH($D$59)&lt;&gt;Calendar4MonthOption</formula>
    </cfRule>
  </conditionalFormatting>
  <conditionalFormatting sqref="D76">
    <cfRule type="expression" dxfId="109" priority="769">
      <formula>MONTH($D$75)&lt;&gt;Calendar5MonthOption</formula>
    </cfRule>
  </conditionalFormatting>
  <conditionalFormatting sqref="D124">
    <cfRule type="expression" dxfId="108" priority="724">
      <formula>MONTH($D$123)&lt;&gt;Calendar8MonthOption</formula>
    </cfRule>
  </conditionalFormatting>
  <conditionalFormatting sqref="D156">
    <cfRule type="expression" dxfId="107" priority="695">
      <formula>MONTH($D$155)&lt;&gt;Calendar10MonthOption</formula>
    </cfRule>
  </conditionalFormatting>
  <conditionalFormatting sqref="D172">
    <cfRule type="expression" dxfId="106" priority="682">
      <formula>MONTH($D$171)&lt;&gt;Calendar11MonthOption</formula>
    </cfRule>
  </conditionalFormatting>
  <conditionalFormatting sqref="D12:G12">
    <cfRule type="expression" dxfId="105" priority="585">
      <formula>D12="Not Scheduled"</formula>
    </cfRule>
    <cfRule type="expression" dxfId="104" priority="584">
      <formula>D12="Closed (non-operational)"</formula>
    </cfRule>
    <cfRule type="expression" dxfId="103" priority="583">
      <formula>D12 = "Early Dismissal 3"</formula>
    </cfRule>
    <cfRule type="expression" dxfId="102" priority="582">
      <formula>D12 = "Early Dismissal 2"</formula>
    </cfRule>
    <cfRule type="expression" dxfId="101" priority="580">
      <formula>D12="Extra Day 2"</formula>
    </cfRule>
    <cfRule type="expression" dxfId="100" priority="581">
      <formula>D12="Early Dismissal 1"</formula>
    </cfRule>
    <cfRule type="expression" dxfId="99" priority="579">
      <formula>D12="Extra Day 1"</formula>
    </cfRule>
    <cfRule type="expression" dxfId="98" priority="578">
      <formula>D12="Extra Day 3"</formula>
    </cfRule>
    <cfRule type="expression" priority="587">
      <formula>MONTH($E$19)&lt;&gt;8</formula>
    </cfRule>
    <cfRule type="expression" dxfId="97" priority="586">
      <formula>D12="Operational (no students)"</formula>
    </cfRule>
  </conditionalFormatting>
  <conditionalFormatting sqref="E28">
    <cfRule type="expression" dxfId="96" priority="812">
      <formula>MONTH($E$27)&lt;&gt;MONTH(DATE(Calendar1Year,_xlfn.SINGLE(Calendar1MonthOption)+1,1))</formula>
    </cfRule>
  </conditionalFormatting>
  <conditionalFormatting sqref="E76">
    <cfRule type="expression" dxfId="95" priority="767">
      <formula>MONTH($E$75)&lt;&gt;Calendar5MonthOption</formula>
    </cfRule>
  </conditionalFormatting>
  <conditionalFormatting sqref="E124">
    <cfRule type="expression" dxfId="94" priority="723">
      <formula>MONTH($E$123)&lt;&gt;Calendar8MonthOption</formula>
    </cfRule>
  </conditionalFormatting>
  <conditionalFormatting sqref="E148">
    <cfRule type="expression" dxfId="93" priority="705">
      <formula>MONTH($E$147)&lt;&gt;Calendar9MonthOption</formula>
    </cfRule>
  </conditionalFormatting>
  <conditionalFormatting sqref="E172">
    <cfRule type="expression" dxfId="92" priority="681">
      <formula>MONTH($E$171)&lt;&gt;Calendar11MonthOption</formula>
    </cfRule>
  </conditionalFormatting>
  <conditionalFormatting sqref="E52:G52">
    <cfRule type="expression" dxfId="91" priority="825">
      <formula>MONTH($E$51)&lt;&gt;MONTH(DATE(Calendar2Year,_xlfn.SINGLE(Calendar2MonthOption)+1,1))</formula>
    </cfRule>
  </conditionalFormatting>
  <conditionalFormatting sqref="E60:G60">
    <cfRule type="expression" dxfId="90" priority="424">
      <formula>E60="Early Dismissal 1"</formula>
    </cfRule>
    <cfRule type="expression" priority="430">
      <formula>MONTH($E$19)&lt;&gt;8</formula>
    </cfRule>
    <cfRule type="expression" dxfId="89" priority="429">
      <formula>E60="Operational (no students)"</formula>
    </cfRule>
    <cfRule type="expression" dxfId="88" priority="428">
      <formula>E60="Not Scheduled"</formula>
    </cfRule>
    <cfRule type="expression" dxfId="87" priority="427">
      <formula>E60="Closed (non-operational)"</formula>
    </cfRule>
    <cfRule type="expression" dxfId="86" priority="426">
      <formula>E60 = "Early Dismissal 3"</formula>
    </cfRule>
    <cfRule type="expression" dxfId="85" priority="425">
      <formula>E60 = "Early Dismissal 2"</formula>
    </cfRule>
    <cfRule type="expression" dxfId="84" priority="423">
      <formula>E60="Extra Day 2"</formula>
    </cfRule>
    <cfRule type="expression" dxfId="83" priority="422">
      <formula>E60="Extra Day 1"</formula>
    </cfRule>
    <cfRule type="expression" dxfId="82" priority="421">
      <formula>E60="Extra Day 3"</formula>
    </cfRule>
  </conditionalFormatting>
  <conditionalFormatting sqref="E156:G156">
    <cfRule type="expression" dxfId="81" priority="132">
      <formula>E156="Extra Day 1"</formula>
    </cfRule>
    <cfRule type="expression" dxfId="80" priority="137">
      <formula>E156="Closed (non-operational)"</formula>
    </cfRule>
    <cfRule type="expression" dxfId="79" priority="134">
      <formula>E156="Early Dismissal 1"</formula>
    </cfRule>
    <cfRule type="expression" dxfId="78" priority="138">
      <formula>E156="Not Scheduled"</formula>
    </cfRule>
    <cfRule type="expression" priority="140">
      <formula>MONTH($E$19)&lt;&gt;8</formula>
    </cfRule>
    <cfRule type="expression" dxfId="77" priority="133">
      <formula>E156="Extra Day 2"</formula>
    </cfRule>
    <cfRule type="expression" dxfId="76" priority="135">
      <formula>E156 = "Early Dismissal 2"</formula>
    </cfRule>
    <cfRule type="expression" dxfId="75" priority="136">
      <formula>E156 = "Early Dismissal 3"</formula>
    </cfRule>
    <cfRule type="expression" dxfId="74" priority="139">
      <formula>E156="Operational (no students)"</formula>
    </cfRule>
    <cfRule type="expression" dxfId="73" priority="131">
      <formula>E156="Extra Day 3"</formula>
    </cfRule>
  </conditionalFormatting>
  <conditionalFormatting sqref="F28">
    <cfRule type="expression" dxfId="72" priority="810">
      <formula>MONTH($F$27)&lt;&gt;MONTH(DATE(Calendar1Year,_xlfn.SINGLE(Calendar1MonthOption)+1,1))</formula>
    </cfRule>
  </conditionalFormatting>
  <conditionalFormatting sqref="F76">
    <cfRule type="expression" dxfId="71" priority="766">
      <formula>MONTH($F$75)&lt;&gt;Calendar5MonthOption</formula>
    </cfRule>
  </conditionalFormatting>
  <conditionalFormatting sqref="F124">
    <cfRule type="expression" dxfId="70" priority="722">
      <formula>MONTH($F$123)&lt;&gt;Calendar8MonthOption</formula>
    </cfRule>
  </conditionalFormatting>
  <conditionalFormatting sqref="F148">
    <cfRule type="expression" dxfId="69" priority="702">
      <formula>MONTH($F$147)&lt;&gt;Calendar9MonthOption</formula>
    </cfRule>
  </conditionalFormatting>
  <conditionalFormatting sqref="F172">
    <cfRule type="expression" dxfId="68" priority="680">
      <formula>MONTH($F$171)&lt;&gt;Calendar11MonthOption</formula>
    </cfRule>
  </conditionalFormatting>
  <conditionalFormatting sqref="F196">
    <cfRule type="expression" dxfId="67" priority="663">
      <formula>MONTH($F$195)&lt;&gt;Calendar12MonthOption</formula>
    </cfRule>
  </conditionalFormatting>
  <conditionalFormatting sqref="F100:G100">
    <cfRule type="expression" dxfId="66" priority="746">
      <formula>MONTH($F$99)&lt;&gt;Calendar6MonthOption</formula>
    </cfRule>
  </conditionalFormatting>
  <conditionalFormatting sqref="F108:G108">
    <cfRule type="expression" dxfId="65" priority="281">
      <formula>F108="Extra Day 3"</formula>
    </cfRule>
    <cfRule type="expression" dxfId="64" priority="289">
      <formula>F108="Operational (no students)"</formula>
    </cfRule>
    <cfRule type="expression" dxfId="63" priority="288">
      <formula>F108="Not Scheduled"</formula>
    </cfRule>
    <cfRule type="expression" dxfId="62" priority="283">
      <formula>F108="Extra Day 2"</formula>
    </cfRule>
    <cfRule type="expression" priority="290">
      <formula>MONTH($E$19)&lt;&gt;8</formula>
    </cfRule>
    <cfRule type="expression" dxfId="61" priority="287">
      <formula>F108="Closed (non-operational)"</formula>
    </cfRule>
    <cfRule type="expression" dxfId="60" priority="286">
      <formula>F108 = "Early Dismissal 3"</formula>
    </cfRule>
    <cfRule type="expression" dxfId="59" priority="282">
      <formula>F108="Extra Day 1"</formula>
    </cfRule>
    <cfRule type="expression" dxfId="58" priority="285">
      <formula>F108 = "Early Dismissal 2"</formula>
    </cfRule>
    <cfRule type="expression" dxfId="57" priority="284">
      <formula>F108="Early Dismissal 1"</formula>
    </cfRule>
  </conditionalFormatting>
  <conditionalFormatting sqref="G20">
    <cfRule type="expression" dxfId="56" priority="822">
      <formula>MONTH($G$19)&lt;&gt;8</formula>
    </cfRule>
  </conditionalFormatting>
  <conditionalFormatting sqref="G28">
    <cfRule type="expression" dxfId="55" priority="544">
      <formula>G28="Early Dismissal 1"</formula>
    </cfRule>
    <cfRule type="expression" dxfId="54" priority="545">
      <formula>G28 = "Early Dismissal 2"</formula>
    </cfRule>
    <cfRule type="expression" dxfId="53" priority="546">
      <formula>G28 = "Early Dismissal 3"</formula>
    </cfRule>
    <cfRule type="expression" dxfId="52" priority="547">
      <formula>G28="Closed (non-operational)"</formula>
    </cfRule>
    <cfRule type="expression" dxfId="51" priority="549">
      <formula>G28="Operational (no students)"</formula>
    </cfRule>
    <cfRule type="expression" priority="550">
      <formula>MONTH($E$19)&lt;&gt;8</formula>
    </cfRule>
    <cfRule type="expression" dxfId="50" priority="548">
      <formula>G28="Not Scheduled"</formula>
    </cfRule>
    <cfRule type="expression" dxfId="49" priority="541">
      <formula>G28="Extra Day 3"</formula>
    </cfRule>
    <cfRule type="expression" dxfId="48" priority="542">
      <formula>G28="Extra Day 1"</formula>
    </cfRule>
    <cfRule type="expression" dxfId="47" priority="543">
      <formula>G28="Extra Day 2"</formula>
    </cfRule>
  </conditionalFormatting>
  <conditionalFormatting sqref="G68">
    <cfRule type="expression" dxfId="46" priority="775">
      <formula>MONTH($G$67)&lt;&gt;Calendar4MonthOption</formula>
    </cfRule>
  </conditionalFormatting>
  <conditionalFormatting sqref="G76">
    <cfRule type="expression" dxfId="45" priority="375">
      <formula>G76 = "Early Dismissal 2"</formula>
    </cfRule>
    <cfRule type="expression" dxfId="44" priority="379">
      <formula>G76="Operational (no students)"</formula>
    </cfRule>
    <cfRule type="expression" priority="380">
      <formula>MONTH($E$19)&lt;&gt;8</formula>
    </cfRule>
    <cfRule type="expression" dxfId="43" priority="377">
      <formula>G76="Closed (non-operational)"</formula>
    </cfRule>
    <cfRule type="expression" dxfId="42" priority="372">
      <formula>G76="Extra Day 1"</formula>
    </cfRule>
    <cfRule type="expression" dxfId="41" priority="373">
      <formula>G76="Extra Day 2"</formula>
    </cfRule>
    <cfRule type="expression" dxfId="40" priority="374">
      <formula>G76="Early Dismissal 1"</formula>
    </cfRule>
    <cfRule type="expression" dxfId="39" priority="376">
      <formula>G76 = "Early Dismissal 3"</formula>
    </cfRule>
    <cfRule type="expression" dxfId="38" priority="378">
      <formula>G76="Not Scheduled"</formula>
    </cfRule>
    <cfRule type="expression" dxfId="37" priority="371">
      <formula>G76="Extra Day 3"</formula>
    </cfRule>
  </conditionalFormatting>
  <conditionalFormatting sqref="G116">
    <cfRule type="expression" dxfId="36" priority="730">
      <formula>MONTH($G$115)&lt;&gt;Calendar7MonthOption</formula>
    </cfRule>
  </conditionalFormatting>
  <conditionalFormatting sqref="G124">
    <cfRule type="expression" dxfId="35" priority="234">
      <formula>G124="Early Dismissal 1"</formula>
    </cfRule>
    <cfRule type="expression" priority="240">
      <formula>MONTH($E$19)&lt;&gt;8</formula>
    </cfRule>
    <cfRule type="expression" dxfId="34" priority="237">
      <formula>G124="Closed (non-operational)"</formula>
    </cfRule>
    <cfRule type="expression" dxfId="33" priority="231">
      <formula>G124="Extra Day 3"</formula>
    </cfRule>
    <cfRule type="expression" dxfId="32" priority="232">
      <formula>G124="Extra Day 1"</formula>
    </cfRule>
    <cfRule type="expression" dxfId="31" priority="233">
      <formula>G124="Extra Day 2"</formula>
    </cfRule>
    <cfRule type="expression" dxfId="30" priority="235">
      <formula>G124 = "Early Dismissal 2"</formula>
    </cfRule>
    <cfRule type="expression" dxfId="29" priority="236">
      <formula>G124 = "Early Dismissal 3"</formula>
    </cfRule>
    <cfRule type="expression" dxfId="28" priority="238">
      <formula>G124="Not Scheduled"</formula>
    </cfRule>
    <cfRule type="expression" dxfId="27" priority="239">
      <formula>G124="Operational (no students)"</formula>
    </cfRule>
  </conditionalFormatting>
  <conditionalFormatting sqref="G148">
    <cfRule type="expression" dxfId="26" priority="701">
      <formula>MONTH($G$147)&lt;&gt;Calendar9MonthOption</formula>
    </cfRule>
  </conditionalFormatting>
  <conditionalFormatting sqref="G172">
    <cfRule type="expression" dxfId="25" priority="679">
      <formula>MONTH($G$171)&lt;&gt;Calendar11MonthOption</formula>
    </cfRule>
  </conditionalFormatting>
  <conditionalFormatting sqref="G196">
    <cfRule type="expression" dxfId="24" priority="662">
      <formula>MONTH($G$195)&lt;&gt;Calendar12MonthOption</formula>
    </cfRule>
  </conditionalFormatting>
  <conditionalFormatting sqref="H12">
    <cfRule type="expression" dxfId="23" priority="830">
      <formula>MONTH($H$11)&lt;&gt;8</formula>
    </cfRule>
  </conditionalFormatting>
  <conditionalFormatting sqref="H20">
    <cfRule type="expression" dxfId="22" priority="821">
      <formula>MONTH($H$19)&lt;&gt;8</formula>
    </cfRule>
  </conditionalFormatting>
  <conditionalFormatting sqref="H28">
    <cfRule type="expression" dxfId="21" priority="808">
      <formula>MONTH($H$27)&lt;&gt;MONTH(DATE(Calendar1Year,_xlfn.SINGLE(Calendar1MonthOption)+1,1))</formula>
    </cfRule>
  </conditionalFormatting>
  <conditionalFormatting sqref="H36">
    <cfRule type="expression" dxfId="20" priority="797">
      <formula>MONTH($H$35)&lt;&gt;MONTH(DATE(Calendar1Year,_xlfn.SINGLE(Calendar1MonthOption)+1,1))</formula>
    </cfRule>
  </conditionalFormatting>
  <conditionalFormatting sqref="H52">
    <cfRule type="expression" dxfId="19" priority="787">
      <formula>MONTH($H$51)&lt;&gt;Calendar3MonthOption</formula>
    </cfRule>
  </conditionalFormatting>
  <conditionalFormatting sqref="H60">
    <cfRule type="expression" dxfId="18" priority="780">
      <formula>MONTH($H$59)&lt;&gt;Calendar4MonthOption</formula>
    </cfRule>
  </conditionalFormatting>
  <conditionalFormatting sqref="H68">
    <cfRule type="expression" dxfId="17" priority="774">
      <formula>MONTH($H$67)&lt;&gt;Calendar4MonthOption</formula>
    </cfRule>
  </conditionalFormatting>
  <conditionalFormatting sqref="H76">
    <cfRule type="expression" dxfId="16" priority="764">
      <formula>MONTH($H$75)&lt;&gt;Calendar5MonthOption</formula>
    </cfRule>
  </conditionalFormatting>
  <conditionalFormatting sqref="H84">
    <cfRule type="expression" dxfId="15" priority="758">
      <formula>MONTH($H$83)&lt;&gt;Calendar5MonthOption</formula>
    </cfRule>
  </conditionalFormatting>
  <conditionalFormatting sqref="H92">
    <cfRule type="expression" dxfId="14" priority="749">
      <formula>MONTH($H$91)&lt;&gt;Calendar6MonthOption</formula>
    </cfRule>
  </conditionalFormatting>
  <conditionalFormatting sqref="H100">
    <cfRule type="expression" dxfId="13" priority="744">
      <formula>MONTH($H$99)&lt;&gt;Calendar6MonthOption</formula>
    </cfRule>
  </conditionalFormatting>
  <conditionalFormatting sqref="H116">
    <cfRule type="expression" dxfId="12" priority="729">
      <formula>MONTH($H$115)&lt;&gt;Calendar7MonthOption</formula>
    </cfRule>
  </conditionalFormatting>
  <conditionalFormatting sqref="H132">
    <cfRule type="expression" dxfId="11" priority="716">
      <formula>MONTH($H$131)&lt;&gt;Calendar8MonthOption</formula>
    </cfRule>
  </conditionalFormatting>
  <conditionalFormatting sqref="H148">
    <cfRule type="expression" dxfId="10" priority="700">
      <formula>MONTH($H$147)&lt;&gt;Calendar9MonthOption</formula>
    </cfRule>
  </conditionalFormatting>
  <conditionalFormatting sqref="H164">
    <cfRule type="expression" dxfId="9" priority="687">
      <formula>MONTH($H$163)&lt;&gt;Calendar10MonthOption</formula>
    </cfRule>
  </conditionalFormatting>
  <conditionalFormatting sqref="H180">
    <cfRule type="expression" dxfId="8" priority="674">
      <formula>MONTH($H$179)&lt;&gt;Calendar11MonthOption</formula>
    </cfRule>
  </conditionalFormatting>
  <conditionalFormatting sqref="H196">
    <cfRule type="expression" dxfId="7" priority="661">
      <formula>MONTH($H$195)&lt;&gt;Calendar12MonthOption</formula>
    </cfRule>
  </conditionalFormatting>
  <conditionalFormatting sqref="K12:Q12">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0"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7" xr:uid="{00000000-0002-0000-0000-000002000000}"/>
    <dataValidation allowBlank="1" showInputMessage="1" showErrorMessage="1" prompt="Enter year in this cell" sqref="B8" xr:uid="{00000000-0002-0000-0000-000003000000}"/>
    <dataValidation allowBlank="1" showInputMessage="1" prompt="Automatically determined weekday. To change weekdays, select a new week start day in cell B4." sqref="C10:H10 B26:H26 B42:H42 B58:H58 B74:H74 B90:H90 B106:H106 B122:H122 B138:H138 B154:H154 B170:H170 B186:H186" xr:uid="{00000000-0002-0000-0000-000004000000}"/>
    <dataValidation allowBlank="1" showInputMessage="1" sqref="B11" xr:uid="{CBCFDA83-FBF4-49E0-BFE2-D3B04EFA0AA2}"/>
    <dataValidation allowBlank="1" showInputMessage="1" prompt="Calendar year is automatically updated based on the year selected in cell B1" sqref="B25 B41 B57 B73 B89 B105 B121 B137 B153 B169 B185" xr:uid="{00000000-0002-0000-0000-000007000000}"/>
    <dataValidation allowBlank="1" showInputMessage="1" prompt="Calendar month is automatically updated based on the month selected in cell C1" sqref="E24:E25 C25:D25 E40:E41 C41:D41 E56:E57 C57:D57 E72:E73 C73:D73 E88:E89 C89:D89 E104:E105 C105:D105 E120:E121 C121:D121 E136:E137 C137:D137 E152:E153 C153:D153 E168:E169 C169:D169 E184:E185 C185:D185" xr:uid="{00000000-0002-0000-0000-000008000000}"/>
    <dataValidation allowBlank="1" showInputMessage="1" prompt="Enter monthly Notes in cell below" sqref="D21:H21" xr:uid="{00000000-0002-0000-0000-000009000000}"/>
    <dataValidation allowBlank="1" showInputMessage="1" prompt="Enter monthly Notes in this cell" sqref="D22:H23" xr:uid="{00000000-0002-0000-0000-00000A000000}"/>
    <dataValidation allowBlank="1" showInputMessage="1" prompt="Calendar year is automatically updated based on the year selected in cell B2" sqref="B24 B40 B56 B72 B88 B104 B120 B136 B152 B168 B184" xr:uid="{00000000-0002-0000-0000-00000B000000}"/>
    <dataValidation allowBlank="1" showInputMessage="1" prompt="Calendar month is automatically updated based on the month selected in cell C2" sqref="C24:D24 C40:D40 C56:D56 C72:D72 C88:D88 C104:D104 C120:D120 C136:D136 C152:D152 C168:D168 C184:D184"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2" max="16383" man="1"/>
    <brk id="38" max="16383" man="1"/>
    <brk id="54" max="16383" man="1"/>
    <brk id="70" max="16383" man="1"/>
    <brk id="86" max="16383" man="1"/>
    <brk id="102" max="16383" man="1"/>
    <brk id="118" max="16383" man="1"/>
    <brk id="134" max="16383" man="1"/>
    <brk id="150" max="16383" man="1"/>
    <brk id="166" max="16383" man="1"/>
    <brk id="182"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B12</xm:sqref>
        </x14:dataValidation>
        <x14:dataValidation type="list" allowBlank="1" showInputMessage="1" showErrorMessage="1" xr:uid="{6DA19DB7-03C7-4CBF-BDC6-4C762722F87E}">
          <x14:formula1>
            <xm:f>Parameters!$B$3:$B$11</xm:f>
          </x14:formula1>
          <xm:sqref>B14</xm:sqref>
        </x14:dataValidation>
        <x14:dataValidation type="list" allowBlank="1" showInputMessage="1" showErrorMessage="1" xr:uid="{D1756FDE-0F1F-45EA-B90C-B08A389297AF}">
          <x14:formula1>
            <xm:f>_xlfn.ANCHORARRAY(Parameters!$B$19)</xm:f>
          </x14:formula1>
          <xm:sqref>C196:G196 C194:G194 C20:G20 C192:G192 C190:G190 C188:G188 C180:G180 C178:G178 C176:G176 C174:G174 C172:G172 C164:G164 C162:G162 C182 C142:G142 C108:G108 C134 C110:G110 C112:G112 C160:G160 C92:G92 C158:G158 C156:G156 C148:G148 C150 C146:G146 C198 C130:G130 C128:G128 C126:G126 C124:G124 C102 C132:G132 C116:G116 C118 C140:G140 C18:G18 C16:G16 C14:G14 D12:G12 C62:G62 G28 C30:G30 C32:G32 C34:G34 C36:G36 C44:G44 C46:G46 C48:G48 C50:G50 C52:G52 C54 C60:G60 C100:G100 C64:G64 C66:G66 C68:G68 C70 C76:G76 C78:G78 C80:G80 C82:G82 C114:G114 C86 C84:G84 C94:G94 C96:G96 C98:G98 C144:G144</xm:sqref>
        </x14:dataValidation>
        <x14:dataValidation type="list" allowBlank="1" showInputMessage="1" prompt="Enter daily notes here" xr:uid="{ABE7EB5D-A1A4-4C2F-9C56-DD60A0AF03C6}">
          <x14:formula1>
            <xm:f>_xlfn.ANCHORARRAY(Parameters!$B$19)</xm:f>
          </x14:formula1>
          <xm:sqref>C12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8:N360"/>
  <sheetViews>
    <sheetView showGridLines="0" workbookViewId="0">
      <selection activeCell="C9" sqref="C9"/>
    </sheetView>
  </sheetViews>
  <sheetFormatPr defaultRowHeight="16.5" x14ac:dyDescent="0.3"/>
  <cols>
    <col min="2" max="2" width="11.625" hidden="1" customWidth="1"/>
    <col min="3" max="5" width="14.75" customWidth="1"/>
    <col min="6" max="6" width="19.625" customWidth="1"/>
    <col min="7" max="7" width="12.625" customWidth="1"/>
    <col min="8" max="9" width="26.75" customWidth="1"/>
    <col min="11" max="11" width="9" customWidth="1"/>
    <col min="12" max="12" width="11" customWidth="1"/>
    <col min="13" max="13" width="15" customWidth="1"/>
    <col min="14" max="14" width="19.5" customWidth="1"/>
    <col min="15" max="16" width="9" customWidth="1"/>
  </cols>
  <sheetData>
    <row r="8" spans="2:9" ht="33" x14ac:dyDescent="0.3">
      <c r="B8" t="s">
        <v>29</v>
      </c>
      <c r="C8" s="123" t="s">
        <v>30</v>
      </c>
      <c r="D8" s="123" t="s">
        <v>17</v>
      </c>
      <c r="E8" s="123" t="s">
        <v>18</v>
      </c>
      <c r="F8" s="123" t="s">
        <v>20</v>
      </c>
      <c r="G8" s="123" t="s">
        <v>19</v>
      </c>
      <c r="H8" s="123" t="s">
        <v>31</v>
      </c>
      <c r="I8" s="124" t="s">
        <v>4218</v>
      </c>
    </row>
    <row r="9" spans="2:9" x14ac:dyDescent="0.3">
      <c r="B9" t="str">
        <f>TEXT(Exceptions[[#This Row],[Date]],"MMMM")</f>
        <v>January</v>
      </c>
      <c r="C9" s="151"/>
      <c r="D9" s="141"/>
      <c r="E9" s="141"/>
      <c r="F9" s="106"/>
      <c r="G9" s="42" t="str">
        <f>IF(OR(ISBLANK(Exceptions[[#This Row],[Start]]),ISBLANK(Exceptions[[#This Row],[End]])),"",(Exceptions[[#This Row],[End]]-Exceptions[[#This Row],[Start]])*1440)</f>
        <v/>
      </c>
      <c r="H9" s="42" t="str">
        <f>IF(ISBLANK(Exceptions[[#This Row],[Activity]]),"",IF(_xlfn.XLOOKUP(Exceptions[[#This Row],[Activity]],Types_of_Activity[Type of Activity],Types_of_Activity[Classification])=1,Exceptions[[#This Row],[Elapsed]],0))</f>
        <v/>
      </c>
      <c r="I9" s="42" t="str">
        <f>IF(ISBLANK(Exceptions[[#This Row],[Activity]]),"",IF(_xlfn.XLOOKUP(Exceptions[[#This Row],[Activity]],Types_of_Activity[Type of Activity],Types_of_Activity[Classification])=2,Exceptions[[#This Row],[Elapsed]],0))</f>
        <v/>
      </c>
    </row>
    <row r="10" spans="2:9" x14ac:dyDescent="0.3">
      <c r="B10" t="str">
        <f>TEXT(Exceptions[[#This Row],[Date]],"MMMM")</f>
        <v>January</v>
      </c>
      <c r="C10" s="151"/>
      <c r="D10" s="141"/>
      <c r="E10" s="141"/>
      <c r="F10" s="106"/>
      <c r="G10" s="42" t="str">
        <f>IF(OR(ISBLANK(Exceptions[[#This Row],[Start]]),ISBLANK(Exceptions[[#This Row],[End]])),"",(Exceptions[[#This Row],[End]]-Exceptions[[#This Row],[Start]])*1440)</f>
        <v/>
      </c>
      <c r="H10" s="42" t="str">
        <f>IF(ISBLANK(Exceptions[[#This Row],[Date]]),"",IF(Exceptions[[#This Row],[Activity]]="Instruction",Exceptions[[#This Row],[Elapsed]],0))</f>
        <v/>
      </c>
      <c r="I10" s="42" t="str">
        <f>IF(ISBLANK(Exceptions[[#This Row],[Activity]]),"",IF(_xlfn.XLOOKUP(Exceptions[[#This Row],[Activity]],Types_of_Activity[Type of Activity],Types_of_Activity[Classification])=2,Exceptions[[#This Row],[Elapsed]],0))</f>
        <v/>
      </c>
    </row>
    <row r="11" spans="2:9" x14ac:dyDescent="0.3">
      <c r="B11" t="str">
        <f>TEXT(Exceptions[[#This Row],[Date]],"MMMM")</f>
        <v>January</v>
      </c>
      <c r="C11" s="151"/>
      <c r="D11" s="141"/>
      <c r="E11" s="141"/>
      <c r="F11" s="106"/>
      <c r="G11" s="42" t="str">
        <f>IF(OR(ISBLANK(Exceptions[[#This Row],[Start]]),ISBLANK(Exceptions[[#This Row],[End]])),"",(Exceptions[[#This Row],[End]]-Exceptions[[#This Row],[Start]])*1440)</f>
        <v/>
      </c>
      <c r="H11" s="42" t="str">
        <f>IF(ISBLANK(Exceptions[[#This Row],[Date]]),"",IF(Exceptions[[#This Row],[Activity]]="Instruction",Exceptions[[#This Row],[Elapsed]],0))</f>
        <v/>
      </c>
      <c r="I11" s="42" t="str">
        <f>IF(ISBLANK(Exceptions[[#This Row],[Activity]]),"",IF(_xlfn.XLOOKUP(Exceptions[[#This Row],[Activity]],Types_of_Activity[Type of Activity],Types_of_Activity[Classification])=2,Exceptions[[#This Row],[Elapsed]],0))</f>
        <v/>
      </c>
    </row>
    <row r="12" spans="2:9" x14ac:dyDescent="0.3">
      <c r="B12" t="str">
        <f>TEXT(Exceptions[[#This Row],[Date]],"MMMM")</f>
        <v>January</v>
      </c>
      <c r="C12" s="151"/>
      <c r="D12" s="141"/>
      <c r="E12" s="141"/>
      <c r="F12" s="106"/>
      <c r="G12" s="42" t="str">
        <f>IF(OR(ISBLANK(Exceptions[[#This Row],[Start]]),ISBLANK(Exceptions[[#This Row],[End]])),"",(Exceptions[[#This Row],[End]]-Exceptions[[#This Row],[Start]])*1440)</f>
        <v/>
      </c>
      <c r="H12" s="42" t="str">
        <f>IF(ISBLANK(Exceptions[[#This Row],[Date]]),"",IF(Exceptions[[#This Row],[Activity]]="Instruction",Exceptions[[#This Row],[Elapsed]],0))</f>
        <v/>
      </c>
      <c r="I12" s="42" t="str">
        <f>IF(ISBLANK(Exceptions[[#This Row],[Activity]]),"",IF(_xlfn.XLOOKUP(Exceptions[[#This Row],[Activity]],Types_of_Activity[Type of Activity],Types_of_Activity[Classification])=2,Exceptions[[#This Row],[Elapsed]],0))</f>
        <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Row],[Date]]),"",IF(Exceptions[[#This Row],[Activity]]="Instruction",Exceptions[[#This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c r="N25" s="42"/>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C357" s="37"/>
    </row>
    <row r="358" spans="2:9" x14ac:dyDescent="0.3">
      <c r="C358" s="37"/>
    </row>
    <row r="359" spans="2:9" x14ac:dyDescent="0.3">
      <c r="C359" s="37"/>
    </row>
    <row r="360" spans="2:9" x14ac:dyDescent="0.3">
      <c r="C360" s="37"/>
    </row>
  </sheetData>
  <sheetProtection algorithmName="SHA-512" hashValue="2+Ddqd+H//QOMp8fSPjn6UW0mWKR0ZawQPj93Mv5/vuFDou8sONijtlkFeGIFm42t3zI/zGhIeNtymQpdOURZQ==" saltValue="pX9xtKI9l+spITkTXCsNWA==" spinCount="100000" sheet="1" objects="1" scenarios="1"/>
  <dataValidations count="3">
    <dataValidation type="date" operator="greaterThanOrEqual" allowBlank="1" showInputMessage="1" showErrorMessage="1" error="Enter dates as YYYY-mm-dd (such as 2023-08-30)" sqref="C9:C356" xr:uid="{8E7E3C2D-1113-488D-A108-8A252F3D92D6}">
      <formula1>36526</formula1>
    </dataValidation>
    <dataValidation type="time" operator="greaterThanOrEqual" allowBlank="1" showInputMessage="1" showErrorMessage="1" sqref="E9:E356" xr:uid="{65E57336-3DF2-4E01-B225-2BE3111100B1}">
      <formula1>0</formula1>
    </dataValidation>
    <dataValidation type="time" operator="greaterThanOrEqual" allowBlank="1" showInputMessage="1" showErrorMessage="1" error="Enter as hh:mm (such as 08:35)" sqref="D9:D356"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_xlfn.ANCHORARRAY(Parameters!$F$19)</xm:f>
          </x14:formula1>
          <xm:sqref>F9:F356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1:BS128"/>
  <sheetViews>
    <sheetView showGridLines="0" topLeftCell="A4"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625" style="107" customWidth="1"/>
    <col min="8" max="8" width="9" style="107"/>
    <col min="9" max="10" width="12.75" style="107" customWidth="1"/>
    <col min="11" max="11" width="19.625" style="107" customWidth="1"/>
    <col min="12" max="12" width="12.625" style="107" customWidth="1"/>
    <col min="13" max="14" width="19.62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625" style="107" customWidth="1"/>
    <col min="48" max="49" width="19.75" style="107" customWidth="1"/>
    <col min="50" max="50" width="9" style="107" customWidth="1"/>
    <col min="51" max="52" width="12.75" style="107" customWidth="1"/>
    <col min="53" max="53" width="19.625" style="107" customWidth="1"/>
    <col min="54" max="54" width="12.625" style="107" customWidth="1"/>
    <col min="55" max="56" width="19.75" style="107" customWidth="1"/>
    <col min="57" max="57" width="9" style="107" customWidth="1"/>
    <col min="58" max="59" width="12.75" style="107" customWidth="1"/>
    <col min="60" max="60" width="19.625" style="107" customWidth="1"/>
    <col min="61" max="61" width="12.625" style="107" customWidth="1"/>
    <col min="62" max="63" width="19.7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1" spans="2:70" ht="27.75" customHeight="1" x14ac:dyDescent="0.3"/>
    <row r="13" spans="2:70"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4243</v>
      </c>
      <c r="AV13" s="109"/>
      <c r="AW13" s="109"/>
      <c r="AY13" s="108" t="s">
        <v>4244</v>
      </c>
      <c r="BC13" s="109"/>
      <c r="BD13" s="109"/>
      <c r="BF13" s="108" t="s">
        <v>4245</v>
      </c>
      <c r="BJ13" s="109"/>
      <c r="BK13" s="109"/>
      <c r="BM13" s="108" t="s">
        <v>16</v>
      </c>
      <c r="BQ13" s="109"/>
      <c r="BR13" s="109"/>
    </row>
    <row r="14" spans="2:70"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c r="AY14" s="123" t="s">
        <v>17</v>
      </c>
      <c r="AZ14" s="123" t="s">
        <v>18</v>
      </c>
      <c r="BA14" s="123" t="s">
        <v>20</v>
      </c>
      <c r="BB14" s="123" t="s">
        <v>19</v>
      </c>
      <c r="BC14" s="123" t="s">
        <v>21</v>
      </c>
      <c r="BD14" s="124" t="s">
        <v>4218</v>
      </c>
      <c r="BF14" s="123" t="s">
        <v>17</v>
      </c>
      <c r="BG14" s="123" t="s">
        <v>18</v>
      </c>
      <c r="BH14" s="123" t="s">
        <v>20</v>
      </c>
      <c r="BI14" s="123" t="s">
        <v>19</v>
      </c>
      <c r="BJ14" s="123" t="s">
        <v>21</v>
      </c>
      <c r="BK14" s="124" t="s">
        <v>4218</v>
      </c>
      <c r="BM14" s="123" t="s">
        <v>17</v>
      </c>
      <c r="BN14" s="123" t="s">
        <v>18</v>
      </c>
      <c r="BO14" s="123" t="s">
        <v>20</v>
      </c>
      <c r="BP14" s="123" t="s">
        <v>19</v>
      </c>
      <c r="BQ14" s="123" t="s">
        <v>21</v>
      </c>
      <c r="BR14" s="124" t="s">
        <v>4218</v>
      </c>
    </row>
    <row r="15" spans="2:70" x14ac:dyDescent="0.3">
      <c r="B15" s="141"/>
      <c r="C15" s="141"/>
      <c r="D15" s="106"/>
      <c r="E15" s="109" t="str">
        <f>IF(OR(ISBLANK(Term1_Day_1[[#This Row],[Start]]),ISBLANK(Term1_Day_1[[#This Row],[End]])),"",(Term1_Day_1[[#This Row],[End]]-Term1_Day_1[[#This Row],[Start]])*1440)</f>
        <v/>
      </c>
      <c r="F15" s="109" t="str">
        <f>IF(ISBLANK(Term1_Day_1[[#This Row],[Activity]]),"",IF(_xlfn.XLOOKUP(Term1_Day_1[[#This Row],[Activity]],Types_of_Activity[Type of Activity],Types_of_Activity[Classification])=1,Term1_Day_1[[#This Row],[Elapsed]],0))</f>
        <v/>
      </c>
      <c r="G15" s="109" t="str">
        <f>IF(ISBLANK(Term1_Day_1[[#This Row],[Activity]]),"",IF(_xlfn.XLOOKUP(Term1_Day_1[[#This Row],[Activity]],Types_of_Activity[Type of Activity],Types_of_Activity[Classification])=2,Term1_Day_1[[#This Row],[Elapsed]],0))</f>
        <v/>
      </c>
      <c r="I15" s="141"/>
      <c r="J15" s="141"/>
      <c r="K15" s="106"/>
      <c r="L15" s="109" t="str">
        <f>IF(OR(ISBLANK(Term1_Day_2[[#This Row],[Start]]),ISBLANK(Term1_Day_2[[#This Row],[End]])),"",(Term1_Day_2[[#This Row],[End]]-Term1_Day_2[[#This Row],[Start]])*1440)</f>
        <v/>
      </c>
      <c r="M15" s="109" t="str">
        <f>IF(ISBLANK(Term1_Day_2[[#This Row],[Activity]]),"",IF(_xlfn.XLOOKUP(Term1_Day_2[[#This Row],[Activity]],Types_of_Activity[Type of Activity],Types_of_Activity[Classification])=1,Term1_Day_2[[#This Row],[Elapsed]],0))</f>
        <v/>
      </c>
      <c r="N15" s="109" t="str">
        <f>IF(ISBLANK(Term1_Day_2[[#This Row],[Activity]]),"",IF(_xlfn.XLOOKUP(Term1_Day_2[[#This Row],[Activity]],Types_of_Activity[Type of Activity],Types_of_Activity[Classification])=2,Term1_Day_2[[#This Row],[Elapsed]],0))</f>
        <v/>
      </c>
      <c r="P15" s="141"/>
      <c r="Q15" s="141"/>
      <c r="R15" s="106"/>
      <c r="S15" s="109" t="str">
        <f>IF(OR(ISBLANK(Term1_Day_3[[#This Row],[Start]]),ISBLANK(Term1_Day_3[[#This Row],[End]])),"",(Term1_Day_3[[#This Row],[End]]-Term1_Day_3[[#This Row],[Start]])*1440)</f>
        <v/>
      </c>
      <c r="T15" s="109" t="str">
        <f>IF(ISBLANK(Term1_Day_3[[#This Row],[Activity]]),"",IF(_xlfn.XLOOKUP(Term1_Day_3[[#This Row],[Activity]],Types_of_Activity[Type of Activity],Types_of_Activity[Classification])=1,Term1_Day_3[[#This Row],[Elapsed]],0))</f>
        <v/>
      </c>
      <c r="U15" s="109" t="str">
        <f>IF(ISBLANK(Term1_Day_3[[#This Row],[Activity]]),"",IF(_xlfn.XLOOKUP(Term1_Day_3[[#This Row],[Activity]],Types_of_Activity[Type of Activity],Types_of_Activity[Classification])=2,Term1_Day_3[[#This Row],[Elapsed]],0))</f>
        <v/>
      </c>
      <c r="W15" s="141"/>
      <c r="X15" s="141"/>
      <c r="Y15" s="106"/>
      <c r="Z15" s="109" t="str">
        <f>IF(OR(ISBLANK(Term1_Day_4[[#This Row],[Start]]),ISBLANK(Term1_Day_4[[#This Row],[End]])),"",(Term1_Day_4[[#This Row],[End]]-Term1_Day_4[[#This Row],[Start]])*1440)</f>
        <v/>
      </c>
      <c r="AA15" s="109" t="str">
        <f>IF(ISBLANK(Term1_Day_4[[#This Row],[Activity]]),"",IF(_xlfn.XLOOKUP(Term1_Day_4[[#This Row],[Activity]],Types_of_Activity[Type of Activity],Types_of_Activity[Classification])=1,Term1_Day_4[[#This Row],[Elapsed]],0))</f>
        <v/>
      </c>
      <c r="AB15" s="109" t="str">
        <f>IF(ISBLANK(Term1_Day_4[[#This Row],[Activity]]),"",IF(_xlfn.XLOOKUP(Term1_Day_4[[#This Row],[Activity]],Types_of_Activity[Type of Activity],Types_of_Activity[Classification])=2,Term1_Day_4[[#This Row],[Elapsed]],0))</f>
        <v/>
      </c>
      <c r="AD15" s="141"/>
      <c r="AE15" s="141"/>
      <c r="AF15" s="106"/>
      <c r="AG15" s="109" t="str">
        <f>IF(OR(ISBLANK(Term1_Day_5[[#This Row],[Start]]),ISBLANK(Term1_Day_5[[#This Row],[End]])),"",(Term1_Day_5[[#This Row],[End]]-Term1_Day_5[[#This Row],[Start]])*1440)</f>
        <v/>
      </c>
      <c r="AH15" s="109" t="str">
        <f>IF(ISBLANK(Term1_Day_5[[#This Row],[Activity]]),"",IF(_xlfn.XLOOKUP(Term1_Day_5[[#This Row],[Activity]],Types_of_Activity[Type of Activity],Types_of_Activity[Classification])=1,Term1_Day_5[[#This Row],[Elapsed]],0))</f>
        <v/>
      </c>
      <c r="AI15" s="109" t="str">
        <f>IF(ISBLANK(Term1_Day_5[[#This Row],[Activity]]),"",IF(_xlfn.XLOOKUP(Term1_Day_5[[#This Row],[Activity]],Types_of_Activity[Type of Activity],Types_of_Activity[Classification])=2,Term1_Day_5[[#This Row],[Elapsed]],0))</f>
        <v/>
      </c>
      <c r="AK15" s="141"/>
      <c r="AL15" s="141"/>
      <c r="AM15" s="106"/>
      <c r="AN15" s="109" t="str">
        <f>IF(OR(ISBLANK(Term1_Day_6[[#This Row],[Start]]),ISBLANK(Term1_Day_6[[#This Row],[End]])),"",(Term1_Day_6[[#This Row],[End]]-Term1_Day_6[[#This Row],[Start]])*1440)</f>
        <v/>
      </c>
      <c r="AO15" s="109" t="str">
        <f>IF(ISBLANK(Term1_Day_6[[#This Row],[Activity]]),"",IF(_xlfn.XLOOKUP(Term1_Day_6[[#This Row],[Activity]],Types_of_Activity[Type of Activity],Types_of_Activity[Classification])=1,Term1_Day_6[[#This Row],[Elapsed]],0))</f>
        <v/>
      </c>
      <c r="AP15" s="109" t="str">
        <f>IF(ISBLANK(Term1_Day_6[[#This Row],[Activity]]),"",IF(_xlfn.XLOOKUP(Term1_Day_6[[#This Row],[Activity]],Types_of_Activity[Type of Activity],Types_of_Activity[Classification])=2,Term1_Day_6[[#This Row],[Elapsed]],0))</f>
        <v/>
      </c>
      <c r="AR15" s="141"/>
      <c r="AS15" s="141"/>
      <c r="AT15" s="106"/>
      <c r="AU15" s="109" t="str">
        <f>IF(OR(ISBLANK(Term1_Day_7[[#This Row],[Start]]),ISBLANK(Term1_Day_7[[#This Row],[End]])),"",(Term1_Day_7[[#This Row],[End]]-Term1_Day_7[[#This Row],[Start]])*1440)</f>
        <v/>
      </c>
      <c r="AV15" s="109" t="str">
        <f>IF(ISBLANK(Term1_Day_7[[#This Row],[Activity]]),"",IF(_xlfn.XLOOKUP(Term1_Day_7[[#This Row],[Activity]],Types_of_Activity[Type of Activity],Types_of_Activity[Classification])=1,Term1_Day_7[[#This Row],[Elapsed]],0))</f>
        <v/>
      </c>
      <c r="AW15" s="109" t="str">
        <f>IF(ISBLANK(Term1_Day_7[[#This Row],[Activity]]),"",IF(_xlfn.XLOOKUP(Term1_Day_7[[#This Row],[Activity]],Types_of_Activity[Type of Activity],Types_of_Activity[Classification])=2,Term1_Day_7[[#This Row],[Elapsed]],0))</f>
        <v/>
      </c>
      <c r="AY15" s="141"/>
      <c r="AZ15" s="141"/>
      <c r="BA15" s="106"/>
      <c r="BB15" s="109" t="str">
        <f>IF(OR(ISBLANK(Term1_Day_8[[#This Row],[Start]]),ISBLANK(Term1_Day_8[[#This Row],[End]])),"",(Term1_Day_8[[#This Row],[End]]-Term1_Day_8[[#This Row],[Start]])*1440)</f>
        <v/>
      </c>
      <c r="BC15" s="109" t="str">
        <f>IF(ISBLANK(Term1_Day_8[[#This Row],[Activity]]),"",IF(_xlfn.XLOOKUP(Term1_Day_8[[#This Row],[Activity]],Types_of_Activity[Type of Activity],Types_of_Activity[Classification])=1,Term1_Day_8[[#This Row],[Elapsed]],0))</f>
        <v/>
      </c>
      <c r="BD15" s="109" t="str">
        <f>IF(ISBLANK(Term1_Day_8[[#This Row],[Activity]]),"",IF(_xlfn.XLOOKUP(Term1_Day_8[[#This Row],[Activity]],Types_of_Activity[Type of Activity],Types_of_Activity[Classification])=2,Term1_Day_8[[#This Row],[Elapsed]],0))</f>
        <v/>
      </c>
      <c r="BF15" s="141"/>
      <c r="BG15" s="141"/>
      <c r="BH15" s="106"/>
      <c r="BI15" s="109" t="str">
        <f>IF(OR(ISBLANK(Term1_Day_9[[#This Row],[Start]]),ISBLANK(Term1_Day_9[[#This Row],[End]])),"",(Term1_Day_9[[#This Row],[End]]-Term1_Day_9[[#This Row],[Start]])*1440)</f>
        <v/>
      </c>
      <c r="BJ15" s="109" t="str">
        <f>IF(ISBLANK(Term1_Day_9[[#This Row],[Activity]]),"",IF(_xlfn.XLOOKUP(Term1_Day_9[[#This Row],[Activity]],Types_of_Activity[Type of Activity],Types_of_Activity[Classification])=1,Term1_Day_9[[#This Row],[Elapsed]],0))</f>
        <v/>
      </c>
      <c r="BK15" s="109" t="str">
        <f>IF(ISBLANK(Term1_Day_9[[#This Row],[Activity]]),"",IF(_xlfn.XLOOKUP(Term1_Day_9[[#This Row],[Activity]],Types_of_Activity[Type of Activity],Types_of_Activity[Classification])=2,Term1_Day_9[[#This Row],[Elapsed]],0))</f>
        <v/>
      </c>
      <c r="BM15" s="141"/>
      <c r="BN15" s="141"/>
      <c r="BO15" s="106"/>
      <c r="BP15" s="109" t="str">
        <f>IF(OR(ISBLANK(Term1_Day_10[[#This Row],[Start]]),ISBLANK(Term1_Day_10[[#This Row],[End]])),"",(Term1_Day_10[[#This Row],[End]]-Term1_Day_10[[#This Row],[Start]])*1440)</f>
        <v/>
      </c>
      <c r="BQ15" s="109" t="str">
        <f>IF(ISBLANK(Term1_Day_10[[#This Row],[Activity]]),"",IF(_xlfn.XLOOKUP(Term1_Day_10[[#This Row],[Activity]],Types_of_Activity[Type of Activity],Types_of_Activity[Classification])=1,Term1_Day_10[[#This Row],[Elapsed]],0))</f>
        <v/>
      </c>
      <c r="BR15" s="109" t="str">
        <f>IF(ISBLANK(Term1_Day_10[[#This Row],[Activity]]),"",IF(_xlfn.XLOOKUP(Term1_Day_10[[#This Row],[Activity]],Types_of_Activity[Type of Activity],Types_of_Activity[Classification])=2,Term1_Day_10[[#This Row],[Elapsed]],0))</f>
        <v/>
      </c>
    </row>
    <row r="16" spans="2:70" x14ac:dyDescent="0.3">
      <c r="B16" s="141"/>
      <c r="C16" s="141"/>
      <c r="D16" s="106"/>
      <c r="E16" s="109" t="str">
        <f>IF(OR(ISBLANK(Term1_Day_1[[#This Row],[Start]]),ISBLANK(Term1_Day_1[[#This Row],[End]])),"",(Term1_Day_1[[#This Row],[End]]-Term1_Day_1[[#This Row],[Start]])*1440)</f>
        <v/>
      </c>
      <c r="F16" s="109" t="str">
        <f>IF(ISBLANK(Term1_Day_1[[#This Row],[Activity]]),"",IF(_xlfn.XLOOKUP(Term1_Day_1[[#This Row],[Activity]],Types_of_Activity[Type of Activity],Types_of_Activity[Classification])=1,Term1_Day_1[[#This Row],[Elapsed]],0))</f>
        <v/>
      </c>
      <c r="G16" s="109" t="str">
        <f>IF(ISBLANK(Term1_Day_1[[#This Row],[Activity]]),"",IF(_xlfn.XLOOKUP(Term1_Day_1[[#This Row],[Activity]],Types_of_Activity[Type of Activity],Types_of_Activity[Classification])=2,Term1_Day_1[[#This Row],[Elapsed]],0))</f>
        <v/>
      </c>
      <c r="I16" s="141"/>
      <c r="J16" s="141"/>
      <c r="K16" s="106"/>
      <c r="L16" s="109" t="str">
        <f>IF(OR(ISBLANK(Term1_Day_2[[#This Row],[Start]]),ISBLANK(Term1_Day_2[[#This Row],[End]])),"",(Term1_Day_2[[#This Row],[End]]-Term1_Day_2[[#This Row],[Start]])*1440)</f>
        <v/>
      </c>
      <c r="M16" s="109" t="str">
        <f>IF(ISBLANK(Term1_Day_2[[#This Row],[Activity]]),"",IF(_xlfn.XLOOKUP(Term1_Day_2[[#This Row],[Activity]],Types_of_Activity[Type of Activity],Types_of_Activity[Classification])=1,Term1_Day_2[[#This Row],[Elapsed]],0))</f>
        <v/>
      </c>
      <c r="N16" s="109" t="str">
        <f>IF(ISBLANK(Term1_Day_2[[#This Row],[Activity]]),"",IF(_xlfn.XLOOKUP(Term1_Day_2[[#This Row],[Activity]],Types_of_Activity[Type of Activity],Types_of_Activity[Classification])=2,Term1_Day_2[[#This Row],[Elapsed]],0))</f>
        <v/>
      </c>
      <c r="P16" s="141"/>
      <c r="Q16" s="141"/>
      <c r="R16" s="106"/>
      <c r="S16" s="109" t="str">
        <f>IF(OR(ISBLANK(Term1_Day_3[[#This Row],[Start]]),ISBLANK(Term1_Day_3[[#This Row],[End]])),"",(Term1_Day_3[[#This Row],[End]]-Term1_Day_3[[#This Row],[Start]])*1440)</f>
        <v/>
      </c>
      <c r="T16" s="109" t="str">
        <f>IF(ISBLANK(Term1_Day_3[[#This Row],[Activity]]),"",IF(_xlfn.XLOOKUP(Term1_Day_3[[#This Row],[Activity]],Types_of_Activity[Type of Activity],Types_of_Activity[Classification])=1,Term1_Day_3[[#This Row],[Elapsed]],0))</f>
        <v/>
      </c>
      <c r="U16" s="109" t="str">
        <f>IF(ISBLANK(Term1_Day_3[[#This Row],[Activity]]),"",IF(_xlfn.XLOOKUP(Term1_Day_3[[#This Row],[Activity]],Types_of_Activity[Type of Activity],Types_of_Activity[Classification])=2,Term1_Day_3[[#This Row],[Elapsed]],0))</f>
        <v/>
      </c>
      <c r="W16" s="141"/>
      <c r="X16" s="141"/>
      <c r="Y16" s="106"/>
      <c r="Z16" s="109" t="str">
        <f>IF(OR(ISBLANK(Term1_Day_4[[#This Row],[Start]]),ISBLANK(Term1_Day_4[[#This Row],[End]])),"",(Term1_Day_4[[#This Row],[End]]-Term1_Day_4[[#This Row],[Start]])*1440)</f>
        <v/>
      </c>
      <c r="AA16" s="109" t="str">
        <f>IF(ISBLANK(Term1_Day_4[[#This Row],[Activity]]),"",IF(_xlfn.XLOOKUP(Term1_Day_4[[#This Row],[Activity]],Types_of_Activity[Type of Activity],Types_of_Activity[Classification])=1,Term1_Day_4[[#This Row],[Elapsed]],0))</f>
        <v/>
      </c>
      <c r="AB16" s="109" t="str">
        <f>IF(ISBLANK(Term1_Day_4[[#This Row],[Activity]]),"",IF(_xlfn.XLOOKUP(Term1_Day_4[[#This Row],[Activity]],Types_of_Activity[Type of Activity],Types_of_Activity[Classification])=2,Term1_Day_4[[#This Row],[Elapsed]],0))</f>
        <v/>
      </c>
      <c r="AD16" s="141"/>
      <c r="AE16" s="141"/>
      <c r="AF16" s="106"/>
      <c r="AG16" s="109" t="str">
        <f>IF(OR(ISBLANK(Term1_Day_5[[#This Row],[Start]]),ISBLANK(Term1_Day_5[[#This Row],[End]])),"",(Term1_Day_5[[#This Row],[End]]-Term1_Day_5[[#This Row],[Start]])*1440)</f>
        <v/>
      </c>
      <c r="AH16" s="109" t="str">
        <f>IF(ISBLANK(Term1_Day_5[[#This Row],[Activity]]),"",IF(_xlfn.XLOOKUP(Term1_Day_5[[#This Row],[Activity]],Types_of_Activity[Type of Activity],Types_of_Activity[Classification])=1,Term1_Day_5[[#This Row],[Elapsed]],0))</f>
        <v/>
      </c>
      <c r="AI16" s="109" t="str">
        <f>IF(ISBLANK(Term1_Day_5[[#This Row],[Activity]]),"",IF(_xlfn.XLOOKUP(Term1_Day_5[[#This Row],[Activity]],Types_of_Activity[Type of Activity],Types_of_Activity[Classification])=2,Term1_Day_5[[#This Row],[Elapsed]],0))</f>
        <v/>
      </c>
      <c r="AK16" s="141"/>
      <c r="AL16" s="141"/>
      <c r="AM16" s="106"/>
      <c r="AN16" s="109" t="str">
        <f>IF(OR(ISBLANK(Term1_Day_6[[#This Row],[Start]]),ISBLANK(Term1_Day_6[[#This Row],[End]])),"",(Term1_Day_6[[#This Row],[End]]-Term1_Day_6[[#This Row],[Start]])*1440)</f>
        <v/>
      </c>
      <c r="AO16" s="109" t="str">
        <f>IF(ISBLANK(Term1_Day_6[[#This Row],[Activity]]),"",IF(_xlfn.XLOOKUP(Term1_Day_6[[#This Row],[Activity]],Types_of_Activity[Type of Activity],Types_of_Activity[Classification])=1,Term1_Day_6[[#This Row],[Elapsed]],0))</f>
        <v/>
      </c>
      <c r="AP16" s="109" t="str">
        <f>IF(ISBLANK(Term1_Day_6[[#This Row],[Activity]]),"",IF(_xlfn.XLOOKUP(Term1_Day_6[[#This Row],[Activity]],Types_of_Activity[Type of Activity],Types_of_Activity[Classification])=2,Term1_Day_6[[#This Row],[Elapsed]],0))</f>
        <v/>
      </c>
      <c r="AR16" s="141"/>
      <c r="AS16" s="141"/>
      <c r="AT16" s="106"/>
      <c r="AU16" s="109" t="str">
        <f>IF(OR(ISBLANK(Term1_Day_7[[#This Row],[Start]]),ISBLANK(Term1_Day_7[[#This Row],[End]])),"",(Term1_Day_7[[#This Row],[End]]-Term1_Day_7[[#This Row],[Start]])*1440)</f>
        <v/>
      </c>
      <c r="AV16" s="109" t="str">
        <f>IF(ISBLANK(Term1_Day_7[[#This Row],[Activity]]),"",IF(_xlfn.XLOOKUP(Term1_Day_7[[#This Row],[Activity]],Types_of_Activity[Type of Activity],Types_of_Activity[Classification])=1,Term1_Day_7[[#This Row],[Elapsed]],0))</f>
        <v/>
      </c>
      <c r="AW16" s="109" t="str">
        <f>IF(ISBLANK(Term1_Day_7[[#This Row],[Activity]]),"",IF(_xlfn.XLOOKUP(Term1_Day_7[[#This Row],[Activity]],Types_of_Activity[Type of Activity],Types_of_Activity[Classification])=2,Term1_Day_7[[#This Row],[Elapsed]],0))</f>
        <v/>
      </c>
      <c r="AY16" s="141"/>
      <c r="AZ16" s="141"/>
      <c r="BA16" s="106"/>
      <c r="BB16" s="109" t="str">
        <f>IF(OR(ISBLANK(Term1_Day_8[[#This Row],[Start]]),ISBLANK(Term1_Day_8[[#This Row],[End]])),"",(Term1_Day_8[[#This Row],[End]]-Term1_Day_8[[#This Row],[Start]])*1440)</f>
        <v/>
      </c>
      <c r="BC16" s="109" t="str">
        <f>IF(ISBLANK(Term1_Day_8[[#This Row],[Activity]]),"",IF(_xlfn.XLOOKUP(Term1_Day_8[[#This Row],[Activity]],Types_of_Activity[Type of Activity],Types_of_Activity[Classification])=1,Term1_Day_8[[#This Row],[Elapsed]],0))</f>
        <v/>
      </c>
      <c r="BD16" s="109" t="str">
        <f>IF(ISBLANK(Term1_Day_8[[#This Row],[Activity]]),"",IF(_xlfn.XLOOKUP(Term1_Day_8[[#This Row],[Activity]],Types_of_Activity[Type of Activity],Types_of_Activity[Classification])=2,Term1_Day_8[[#This Row],[Elapsed]],0))</f>
        <v/>
      </c>
      <c r="BF16" s="141"/>
      <c r="BG16" s="141"/>
      <c r="BH16" s="106"/>
      <c r="BI16" s="109" t="str">
        <f>IF(OR(ISBLANK(Term1_Day_9[[#This Row],[Start]]),ISBLANK(Term1_Day_9[[#This Row],[End]])),"",(Term1_Day_9[[#This Row],[End]]-Term1_Day_9[[#This Row],[Start]])*1440)</f>
        <v/>
      </c>
      <c r="BJ16" s="109" t="str">
        <f>IF(ISBLANK(Term1_Day_9[[#This Row],[Activity]]),"",IF(_xlfn.XLOOKUP(Term1_Day_9[[#This Row],[Activity]],Types_of_Activity[Type of Activity],Types_of_Activity[Classification])=1,Term1_Day_9[[#This Row],[Elapsed]],0))</f>
        <v/>
      </c>
      <c r="BK16" s="109" t="str">
        <f>IF(ISBLANK(Term1_Day_9[[#This Row],[Activity]]),"",IF(_xlfn.XLOOKUP(Term1_Day_9[[#This Row],[Activity]],Types_of_Activity[Type of Activity],Types_of_Activity[Classification])=2,Term1_Day_9[[#This Row],[Elapsed]],0))</f>
        <v/>
      </c>
      <c r="BM16" s="141"/>
      <c r="BN16" s="141"/>
      <c r="BO16" s="106"/>
      <c r="BP16" s="109" t="str">
        <f>IF(OR(ISBLANK(Term1_Day_10[[#This Row],[Start]]),ISBLANK(Term1_Day_10[[#This Row],[End]])),"",(Term1_Day_10[[#This Row],[End]]-Term1_Day_10[[#This Row],[Start]])*1440)</f>
        <v/>
      </c>
      <c r="BQ16" s="109" t="str">
        <f>IF(ISBLANK(Term1_Day_10[[#This Row],[Activity]]),"",IF(_xlfn.XLOOKUP(Term1_Day_10[[#This Row],[Activity]],Types_of_Activity[Type of Activity],Types_of_Activity[Classification])=1,Term1_Day_10[[#This Row],[Elapsed]],0))</f>
        <v/>
      </c>
      <c r="BR16" s="109" t="str">
        <f>IF(ISBLANK(Term1_Day_10[[#This Row],[Activity]]),"",IF(_xlfn.XLOOKUP(Term1_Day_10[[#This Row],[Activity]],Types_of_Activity[Type of Activity],Types_of_Activity[Classification])=2,Term1_Day_10[[#This Row],[Elapsed]],0))</f>
        <v/>
      </c>
    </row>
    <row r="17" spans="2:71" x14ac:dyDescent="0.3">
      <c r="B17" s="141"/>
      <c r="C17" s="141"/>
      <c r="D17" s="106"/>
      <c r="E17" s="109" t="str">
        <f>IF(OR(ISBLANK(Term1_Day_1[[#This Row],[Start]]),ISBLANK(Term1_Day_1[[#This Row],[End]])),"",(Term1_Day_1[[#This Row],[End]]-Term1_Day_1[[#This Row],[Start]])*1440)</f>
        <v/>
      </c>
      <c r="F17" s="109" t="str">
        <f>IF(ISBLANK(Term1_Day_1[[#This Row],[Activity]]),"",IF(_xlfn.XLOOKUP(Term1_Day_1[[#This Row],[Activity]],Types_of_Activity[Type of Activity],Types_of_Activity[Classification])=1,Term1_Day_1[[#This Row],[Elapsed]],0))</f>
        <v/>
      </c>
      <c r="G17" s="109" t="str">
        <f>IF(ISBLANK(Term1_Day_1[[#This Row],[Activity]]),"",IF(_xlfn.XLOOKUP(Term1_Day_1[[#This Row],[Activity]],Types_of_Activity[Type of Activity],Types_of_Activity[Classification])=2,Term1_Day_1[[#This Row],[Elapsed]],0))</f>
        <v/>
      </c>
      <c r="I17" s="141"/>
      <c r="J17" s="141"/>
      <c r="K17" s="106"/>
      <c r="L17" s="109" t="str">
        <f>IF(OR(ISBLANK(Term1_Day_2[[#This Row],[Start]]),ISBLANK(Term1_Day_2[[#This Row],[End]])),"",(Term1_Day_2[[#This Row],[End]]-Term1_Day_2[[#This Row],[Start]])*1440)</f>
        <v/>
      </c>
      <c r="M17" s="109" t="str">
        <f>IF(ISBLANK(Term1_Day_2[[#This Row],[Activity]]),"",IF(_xlfn.XLOOKUP(Term1_Day_2[[#This Row],[Activity]],Types_of_Activity[Type of Activity],Types_of_Activity[Classification])=1,Term1_Day_2[[#This Row],[Elapsed]],0))</f>
        <v/>
      </c>
      <c r="N17" s="109" t="str">
        <f>IF(ISBLANK(Term1_Day_2[[#This Row],[Activity]]),"",IF(_xlfn.XLOOKUP(Term1_Day_2[[#This Row],[Activity]],Types_of_Activity[Type of Activity],Types_of_Activity[Classification])=2,Term1_Day_2[[#This Row],[Elapsed]],0))</f>
        <v/>
      </c>
      <c r="P17" s="141"/>
      <c r="Q17" s="141"/>
      <c r="R17" s="106"/>
      <c r="S17" s="109" t="str">
        <f>IF(OR(ISBLANK(Term1_Day_3[[#This Row],[Start]]),ISBLANK(Term1_Day_3[[#This Row],[End]])),"",(Term1_Day_3[[#This Row],[End]]-Term1_Day_3[[#This Row],[Start]])*1440)</f>
        <v/>
      </c>
      <c r="T17" s="109" t="str">
        <f>IF(ISBLANK(Term1_Day_3[[#This Row],[Activity]]),"",IF(_xlfn.XLOOKUP(Term1_Day_3[[#This Row],[Activity]],Types_of_Activity[Type of Activity],Types_of_Activity[Classification])=1,Term1_Day_3[[#This Row],[Elapsed]],0))</f>
        <v/>
      </c>
      <c r="U17" s="109" t="str">
        <f>IF(ISBLANK(Term1_Day_3[[#This Row],[Activity]]),"",IF(_xlfn.XLOOKUP(Term1_Day_3[[#This Row],[Activity]],Types_of_Activity[Type of Activity],Types_of_Activity[Classification])=2,Term1_Day_3[[#This Row],[Elapsed]],0))</f>
        <v/>
      </c>
      <c r="W17" s="141"/>
      <c r="X17" s="141"/>
      <c r="Y17" s="106"/>
      <c r="Z17" s="109" t="str">
        <f>IF(OR(ISBLANK(Term1_Day_4[[#This Row],[Start]]),ISBLANK(Term1_Day_4[[#This Row],[End]])),"",(Term1_Day_4[[#This Row],[End]]-Term1_Day_4[[#This Row],[Start]])*1440)</f>
        <v/>
      </c>
      <c r="AA17" s="109" t="str">
        <f>IF(ISBLANK(Term1_Day_4[[#This Row],[Activity]]),"",IF(_xlfn.XLOOKUP(Term1_Day_4[[#This Row],[Activity]],Types_of_Activity[Type of Activity],Types_of_Activity[Classification])=1,Term1_Day_4[[#This Row],[Elapsed]],0))</f>
        <v/>
      </c>
      <c r="AB17" s="109" t="str">
        <f>IF(ISBLANK(Term1_Day_4[[#This Row],[Activity]]),"",IF(_xlfn.XLOOKUP(Term1_Day_4[[#This Row],[Activity]],Types_of_Activity[Type of Activity],Types_of_Activity[Classification])=2,Term1_Day_4[[#This Row],[Elapsed]],0))</f>
        <v/>
      </c>
      <c r="AD17" s="141"/>
      <c r="AE17" s="141"/>
      <c r="AF17" s="106"/>
      <c r="AG17" s="109" t="str">
        <f>IF(OR(ISBLANK(Term1_Day_5[[#This Row],[Start]]),ISBLANK(Term1_Day_5[[#This Row],[End]])),"",(Term1_Day_5[[#This Row],[End]]-Term1_Day_5[[#This Row],[Start]])*1440)</f>
        <v/>
      </c>
      <c r="AH17" s="109" t="str">
        <f>IF(ISBLANK(Term1_Day_5[[#This Row],[Activity]]),"",IF(_xlfn.XLOOKUP(Term1_Day_5[[#This Row],[Activity]],Types_of_Activity[Type of Activity],Types_of_Activity[Classification])=1,Term1_Day_5[[#This Row],[Elapsed]],0))</f>
        <v/>
      </c>
      <c r="AI17" s="109" t="str">
        <f>IF(ISBLANK(Term1_Day_5[[#This Row],[Activity]]),"",IF(_xlfn.XLOOKUP(Term1_Day_5[[#This Row],[Activity]],Types_of_Activity[Type of Activity],Types_of_Activity[Classification])=2,Term1_Day_5[[#This Row],[Elapsed]],0))</f>
        <v/>
      </c>
      <c r="AJ17" s="110"/>
      <c r="AK17" s="141"/>
      <c r="AL17" s="141"/>
      <c r="AM17" s="106"/>
      <c r="AN17" s="109" t="str">
        <f>IF(OR(ISBLANK(Term1_Day_6[[#This Row],[Start]]),ISBLANK(Term1_Day_6[[#This Row],[End]])),"",(Term1_Day_6[[#This Row],[End]]-Term1_Day_6[[#This Row],[Start]])*1440)</f>
        <v/>
      </c>
      <c r="AO17" s="109" t="str">
        <f>IF(ISBLANK(Term1_Day_6[[#This Row],[Activity]]),"",IF(_xlfn.XLOOKUP(Term1_Day_6[[#This Row],[Activity]],Types_of_Activity[Type of Activity],Types_of_Activity[Classification])=1,Term1_Day_6[[#This Row],[Elapsed]],0))</f>
        <v/>
      </c>
      <c r="AP17" s="109" t="str">
        <f>IF(ISBLANK(Term1_Day_6[[#This Row],[Activity]]),"",IF(_xlfn.XLOOKUP(Term1_Day_6[[#This Row],[Activity]],Types_of_Activity[Type of Activity],Types_of_Activity[Classification])=2,Term1_Day_6[[#This Row],[Elapsed]],0))</f>
        <v/>
      </c>
      <c r="AQ17" s="110"/>
      <c r="AR17" s="141"/>
      <c r="AS17" s="141"/>
      <c r="AT17" s="106"/>
      <c r="AU17" s="109" t="str">
        <f>IF(OR(ISBLANK(Term1_Day_7[[#This Row],[Start]]),ISBLANK(Term1_Day_7[[#This Row],[End]])),"",(Term1_Day_7[[#This Row],[End]]-Term1_Day_7[[#This Row],[Start]])*1440)</f>
        <v/>
      </c>
      <c r="AV17" s="109" t="str">
        <f>IF(ISBLANK(Term1_Day_7[[#This Row],[Activity]]),"",IF(_xlfn.XLOOKUP(Term1_Day_7[[#This Row],[Activity]],Types_of_Activity[Type of Activity],Types_of_Activity[Classification])=1,Term1_Day_7[[#This Row],[Elapsed]],0))</f>
        <v/>
      </c>
      <c r="AW17" s="109" t="str">
        <f>IF(ISBLANK(Term1_Day_7[[#This Row],[Activity]]),"",IF(_xlfn.XLOOKUP(Term1_Day_7[[#This Row],[Activity]],Types_of_Activity[Type of Activity],Types_of_Activity[Classification])=2,Term1_Day_7[[#This Row],[Elapsed]],0))</f>
        <v/>
      </c>
      <c r="AX17" s="110"/>
      <c r="AY17" s="141"/>
      <c r="AZ17" s="141"/>
      <c r="BA17" s="106"/>
      <c r="BB17" s="109" t="str">
        <f>IF(OR(ISBLANK(Term1_Day_8[[#This Row],[Start]]),ISBLANK(Term1_Day_8[[#This Row],[End]])),"",(Term1_Day_8[[#This Row],[End]]-Term1_Day_8[[#This Row],[Start]])*1440)</f>
        <v/>
      </c>
      <c r="BC17" s="109" t="str">
        <f>IF(ISBLANK(Term1_Day_8[[#This Row],[Activity]]),"",IF(_xlfn.XLOOKUP(Term1_Day_8[[#This Row],[Activity]],Types_of_Activity[Type of Activity],Types_of_Activity[Classification])=1,Term1_Day_8[[#This Row],[Elapsed]],0))</f>
        <v/>
      </c>
      <c r="BD17" s="109" t="str">
        <f>IF(ISBLANK(Term1_Day_8[[#This Row],[Activity]]),"",IF(_xlfn.XLOOKUP(Term1_Day_8[[#This Row],[Activity]],Types_of_Activity[Type of Activity],Types_of_Activity[Classification])=2,Term1_Day_8[[#This Row],[Elapsed]],0))</f>
        <v/>
      </c>
      <c r="BE17" s="110"/>
      <c r="BF17" s="141"/>
      <c r="BG17" s="141"/>
      <c r="BH17" s="106"/>
      <c r="BI17" s="109" t="str">
        <f>IF(OR(ISBLANK(Term1_Day_9[[#This Row],[Start]]),ISBLANK(Term1_Day_9[[#This Row],[End]])),"",(Term1_Day_9[[#This Row],[End]]-Term1_Day_9[[#This Row],[Start]])*1440)</f>
        <v/>
      </c>
      <c r="BJ17" s="109" t="str">
        <f>IF(ISBLANK(Term1_Day_9[[#This Row],[Activity]]),"",IF(_xlfn.XLOOKUP(Term1_Day_9[[#This Row],[Activity]],Types_of_Activity[Type of Activity],Types_of_Activity[Classification])=1,Term1_Day_9[[#This Row],[Elapsed]],0))</f>
        <v/>
      </c>
      <c r="BK17" s="109" t="str">
        <f>IF(ISBLANK(Term1_Day_9[[#This Row],[Activity]]),"",IF(_xlfn.XLOOKUP(Term1_Day_9[[#This Row],[Activity]],Types_of_Activity[Type of Activity],Types_of_Activity[Classification])=2,Term1_Day_9[[#This Row],[Elapsed]],0))</f>
        <v/>
      </c>
      <c r="BL17" s="110"/>
      <c r="BM17" s="141"/>
      <c r="BN17" s="141"/>
      <c r="BO17" s="106"/>
      <c r="BP17" s="109" t="str">
        <f>IF(OR(ISBLANK(Term1_Day_10[[#This Row],[Start]]),ISBLANK(Term1_Day_10[[#This Row],[End]])),"",(Term1_Day_10[[#This Row],[End]]-Term1_Day_10[[#This Row],[Start]])*1440)</f>
        <v/>
      </c>
      <c r="BQ17" s="109" t="str">
        <f>IF(ISBLANK(Term1_Day_10[[#This Row],[Activity]]),"",IF(_xlfn.XLOOKUP(Term1_Day_10[[#This Row],[Activity]],Types_of_Activity[Type of Activity],Types_of_Activity[Classification])=1,Term1_Day_10[[#This Row],[Elapsed]],0))</f>
        <v/>
      </c>
      <c r="BR17" s="109" t="str">
        <f>IF(ISBLANK(Term1_Day_10[[#This Row],[Activity]]),"",IF(_xlfn.XLOOKUP(Term1_Day_10[[#This Row],[Activity]],Types_of_Activity[Type of Activity],Types_of_Activity[Classification])=2,Term1_Day_10[[#This Row],[Elapsed]],0))</f>
        <v/>
      </c>
      <c r="BS17" s="110"/>
    </row>
    <row r="18" spans="2:71"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J18" s="110"/>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Q18" s="110"/>
      <c r="AR18" s="141"/>
      <c r="AS18" s="141"/>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X18" s="110"/>
      <c r="AY18" s="141"/>
      <c r="AZ18" s="141"/>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E18" s="110"/>
      <c r="BF18" s="141"/>
      <c r="BG18" s="141"/>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L18" s="110"/>
      <c r="BM18" s="141"/>
      <c r="BN18" s="141"/>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c r="BS18" s="110"/>
    </row>
    <row r="19" spans="2:71"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J19" s="110"/>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Q19" s="110"/>
      <c r="AR19" s="141"/>
      <c r="AS19" s="141"/>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X19" s="110"/>
      <c r="AY19" s="141"/>
      <c r="AZ19" s="141"/>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E19" s="110"/>
      <c r="BF19" s="141"/>
      <c r="BG19" s="141"/>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L19" s="110"/>
      <c r="BM19" s="141"/>
      <c r="BN19" s="141"/>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c r="BS19" s="110"/>
    </row>
    <row r="20" spans="2:71"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41"/>
      <c r="AZ20" s="141"/>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41"/>
      <c r="BG20" s="141"/>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41"/>
      <c r="BN20" s="141"/>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41"/>
      <c r="AZ21" s="141"/>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41"/>
      <c r="BG21" s="141"/>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41"/>
      <c r="BN21" s="141"/>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41"/>
      <c r="AZ22" s="141"/>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41"/>
      <c r="BG22" s="141"/>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41"/>
      <c r="BN22" s="141"/>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41"/>
      <c r="AZ23" s="141"/>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41"/>
      <c r="BG23" s="141"/>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41"/>
      <c r="BN23" s="141"/>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41"/>
      <c r="AZ24" s="141"/>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41"/>
      <c r="BG24" s="141"/>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41"/>
      <c r="BN24" s="141"/>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41"/>
      <c r="AZ25" s="141"/>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41"/>
      <c r="BG25" s="141"/>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41"/>
      <c r="BN25" s="141"/>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41"/>
      <c r="AZ26" s="141"/>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41"/>
      <c r="BG26" s="141"/>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41"/>
      <c r="BN26" s="141"/>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41"/>
      <c r="AZ27" s="141"/>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41"/>
      <c r="BG27" s="141"/>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41"/>
      <c r="BN27" s="141"/>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41"/>
      <c r="AZ28" s="141"/>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41"/>
      <c r="BG28" s="141"/>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41"/>
      <c r="BN28" s="141"/>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41"/>
      <c r="AZ29" s="141"/>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41"/>
      <c r="BG29" s="141"/>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41"/>
      <c r="BN29" s="141"/>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41"/>
      <c r="AZ30" s="141"/>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41"/>
      <c r="BG30" s="141"/>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41"/>
      <c r="BN30" s="141"/>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41"/>
      <c r="AZ31" s="141"/>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41"/>
      <c r="BG31" s="141"/>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41"/>
      <c r="BN31" s="141"/>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41"/>
      <c r="AZ32" s="141"/>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41"/>
      <c r="BG32" s="141"/>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41"/>
      <c r="BN32" s="141"/>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41"/>
      <c r="AZ33" s="141"/>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41"/>
      <c r="BG33" s="141"/>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41"/>
      <c r="BN33" s="141"/>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41"/>
      <c r="AZ34" s="141"/>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41"/>
      <c r="BG34" s="141"/>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41"/>
      <c r="BN34" s="141"/>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41"/>
      <c r="AZ35" s="141"/>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41"/>
      <c r="BG35" s="141"/>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41"/>
      <c r="BN35" s="141"/>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41"/>
      <c r="AZ36" s="141"/>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41"/>
      <c r="BG36" s="141"/>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41"/>
      <c r="BN36" s="141"/>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41"/>
      <c r="AZ37" s="141"/>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41"/>
      <c r="BG37" s="141"/>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41"/>
      <c r="BN37" s="141"/>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41"/>
      <c r="AZ38" s="141"/>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41"/>
      <c r="BG38" s="141"/>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41"/>
      <c r="BN38" s="141"/>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41"/>
      <c r="AZ39" s="141"/>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41"/>
      <c r="BG39" s="141"/>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41"/>
      <c r="BN39" s="141"/>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41"/>
      <c r="AZ40" s="141"/>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41"/>
      <c r="BG40" s="141"/>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41"/>
      <c r="BN40" s="141"/>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41"/>
      <c r="AZ41" s="141"/>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41"/>
      <c r="BG41" s="141"/>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41"/>
      <c r="BN41" s="141"/>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41"/>
      <c r="AZ42" s="141"/>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41"/>
      <c r="BG42" s="141"/>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41"/>
      <c r="BN42" s="141"/>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41"/>
      <c r="AZ43" s="141"/>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41"/>
      <c r="BG43" s="141"/>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41"/>
      <c r="BN43" s="141"/>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41"/>
      <c r="AZ44" s="141"/>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41"/>
      <c r="BG44" s="141"/>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41"/>
      <c r="BN44" s="141"/>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41"/>
      <c r="AZ45" s="141"/>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41"/>
      <c r="BG45" s="141"/>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41"/>
      <c r="BN45" s="141"/>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41"/>
      <c r="AZ46" s="141"/>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41"/>
      <c r="BG46" s="141"/>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41"/>
      <c r="BN46" s="141"/>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41"/>
      <c r="AZ47" s="141"/>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41"/>
      <c r="BG47" s="141"/>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41"/>
      <c r="BN47" s="141"/>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IF(OR(ISBLANK(Term1_Early_Dismissal_1[[#This Row],[Start]]),ISBLANK(Term1_Early_Dismissal_1[[#This Row],[End]])),"",(Term1_Early_Dismissal_1[[#This Row],[End]]-Term1_Early_Dismissal_1[[#This Row],[Start]])*1440)</f>
        <v/>
      </c>
      <c r="F54" s="109" t="str">
        <f>IF(ISBLANK(Term1_Early_Dismissal_1[[#This Row],[Activity]]),"",IF(_xlfn.XLOOKUP(Term1_Early_Dismissal_1[[#This Row],[Activity]],Types_of_Activity[Type of Activity],Types_of_Activity[Classification])=1,Term1_Early_Dismissal_1[[#This Row],[Elapsed]],0))</f>
        <v/>
      </c>
      <c r="G54" s="109" t="str">
        <f>IF(ISBLANK(Term1_Early_Dismissal_1[[#This Row],[Activity]]),"",IF(_xlfn.XLOOKUP(Term1_Early_Dismissal_1[[#This Row],[Activity]],Types_of_Activity[Type of Activity],Types_of_Activity[Classification])=2,Term1_Early_Dismissal_1[[#This Row],[Elapsed]],0))</f>
        <v/>
      </c>
      <c r="H54"/>
      <c r="I54" s="141"/>
      <c r="J54" s="141"/>
      <c r="K54" s="106"/>
      <c r="L54" s="109" t="str">
        <f>IF(OR(ISBLANK(Term1_Early_Dismissal_2[[#This Row],[Start]]),ISBLANK(Term1_Early_Dismissal_2[[#This Row],[End]])),"",(Term1_Early_Dismissal_2[[#This Row],[End]]-Term1_Early_Dismissal_2[[#This Row],[Start]])*1440)</f>
        <v/>
      </c>
      <c r="M54" s="109" t="str">
        <f>IF(ISBLANK(Term1_Early_Dismissal_2[[#This Row],[Activity]]),"",IF(_xlfn.XLOOKUP(Term1_Early_Dismissal_2[[#This Row],[Activity]],Types_of_Activity[Type of Activity],Types_of_Activity[Classification])=1,Term1_Early_Dismissal_2[[#This Row],[Elapsed]],0))</f>
        <v/>
      </c>
      <c r="N54" s="109" t="str">
        <f>IF(ISBLANK(Term1_Early_Dismissal_2[[#This Row],[Activity]]),"",IF(_xlfn.XLOOKUP(Term1_Early_Dismissal_2[[#This Row],[Activity]],Types_of_Activity[Type of Activity],Types_of_Activity[Classification])=2,Term1_Early_Dismissal_2[[#This Row],[Elapsed]],0))</f>
        <v/>
      </c>
      <c r="O54"/>
      <c r="P54" s="141"/>
      <c r="Q54" s="141"/>
      <c r="R54" s="106"/>
      <c r="S54" s="109" t="str">
        <f>IF(OR(ISBLANK(Term1_Early_Dismissal_3[[#This Row],[Start]]),ISBLANK(Term1_Early_Dismissal_3[[#This Row],[End]])),"",(Term1_Early_Dismissal_3[[#This Row],[End]]-Term1_Early_Dismissal_3[[#This Row],[Start]])*1440)</f>
        <v/>
      </c>
      <c r="T54" s="109" t="str">
        <f>IF(ISBLANK(Term1_Early_Dismissal_3[[#This Row],[Activity]]),"",IF(_xlfn.XLOOKUP(Term1_Early_Dismissal_3[[#This Row],[Activity]],Types_of_Activity[Type of Activity],Types_of_Activity[Classification])=1,Term1_Early_Dismissal_3[[#This Row],[Elapsed]],0))</f>
        <v/>
      </c>
      <c r="U54" s="109" t="str">
        <f>IF(ISBLANK(Term1_Early_Dismissal_3[[#This Row],[Activity]]),"",IF(_xlfn.XLOOKUP(Term1_Early_Dismissal_3[[#This Row],[Activity]],Types_of_Activity[Type of Activity],Types_of_Activity[Classification])=2,Term1_Early_Dismissal_3[[#This Row],[Elapsed]],0))</f>
        <v/>
      </c>
    </row>
    <row r="55" spans="2:21" x14ac:dyDescent="0.3">
      <c r="B55" s="141"/>
      <c r="C55" s="141"/>
      <c r="D55" s="106"/>
      <c r="E55" s="109" t="str">
        <f>IF(OR(ISBLANK(Term1_Early_Dismissal_1[[#This Row],[Start]]),ISBLANK(Term1_Early_Dismissal_1[[#This Row],[End]])),"",(Term1_Early_Dismissal_1[[#This Row],[End]]-Term1_Early_Dismissal_1[[#This Row],[Start]])*1440)</f>
        <v/>
      </c>
      <c r="F55" s="109" t="str">
        <f>IF(ISBLANK(Term1_Early_Dismissal_1[[#This Row],[Activity]]),"",IF(_xlfn.XLOOKUP(Term1_Early_Dismissal_1[[#This Row],[Activity]],Types_of_Activity[Type of Activity],Types_of_Activity[Classification])=1,Term1_Early_Dismissal_1[[#This Row],[Elapsed]],0))</f>
        <v/>
      </c>
      <c r="G55" s="109" t="str">
        <f>IF(ISBLANK(Term1_Early_Dismissal_1[[#This Row],[Activity]]),"",IF(_xlfn.XLOOKUP(Term1_Early_Dismissal_1[[#This Row],[Activity]],Types_of_Activity[Type of Activity],Types_of_Activity[Classification])=2,Term1_Early_Dismissal_1[[#This Row],[Elapsed]],0))</f>
        <v/>
      </c>
      <c r="H55"/>
      <c r="I55" s="141"/>
      <c r="J55" s="141"/>
      <c r="K55" s="106"/>
      <c r="L55" s="109" t="str">
        <f>IF(OR(ISBLANK(Term1_Early_Dismissal_2[[#This Row],[Start]]),ISBLANK(Term1_Early_Dismissal_2[[#This Row],[End]])),"",(Term1_Early_Dismissal_2[[#This Row],[End]]-Term1_Early_Dismissal_2[[#This Row],[Start]])*1440)</f>
        <v/>
      </c>
      <c r="M55" s="109" t="str">
        <f>IF(ISBLANK(Term1_Early_Dismissal_2[[#This Row],[Activity]]),"",IF(_xlfn.XLOOKUP(Term1_Early_Dismissal_2[[#This Row],[Activity]],Types_of_Activity[Type of Activity],Types_of_Activity[Classification])=1,Term1_Early_Dismissal_2[[#This Row],[Elapsed]],0))</f>
        <v/>
      </c>
      <c r="N55" s="109" t="str">
        <f>IF(ISBLANK(Term1_Early_Dismissal_2[[#This Row],[Activity]]),"",IF(_xlfn.XLOOKUP(Term1_Early_Dismissal_2[[#This Row],[Activity]],Types_of_Activity[Type of Activity],Types_of_Activity[Classification])=2,Term1_Early_Dismissal_2[[#This Row],[Elapsed]],0))</f>
        <v/>
      </c>
      <c r="O55"/>
      <c r="P55" s="141"/>
      <c r="Q55" s="141"/>
      <c r="R55" s="106"/>
      <c r="S55" s="109" t="str">
        <f>IF(OR(ISBLANK(Term1_Early_Dismissal_3[[#This Row],[Start]]),ISBLANK(Term1_Early_Dismissal_3[[#This Row],[End]])),"",(Term1_Early_Dismissal_3[[#This Row],[End]]-Term1_Early_Dismissal_3[[#This Row],[Start]])*1440)</f>
        <v/>
      </c>
      <c r="T55" s="109" t="str">
        <f>IF(ISBLANK(Term1_Early_Dismissal_3[[#This Row],[Activity]]),"",IF(_xlfn.XLOOKUP(Term1_Early_Dismissal_3[[#This Row],[Activity]],Types_of_Activity[Type of Activity],Types_of_Activity[Classification])=1,Term1_Early_Dismissal_3[[#This Row],[Elapsed]],0))</f>
        <v/>
      </c>
      <c r="U55" s="109" t="str">
        <f>IF(ISBLANK(Term1_Early_Dismissal_3[[#This Row],[Activity]]),"",IF(_xlfn.XLOOKUP(Term1_Early_Dismissal_3[[#This Row],[Activity]],Types_of_Activity[Type of Activity],Types_of_Activity[Classification])=2,Term1_Early_Dismissal_3[[#This Row],[Elapsed]],0))</f>
        <v/>
      </c>
    </row>
    <row r="56" spans="2:21" x14ac:dyDescent="0.3">
      <c r="B56" s="141"/>
      <c r="C56" s="141"/>
      <c r="D56" s="106"/>
      <c r="E56" s="109" t="str">
        <f>IF(OR(ISBLANK(Term1_Early_Dismissal_1[[#This Row],[Start]]),ISBLANK(Term1_Early_Dismissal_1[[#This Row],[End]])),"",(Term1_Early_Dismissal_1[[#This Row],[End]]-Term1_Early_Dismissal_1[[#This Row],[Start]])*1440)</f>
        <v/>
      </c>
      <c r="F56" s="109" t="str">
        <f>IF(ISBLANK(Term1_Early_Dismissal_1[[#This Row],[Activity]]),"",IF(_xlfn.XLOOKUP(Term1_Early_Dismissal_1[[#This Row],[Activity]],Types_of_Activity[Type of Activity],Types_of_Activity[Classification])=1,Term1_Early_Dismissal_1[[#This Row],[Elapsed]],0))</f>
        <v/>
      </c>
      <c r="G56" s="109" t="str">
        <f>IF(ISBLANK(Term1_Early_Dismissal_1[[#This Row],[Activity]]),"",IF(_xlfn.XLOOKUP(Term1_Early_Dismissal_1[[#This Row],[Activity]],Types_of_Activity[Type of Activity],Types_of_Activity[Classification])=2,Term1_Early_Dismissal_1[[#This Row],[Elapsed]],0))</f>
        <v/>
      </c>
      <c r="H56"/>
      <c r="I56" s="141"/>
      <c r="J56" s="141"/>
      <c r="K56" s="106"/>
      <c r="L56" s="109" t="str">
        <f>IF(OR(ISBLANK(Term1_Early_Dismissal_2[[#This Row],[Start]]),ISBLANK(Term1_Early_Dismissal_2[[#This Row],[End]])),"",(Term1_Early_Dismissal_2[[#This Row],[End]]-Term1_Early_Dismissal_2[[#This Row],[Start]])*1440)</f>
        <v/>
      </c>
      <c r="M56" s="109" t="str">
        <f>IF(ISBLANK(Term1_Early_Dismissal_2[[#This Row],[Activity]]),"",IF(_xlfn.XLOOKUP(Term1_Early_Dismissal_2[[#This Row],[Activity]],Types_of_Activity[Type of Activity],Types_of_Activity[Classification])=1,Term1_Early_Dismissal_2[[#This Row],[Elapsed]],0))</f>
        <v/>
      </c>
      <c r="N56" s="109" t="str">
        <f>IF(ISBLANK(Term1_Early_Dismissal_2[[#This Row],[Activity]]),"",IF(_xlfn.XLOOKUP(Term1_Early_Dismissal_2[[#This Row],[Activity]],Types_of_Activity[Type of Activity],Types_of_Activity[Classification])=2,Term1_Early_Dismissal_2[[#This Row],[Elapsed]],0))</f>
        <v/>
      </c>
      <c r="O56"/>
      <c r="P56" s="141"/>
      <c r="Q56" s="141"/>
      <c r="R56" s="106"/>
      <c r="S56" s="109" t="str">
        <f>IF(OR(ISBLANK(Term1_Early_Dismissal_3[[#This Row],[Start]]),ISBLANK(Term1_Early_Dismissal_3[[#This Row],[End]])),"",(Term1_Early_Dismissal_3[[#This Row],[End]]-Term1_Early_Dismissal_3[[#This Row],[Start]])*1440)</f>
        <v/>
      </c>
      <c r="T56" s="109" t="str">
        <f>IF(ISBLANK(Term1_Early_Dismissal_3[[#This Row],[Activity]]),"",IF(_xlfn.XLOOKUP(Term1_Early_Dismissal_3[[#This Row],[Activity]],Types_of_Activity[Type of Activity],Types_of_Activity[Classification])=1,Term1_Early_Dismissal_3[[#This Row],[Elapsed]],0))</f>
        <v/>
      </c>
      <c r="U56" s="109" t="str">
        <f>IF(ISBLANK(Term1_Early_Dismissal_3[[#This Row],[Activity]]),"",IF(_xlfn.XLOOKUP(Term1_Early_Dismissal_3[[#This Row],[Activity]],Types_of_Activity[Type of Activity],Types_of_Activity[Classification])=2,Term1_Early_Dismissal_3[[#This Row],[Elapsed]],0))</f>
        <v/>
      </c>
    </row>
    <row r="57" spans="2:2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row>
    <row r="58" spans="2:2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row>
    <row r="59" spans="2:2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row>
    <row r="60" spans="2:2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row>
    <row r="61" spans="2:2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row>
    <row r="62" spans="2:2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row>
    <row r="63" spans="2:2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row>
    <row r="64" spans="2:2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row>
    <row r="65" spans="2:21"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row>
    <row r="66" spans="2:21"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row>
    <row r="67" spans="2:21"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row>
    <row r="68" spans="2:21"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row>
    <row r="69" spans="2:21"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row>
    <row r="70" spans="2:21"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row>
    <row r="71" spans="2:21"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row>
    <row r="72" spans="2:21"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row>
    <row r="73" spans="2:21"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row>
    <row r="74" spans="2:21"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row>
    <row r="75" spans="2:21"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row>
    <row r="76" spans="2:21"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row>
    <row r="77" spans="2:21"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row>
    <row r="78" spans="2:21"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row>
    <row r="79" spans="2:21"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row>
    <row r="80" spans="2:21"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row>
    <row r="81" spans="2:21"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row>
    <row r="82" spans="2:21"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row>
    <row r="83" spans="2:21"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row>
    <row r="84" spans="2:21"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row>
    <row r="85" spans="2:21"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row>
    <row r="86" spans="2:21"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IF(OR(ISBLANK(Term1_Special_Day_1[[#This Row],[Start]]),ISBLANK(Term1_Special_Day_1[[#This Row],[End]])),"",(Term1_Special_Day_1[[#This Row],[End]]-Term1_Special_Day_1[[#This Row],[Start]])*1440)</f>
        <v/>
      </c>
      <c r="F96" s="109" t="str">
        <f>IF(ISBLANK(Term1_Special_Day_1[[#This Row],[Activity]]),"",IF(_xlfn.XLOOKUP(Term1_Special_Day_1[[#This Row],[Activity]],Types_of_Activity[Type of Activity],Types_of_Activity[Classification])=1,Term1_Special_Day_1[[#This Row],[Elapsed]],0))</f>
        <v/>
      </c>
      <c r="G96" s="109" t="str">
        <f>IF(ISBLANK(Term1_Special_Day_1[[#This Row],[Activity]]),"",IF(_xlfn.XLOOKUP(Term1_Special_Day_1[[#This Row],[Activity]],Types_of_Activity[Type of Activity],Types_of_Activity[Classification])=2,Term1_Special_Day_1[[#This Row],[Elapsed]],0))</f>
        <v/>
      </c>
      <c r="H96"/>
      <c r="I96" s="141"/>
      <c r="J96" s="141"/>
      <c r="K96" s="106"/>
      <c r="L96" s="109" t="str">
        <f>IF(OR(ISBLANK(Term1_Special_Day_2[[#This Row],[Start]]),ISBLANK(Term1_Special_Day_2[[#This Row],[End]])),"",(Term1_Special_Day_2[[#This Row],[End]]-Term1_Special_Day_2[[#This Row],[Start]])*1440)</f>
        <v/>
      </c>
      <c r="M96" s="109" t="str">
        <f>IF(ISBLANK(Term1_Special_Day_2[[#This Row],[Activity]]),"",IF(_xlfn.XLOOKUP(Term1_Special_Day_2[[#This Row],[Activity]],Types_of_Activity[Type of Activity],Types_of_Activity[Classification])=1,Term1_Special_Day_2[[#This Row],[Elapsed]],0))</f>
        <v/>
      </c>
      <c r="N96" s="109" t="str">
        <f>IF(ISBLANK(Term1_Special_Day_2[[#This Row],[Activity]]),"",IF(_xlfn.XLOOKUP(Term1_Special_Day_2[[#This Row],[Activity]],Types_of_Activity[Type of Activity],Types_of_Activity[Classification])=2,Term1_Special_Day_2[[#This Row],[Elapsed]],0))</f>
        <v/>
      </c>
      <c r="O96"/>
      <c r="P96" s="141"/>
      <c r="Q96" s="141"/>
      <c r="R96" s="106"/>
      <c r="S96" s="109" t="str">
        <f>IF(OR(ISBLANK(Term1_Special_Day_3[[#This Row],[Start]]),ISBLANK(Term1_Special_Day_3[[#This Row],[End]])),"",(Term1_Special_Day_3[[#This Row],[End]]-Term1_Special_Day_3[[#This Row],[Start]])*1440)</f>
        <v/>
      </c>
      <c r="T96" s="109" t="str">
        <f>IF(ISBLANK(Term1_Special_Day_3[[#This Row],[Activity]]),"",IF(_xlfn.XLOOKUP(Term1_Special_Day_3[[#This Row],[Activity]],Types_of_Activity[Type of Activity],Types_of_Activity[Classification])=1,Term1_Special_Day_3[[#This Row],[Elapsed]],0))</f>
        <v/>
      </c>
      <c r="U96" s="109" t="str">
        <f>IF(ISBLANK(Term1_Special_Day_3[[#This Row],[Activity]]),"",IF(_xlfn.XLOOKUP(Term1_Special_Day_3[[#This Row],[Activity]],Types_of_Activity[Type of Activity],Types_of_Activity[Classification])=2,Term1_Special_Day_3[[#This Row],[Elapsed]],0))</f>
        <v/>
      </c>
    </row>
    <row r="97" spans="2:21" x14ac:dyDescent="0.3">
      <c r="B97" s="141"/>
      <c r="C97" s="141"/>
      <c r="D97" s="106"/>
      <c r="E97" s="109" t="str">
        <f>IF(OR(ISBLANK(Term1_Special_Day_1[[#This Row],[Start]]),ISBLANK(Term1_Special_Day_1[[#This Row],[End]])),"",(Term1_Special_Day_1[[#This Row],[End]]-Term1_Special_Day_1[[#This Row],[Start]])*1440)</f>
        <v/>
      </c>
      <c r="F97" s="109" t="str">
        <f>IF(ISBLANK(Term1_Special_Day_1[[#This Row],[Activity]]),"",IF(_xlfn.XLOOKUP(Term1_Special_Day_1[[#This Row],[Activity]],Types_of_Activity[Type of Activity],Types_of_Activity[Classification])=1,Term1_Special_Day_1[[#This Row],[Elapsed]],0))</f>
        <v/>
      </c>
      <c r="G97" s="109" t="str">
        <f>IF(ISBLANK(Term1_Special_Day_1[[#This Row],[Activity]]),"",IF(_xlfn.XLOOKUP(Term1_Special_Day_1[[#This Row],[Activity]],Types_of_Activity[Type of Activity],Types_of_Activity[Classification])=2,Term1_Special_Day_1[[#This Row],[Elapsed]],0))</f>
        <v/>
      </c>
      <c r="H97"/>
      <c r="I97" s="141"/>
      <c r="J97" s="141"/>
      <c r="K97" s="106"/>
      <c r="L97" s="109" t="str">
        <f>IF(OR(ISBLANK(Term1_Special_Day_2[[#This Row],[Start]]),ISBLANK(Term1_Special_Day_2[[#This Row],[End]])),"",(Term1_Special_Day_2[[#This Row],[End]]-Term1_Special_Day_2[[#This Row],[Start]])*1440)</f>
        <v/>
      </c>
      <c r="M97" s="109" t="str">
        <f>IF(ISBLANK(Term1_Special_Day_2[[#This Row],[Activity]]),"",IF(_xlfn.XLOOKUP(Term1_Special_Day_2[[#This Row],[Activity]],Types_of_Activity[Type of Activity],Types_of_Activity[Classification])=1,Term1_Special_Day_2[[#This Row],[Elapsed]],0))</f>
        <v/>
      </c>
      <c r="N97" s="109" t="str">
        <f>IF(ISBLANK(Term1_Special_Day_2[[#This Row],[Activity]]),"",IF(_xlfn.XLOOKUP(Term1_Special_Day_2[[#This Row],[Activity]],Types_of_Activity[Type of Activity],Types_of_Activity[Classification])=2,Term1_Special_Day_2[[#This Row],[Elapsed]],0))</f>
        <v/>
      </c>
      <c r="O97"/>
      <c r="P97" s="141"/>
      <c r="Q97" s="141"/>
      <c r="R97" s="106"/>
      <c r="S97" s="109" t="str">
        <f>IF(OR(ISBLANK(Term1_Special_Day_3[[#This Row],[Start]]),ISBLANK(Term1_Special_Day_3[[#This Row],[End]])),"",(Term1_Special_Day_3[[#This Row],[End]]-Term1_Special_Day_3[[#This Row],[Start]])*1440)</f>
        <v/>
      </c>
      <c r="T97" s="109" t="str">
        <f>IF(ISBLANK(Term1_Special_Day_3[[#This Row],[Activity]]),"",IF(_xlfn.XLOOKUP(Term1_Special_Day_3[[#This Row],[Activity]],Types_of_Activity[Type of Activity],Types_of_Activity[Classification])=1,Term1_Special_Day_3[[#This Row],[Elapsed]],0))</f>
        <v/>
      </c>
      <c r="U97" s="109" t="str">
        <f>IF(ISBLANK(Term1_Special_Day_3[[#This Row],[Activity]]),"",IF(_xlfn.XLOOKUP(Term1_Special_Day_3[[#This Row],[Activity]],Types_of_Activity[Type of Activity],Types_of_Activity[Classification])=2,Term1_Special_Day_3[[#This Row],[Elapsed]],0))</f>
        <v/>
      </c>
    </row>
    <row r="98" spans="2:21" x14ac:dyDescent="0.3">
      <c r="B98" s="141"/>
      <c r="C98" s="141"/>
      <c r="D98" s="106"/>
      <c r="E98" s="109" t="str">
        <f>IF(OR(ISBLANK(Term1_Special_Day_1[[#This Row],[Start]]),ISBLANK(Term1_Special_Day_1[[#This Row],[End]])),"",(Term1_Special_Day_1[[#This Row],[End]]-Term1_Special_Day_1[[#This Row],[Start]])*1440)</f>
        <v/>
      </c>
      <c r="F98" s="109" t="str">
        <f>IF(ISBLANK(Term1_Special_Day_1[[#This Row],[Activity]]),"",IF(_xlfn.XLOOKUP(Term1_Special_Day_1[[#This Row],[Activity]],Types_of_Activity[Type of Activity],Types_of_Activity[Classification])=1,Term1_Special_Day_1[[#This Row],[Elapsed]],0))</f>
        <v/>
      </c>
      <c r="G98" s="109" t="str">
        <f>IF(ISBLANK(Term1_Special_Day_1[[#This Row],[Activity]]),"",IF(_xlfn.XLOOKUP(Term1_Special_Day_1[[#This Row],[Activity]],Types_of_Activity[Type of Activity],Types_of_Activity[Classification])=2,Term1_Special_Day_1[[#This Row],[Elapsed]],0))</f>
        <v/>
      </c>
      <c r="H98"/>
      <c r="I98" s="141"/>
      <c r="J98" s="141"/>
      <c r="K98" s="106"/>
      <c r="L98" s="109" t="str">
        <f>IF(OR(ISBLANK(Term1_Special_Day_2[[#This Row],[Start]]),ISBLANK(Term1_Special_Day_2[[#This Row],[End]])),"",(Term1_Special_Day_2[[#This Row],[End]]-Term1_Special_Day_2[[#This Row],[Start]])*1440)</f>
        <v/>
      </c>
      <c r="M98" s="109" t="str">
        <f>IF(ISBLANK(Term1_Special_Day_2[[#This Row],[Activity]]),"",IF(_xlfn.XLOOKUP(Term1_Special_Day_2[[#This Row],[Activity]],Types_of_Activity[Type of Activity],Types_of_Activity[Classification])=1,Term1_Special_Day_2[[#This Row],[Elapsed]],0))</f>
        <v/>
      </c>
      <c r="N98" s="109" t="str">
        <f>IF(ISBLANK(Term1_Special_Day_2[[#This Row],[Activity]]),"",IF(_xlfn.XLOOKUP(Term1_Special_Day_2[[#This Row],[Activity]],Types_of_Activity[Type of Activity],Types_of_Activity[Classification])=2,Term1_Special_Day_2[[#This Row],[Elapsed]],0))</f>
        <v/>
      </c>
      <c r="O98"/>
      <c r="P98" s="141"/>
      <c r="Q98" s="141"/>
      <c r="R98" s="106"/>
      <c r="S98" s="109" t="str">
        <f>IF(OR(ISBLANK(Term1_Special_Day_3[[#This Row],[Start]]),ISBLANK(Term1_Special_Day_3[[#This Row],[End]])),"",(Term1_Special_Day_3[[#This Row],[End]]-Term1_Special_Day_3[[#This Row],[Start]])*1440)</f>
        <v/>
      </c>
      <c r="T98" s="109" t="str">
        <f>IF(ISBLANK(Term1_Special_Day_3[[#This Row],[Activity]]),"",IF(_xlfn.XLOOKUP(Term1_Special_Day_3[[#This Row],[Activity]],Types_of_Activity[Type of Activity],Types_of_Activity[Classification])=1,Term1_Special_Day_3[[#This Row],[Elapsed]],0))</f>
        <v/>
      </c>
      <c r="U98" s="109" t="str">
        <f>IF(ISBLANK(Term1_Special_Day_3[[#This Row],[Activity]]),"",IF(_xlfn.XLOOKUP(Term1_Special_Day_3[[#This Row],[Activity]],Types_of_Activity[Type of Activity],Types_of_Activity[Classification])=2,Term1_Special_Day_3[[#This Row],[Elapsed]],0))</f>
        <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sheetData>
  <sheetProtection algorithmName="SHA-512" hashValue="1KSEIQKggg0SRuBSn3o0mKB0+er8McmXUq0f1xWTRYDl4oVdT2JXLyZjT/9nEazSGX7pcLWMmtfgIC43ZOascQ==" saltValue="6KIMfuSHpY1b4kSwTnh0PA==" spinCount="100000" sheet="1" selectLockedCells="1"/>
  <dataValidations count="1">
    <dataValidation type="time" allowBlank="1" showInputMessage="1" showErrorMessage="1" sqref="AD15:AE28 B15:C47 AY15:AZ28 P15:Q28 W15:X28 I15:J28 BF15:BG28 B54:C66 AK15:AL28 AR15:AS28 BM15:BN28" xr:uid="{804487EC-68EA-4CD9-9E57-4AA648BCB1E0}">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_xlfn.ANCHORARRAY(Parameters!$F$19)</xm:f>
          </x14:formula1>
          <xm:sqref>R96:R128 BA15:BA47 Y15:Y47 D15:D47 AF15:AF47 K15:K47 D54:D86 D96:D128 R54:R86 K54:K86 K96:K128 R15:R47 AM15:AM47 AT15:AT47 BH15:BH47 BO15:BO47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1:BS128"/>
  <sheetViews>
    <sheetView showGridLines="0" topLeftCell="A4"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75" style="107" customWidth="1"/>
    <col min="48" max="49" width="19.625" style="107" customWidth="1"/>
    <col min="50" max="50" width="9" style="107" customWidth="1"/>
    <col min="51" max="52" width="12.75" style="107" customWidth="1"/>
    <col min="53" max="53" width="19.625" style="107" customWidth="1"/>
    <col min="54" max="54" width="9" style="107" customWidth="1"/>
    <col min="55" max="56" width="19.625" style="107" customWidth="1"/>
    <col min="57" max="57" width="9" style="107" customWidth="1"/>
    <col min="58" max="59" width="12.75" style="107" customWidth="1"/>
    <col min="60" max="60" width="19.625" style="107" customWidth="1"/>
    <col min="61" max="61" width="12.75" style="107" customWidth="1"/>
    <col min="62" max="63" width="19.62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1" spans="2:70" ht="27.75" x14ac:dyDescent="0.45">
      <c r="B11" s="167" t="str">
        <f>IF(Num_Terms = 1, "STOP. You indicated that your school uses only 1 term. If you have more than 1 term, update the settings on the first sheet.","")</f>
        <v/>
      </c>
      <c r="C11" s="167"/>
      <c r="D11" s="167"/>
      <c r="E11" s="167"/>
      <c r="F11" s="167"/>
      <c r="G11" s="167"/>
      <c r="H11" s="167"/>
      <c r="I11" s="167"/>
      <c r="J11" s="167"/>
      <c r="K11" s="167"/>
      <c r="L11" s="167"/>
      <c r="M11" s="167"/>
      <c r="N11" s="167"/>
    </row>
    <row r="12" spans="2:70" ht="16.5" customHeight="1" x14ac:dyDescent="0.45">
      <c r="B12" s="149"/>
    </row>
    <row r="13" spans="2:70"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4243</v>
      </c>
      <c r="AV13" s="109"/>
      <c r="AW13" s="109"/>
      <c r="AY13" s="108" t="s">
        <v>4244</v>
      </c>
      <c r="BC13" s="109"/>
      <c r="BD13" s="109"/>
      <c r="BF13" s="108" t="s">
        <v>4245</v>
      </c>
      <c r="BJ13" s="109"/>
      <c r="BK13" s="109"/>
      <c r="BM13" s="108" t="s">
        <v>16</v>
      </c>
      <c r="BQ13" s="109"/>
      <c r="BR13" s="109"/>
    </row>
    <row r="14" spans="2:70"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c r="AY14" s="123" t="s">
        <v>17</v>
      </c>
      <c r="AZ14" s="123" t="s">
        <v>18</v>
      </c>
      <c r="BA14" s="123" t="s">
        <v>20</v>
      </c>
      <c r="BB14" s="123" t="s">
        <v>19</v>
      </c>
      <c r="BC14" s="123" t="s">
        <v>21</v>
      </c>
      <c r="BD14" s="124" t="s">
        <v>4218</v>
      </c>
      <c r="BF14" s="123" t="s">
        <v>17</v>
      </c>
      <c r="BG14" s="123" t="s">
        <v>18</v>
      </c>
      <c r="BH14" s="123" t="s">
        <v>20</v>
      </c>
      <c r="BI14" s="123" t="s">
        <v>19</v>
      </c>
      <c r="BJ14" s="123" t="s">
        <v>21</v>
      </c>
      <c r="BK14" s="124" t="s">
        <v>4218</v>
      </c>
      <c r="BM14" s="123" t="s">
        <v>17</v>
      </c>
      <c r="BN14" s="123" t="s">
        <v>18</v>
      </c>
      <c r="BO14" s="123" t="s">
        <v>20</v>
      </c>
      <c r="BP14" s="123" t="s">
        <v>19</v>
      </c>
      <c r="BQ14" s="123" t="s">
        <v>21</v>
      </c>
      <c r="BR14" s="124" t="s">
        <v>4218</v>
      </c>
    </row>
    <row r="15" spans="2:70" x14ac:dyDescent="0.3">
      <c r="B15" s="141"/>
      <c r="C15" s="141"/>
      <c r="D15" s="106"/>
      <c r="E15" s="109" t="str">
        <f>IF(OR(ISBLANK(Term2_Day_1[[#This Row],[Start]]),ISBLANK(Term2_Day_1[[#This Row],[End]])),"",(Term2_Day_1[[#This Row],[End]]-Term2_Day_1[[#This Row],[Start]])*1440)</f>
        <v/>
      </c>
      <c r="F15" s="109" t="str">
        <f>IF(ISBLANK(Term2_Day_1[[#This Row],[Activity]]),"",IF(_xlfn.XLOOKUP(Term2_Day_1[[#This Row],[Activity]],Types_of_Activity[Type of Activity],Types_of_Activity[Classification])=1,Term2_Day_1[[#This Row],[Elapsed]],0))</f>
        <v/>
      </c>
      <c r="G15" s="109" t="str">
        <f>IF(ISBLANK(Term2_Day_1[[#This Row],[Activity]]),"",IF(_xlfn.XLOOKUP(Term2_Day_1[[#This Row],[Activity]],Types_of_Activity[Type of Activity],Types_of_Activity[Classification])=2,Term2_Day_1[[#This Row],[Elapsed]],0))</f>
        <v/>
      </c>
      <c r="I15" s="141"/>
      <c r="J15" s="141"/>
      <c r="K15" s="106"/>
      <c r="L15" s="109" t="str">
        <f>IF(OR(ISBLANK(Term2_Day_2[[#This Row],[Start]]),ISBLANK(Term2_Day_2[[#This Row],[End]])),"",(Term2_Day_2[[#This Row],[End]]-Term2_Day_2[[#This Row],[Start]])*1440)</f>
        <v/>
      </c>
      <c r="M15" s="109" t="str">
        <f>IF(ISBLANK(Term2_Day_2[[#This Row],[Activity]]),"",IF(_xlfn.XLOOKUP(Term2_Day_2[[#This Row],[Activity]],Types_of_Activity[Type of Activity],Types_of_Activity[Classification])=1,Term2_Day_2[[#This Row],[Elapsed]],0))</f>
        <v/>
      </c>
      <c r="N15" s="109" t="str">
        <f>IF(ISBLANK(Term2_Day_2[[#This Row],[Activity]]),"",IF(_xlfn.XLOOKUP(Term2_Day_2[[#This Row],[Activity]],Types_of_Activity[Type of Activity],Types_of_Activity[Classification])=2,Term2_Day_2[[#This Row],[Elapsed]],0))</f>
        <v/>
      </c>
      <c r="P15" s="141"/>
      <c r="Q15" s="141"/>
      <c r="R15" s="106"/>
      <c r="S15" s="109" t="str">
        <f>IF(OR(ISBLANK(Term2_Day_3[[#This Row],[Start]]),ISBLANK(Term2_Day_3[[#This Row],[End]])),"",(Term2_Day_3[[#This Row],[End]]-Term2_Day_3[[#This Row],[Start]])*1440)</f>
        <v/>
      </c>
      <c r="T15" s="109" t="str">
        <f>IF(ISBLANK(Term2_Day_3[[#This Row],[Activity]]),"",IF(_xlfn.XLOOKUP(Term2_Day_3[[#This Row],[Activity]],Types_of_Activity[Type of Activity],Types_of_Activity[Classification])=1,Term2_Day_3[[#This Row],[Elapsed]],0))</f>
        <v/>
      </c>
      <c r="U15" s="109" t="str">
        <f>IF(ISBLANK(Term2_Day_3[[#This Row],[Activity]]),"",IF(_xlfn.XLOOKUP(Term2_Day_3[[#This Row],[Activity]],Types_of_Activity[Type of Activity],Types_of_Activity[Classification])=2,Term2_Day_3[[#This Row],[Elapsed]],0))</f>
        <v/>
      </c>
      <c r="W15" s="141"/>
      <c r="X15" s="141"/>
      <c r="Y15" s="106"/>
      <c r="Z15" s="109" t="str">
        <f>IF(OR(ISBLANK(Term2_Day_4[[#This Row],[Start]]),ISBLANK(Term2_Day_4[[#This Row],[End]])),"",(Term2_Day_4[[#This Row],[End]]-Term2_Day_4[[#This Row],[Start]])*1440)</f>
        <v/>
      </c>
      <c r="AA15" s="109" t="str">
        <f>IF(ISBLANK(Term2_Day_4[[#This Row],[Activity]]),"",IF(_xlfn.XLOOKUP(Term2_Day_4[[#This Row],[Activity]],Types_of_Activity[Type of Activity],Types_of_Activity[Classification])=1,Term2_Day_4[[#This Row],[Elapsed]],0))</f>
        <v/>
      </c>
      <c r="AB15" s="109" t="str">
        <f>IF(ISBLANK(Term2_Day_4[[#This Row],[Activity]]),"",IF(_xlfn.XLOOKUP(Term2_Day_4[[#This Row],[Activity]],Types_of_Activity[Type of Activity],Types_of_Activity[Classification])=2,Term2_Day_4[[#This Row],[Elapsed]],0))</f>
        <v/>
      </c>
      <c r="AD15" s="141"/>
      <c r="AE15" s="141"/>
      <c r="AF15" s="106"/>
      <c r="AG15" s="109" t="str">
        <f>IF(OR(ISBLANK(Term2_Day_5[[#This Row],[Start]]),ISBLANK(Term2_Day_5[[#This Row],[End]])),"",(Term2_Day_5[[#This Row],[End]]-Term2_Day_5[[#This Row],[Start]])*1440)</f>
        <v/>
      </c>
      <c r="AH15" s="109" t="str">
        <f>IF(ISBLANK(Term2_Day_5[[#This Row],[Activity]]),"",IF(_xlfn.XLOOKUP(Term2_Day_5[[#This Row],[Activity]],Types_of_Activity[Type of Activity],Types_of_Activity[Classification])=1,Term2_Day_5[[#This Row],[Elapsed]],0))</f>
        <v/>
      </c>
      <c r="AI15" s="109" t="str">
        <f>IF(ISBLANK(Term2_Day_5[[#This Row],[Activity]]),"",IF(_xlfn.XLOOKUP(Term2_Day_5[[#This Row],[Activity]],Types_of_Activity[Type of Activity],Types_of_Activity[Classification])=2,Term2_Day_5[[#This Row],[Elapsed]],0))</f>
        <v/>
      </c>
      <c r="AK15" s="141"/>
      <c r="AL15" s="141"/>
      <c r="AM15" s="106"/>
      <c r="AN15" s="109" t="str">
        <f>IF(OR(ISBLANK(Term2_Day_6[[#This Row],[Start]]),ISBLANK(Term2_Day_6[[#This Row],[End]])),"",(Term2_Day_6[[#This Row],[End]]-Term2_Day_6[[#This Row],[Start]])*1440)</f>
        <v/>
      </c>
      <c r="AO15" s="109" t="str">
        <f>IF(ISBLANK(Term2_Day_6[[#This Row],[Activity]]),"",IF(_xlfn.XLOOKUP(Term2_Day_6[[#This Row],[Activity]],Types_of_Activity[Type of Activity],Types_of_Activity[Classification])=1,Term2_Day_6[[#This Row],[Elapsed]],0))</f>
        <v/>
      </c>
      <c r="AP15" s="109" t="str">
        <f>IF(ISBLANK(Term2_Day_6[[#This Row],[Activity]]),"",IF(_xlfn.XLOOKUP(Term2_Day_6[[#This Row],[Activity]],Types_of_Activity[Type of Activity],Types_of_Activity[Classification])=2,Term2_Day_6[[#This Row],[Elapsed]],0))</f>
        <v/>
      </c>
      <c r="AR15" s="141"/>
      <c r="AS15" s="141"/>
      <c r="AT15" s="106"/>
      <c r="AU15" s="109" t="str">
        <f>IF(OR(ISBLANK(Term2_Day_7[[#This Row],[Start]]),ISBLANK(Term2_Day_7[[#This Row],[End]])),"",(Term2_Day_7[[#This Row],[End]]-Term2_Day_7[[#This Row],[Start]])*1440)</f>
        <v/>
      </c>
      <c r="AV15" s="109" t="str">
        <f>IF(ISBLANK(Term2_Day_7[[#This Row],[Activity]]),"",IF(_xlfn.XLOOKUP(Term2_Day_7[[#This Row],[Activity]],Types_of_Activity[Type of Activity],Types_of_Activity[Classification])=1,Term2_Day_7[[#This Row],[Elapsed]],0))</f>
        <v/>
      </c>
      <c r="AW15" s="109" t="str">
        <f>IF(ISBLANK(Term2_Day_7[[#This Row],[Activity]]),"",IF(_xlfn.XLOOKUP(Term2_Day_7[[#This Row],[Activity]],Types_of_Activity[Type of Activity],Types_of_Activity[Classification])=2,Term2_Day_7[[#This Row],[Elapsed]],0))</f>
        <v/>
      </c>
      <c r="AY15" s="141"/>
      <c r="AZ15" s="141"/>
      <c r="BA15" s="106"/>
      <c r="BB15" s="109" t="str">
        <f>IF(OR(ISBLANK(Term2_Day_8[[#This Row],[Start]]),ISBLANK(Term2_Day_8[[#This Row],[End]])),"",(Term2_Day_8[[#This Row],[End]]-Term2_Day_8[[#This Row],[Start]])*1440)</f>
        <v/>
      </c>
      <c r="BC15" s="109" t="str">
        <f>IF(ISBLANK(Term2_Day_8[[#This Row],[Activity]]),"",IF(_xlfn.XLOOKUP(Term2_Day_8[[#This Row],[Activity]],Types_of_Activity[Type of Activity],Types_of_Activity[Classification])=1,Term2_Day_8[[#This Row],[Elapsed]],0))</f>
        <v/>
      </c>
      <c r="BD15" s="109" t="str">
        <f>IF(ISBLANK(Term2_Day_8[[#This Row],[Activity]]),"",IF(_xlfn.XLOOKUP(Term2_Day_8[[#This Row],[Activity]],Types_of_Activity[Type of Activity],Types_of_Activity[Classification])=2,Term2_Day_8[[#This Row],[Elapsed]],0))</f>
        <v/>
      </c>
      <c r="BF15" s="141"/>
      <c r="BG15" s="141"/>
      <c r="BH15" s="106"/>
      <c r="BI15" s="109" t="str">
        <f>IF(OR(ISBLANK(Term2_Day_9[[#This Row],[Start]]),ISBLANK(Term2_Day_9[[#This Row],[End]])),"",(Term2_Day_9[[#This Row],[End]]-Term2_Day_9[[#This Row],[Start]])*1440)</f>
        <v/>
      </c>
      <c r="BJ15" s="109" t="str">
        <f>IF(ISBLANK(Term2_Day_9[[#This Row],[Activity]]),"",IF(_xlfn.XLOOKUP(Term2_Day_9[[#This Row],[Activity]],Types_of_Activity[Type of Activity],Types_of_Activity[Classification])=1,Term2_Day_9[[#This Row],[Elapsed]],0))</f>
        <v/>
      </c>
      <c r="BK15" s="109" t="str">
        <f>IF(ISBLANK(Term2_Day_9[[#This Row],[Activity]]),"",IF(_xlfn.XLOOKUP(Term2_Day_9[[#This Row],[Activity]],Types_of_Activity[Type of Activity],Types_of_Activity[Classification])=2,Term2_Day_9[[#This Row],[Elapsed]],0))</f>
        <v/>
      </c>
      <c r="BM15" s="141"/>
      <c r="BN15" s="141"/>
      <c r="BO15" s="106"/>
      <c r="BP15" s="109" t="str">
        <f>IF(OR(ISBLANK(Term2_Day_10[[#This Row],[Start]]),ISBLANK(Term2_Day_10[[#This Row],[End]])),"",(Term2_Day_10[[#This Row],[End]]-Term2_Day_10[[#This Row],[Start]])*1440)</f>
        <v/>
      </c>
      <c r="BQ15" s="109" t="str">
        <f>IF(ISBLANK(Term2_Day_10[[#This Row],[Activity]]),"",IF(_xlfn.XLOOKUP(Term2_Day_10[[#This Row],[Activity]],Types_of_Activity[Type of Activity],Types_of_Activity[Classification])=1,Term2_Day_10[[#This Row],[Elapsed]],0))</f>
        <v/>
      </c>
      <c r="BR15" s="109" t="str">
        <f>IF(ISBLANK(Term2_Day_10[[#This Row],[Activity]]),"",IF(_xlfn.XLOOKUP(Term2_Day_10[[#This Row],[Activity]],Types_of_Activity[Type of Activity],Types_of_Activity[Classification])=2,Term2_Day_10[[#This Row],[Elapsed]],0))</f>
        <v/>
      </c>
    </row>
    <row r="16" spans="2:70" x14ac:dyDescent="0.3">
      <c r="B16" s="141"/>
      <c r="C16" s="141"/>
      <c r="D16" s="106"/>
      <c r="E16" s="109" t="str">
        <f>IF(OR(ISBLANK(Term2_Day_1[[#This Row],[Start]]),ISBLANK(Term2_Day_1[[#This Row],[End]])),"",(Term2_Day_1[[#This Row],[End]]-Term2_Day_1[[#This Row],[Start]])*1440)</f>
        <v/>
      </c>
      <c r="F16" s="109" t="str">
        <f>IF(ISBLANK(Term2_Day_1[[#This Row],[Activity]]),"",IF(_xlfn.XLOOKUP(Term2_Day_1[[#This Row],[Activity]],Types_of_Activity[Type of Activity],Types_of_Activity[Classification])=1,Term2_Day_1[[#This Row],[Elapsed]],0))</f>
        <v/>
      </c>
      <c r="G16" s="109" t="str">
        <f>IF(ISBLANK(Term2_Day_1[[#This Row],[Activity]]),"",IF(_xlfn.XLOOKUP(Term2_Day_1[[#This Row],[Activity]],Types_of_Activity[Type of Activity],Types_of_Activity[Classification])=2,Term2_Day_1[[#This Row],[Elapsed]],0))</f>
        <v/>
      </c>
      <c r="I16" s="141"/>
      <c r="J16" s="141"/>
      <c r="K16" s="106"/>
      <c r="L16" s="109" t="str">
        <f>IF(OR(ISBLANK(Term2_Day_2[[#This Row],[Start]]),ISBLANK(Term2_Day_2[[#This Row],[End]])),"",(Term2_Day_2[[#This Row],[End]]-Term2_Day_2[[#This Row],[Start]])*1440)</f>
        <v/>
      </c>
      <c r="M16" s="109" t="str">
        <f>IF(ISBLANK(Term2_Day_2[[#This Row],[Activity]]),"",IF(_xlfn.XLOOKUP(Term2_Day_2[[#This Row],[Activity]],Types_of_Activity[Type of Activity],Types_of_Activity[Classification])=1,Term2_Day_2[[#This Row],[Elapsed]],0))</f>
        <v/>
      </c>
      <c r="N16" s="109" t="str">
        <f>IF(ISBLANK(Term2_Day_2[[#This Row],[Activity]]),"",IF(_xlfn.XLOOKUP(Term2_Day_2[[#This Row],[Activity]],Types_of_Activity[Type of Activity],Types_of_Activity[Classification])=2,Term2_Day_2[[#This Row],[Elapsed]],0))</f>
        <v/>
      </c>
      <c r="P16" s="141"/>
      <c r="Q16" s="141"/>
      <c r="R16" s="106"/>
      <c r="S16" s="109" t="str">
        <f>IF(OR(ISBLANK(Term2_Day_3[[#This Row],[Start]]),ISBLANK(Term2_Day_3[[#This Row],[End]])),"",(Term2_Day_3[[#This Row],[End]]-Term2_Day_3[[#This Row],[Start]])*1440)</f>
        <v/>
      </c>
      <c r="T16" s="109" t="str">
        <f>IF(ISBLANK(Term2_Day_3[[#This Row],[Activity]]),"",IF(_xlfn.XLOOKUP(Term2_Day_3[[#This Row],[Activity]],Types_of_Activity[Type of Activity],Types_of_Activity[Classification])=1,Term2_Day_3[[#This Row],[Elapsed]],0))</f>
        <v/>
      </c>
      <c r="U16" s="109" t="str">
        <f>IF(ISBLANK(Term2_Day_3[[#This Row],[Activity]]),"",IF(_xlfn.XLOOKUP(Term2_Day_3[[#This Row],[Activity]],Types_of_Activity[Type of Activity],Types_of_Activity[Classification])=2,Term2_Day_3[[#This Row],[Elapsed]],0))</f>
        <v/>
      </c>
      <c r="W16" s="141"/>
      <c r="X16" s="141"/>
      <c r="Y16" s="106"/>
      <c r="Z16" s="109" t="str">
        <f>IF(OR(ISBLANK(Term2_Day_4[[#This Row],[Start]]),ISBLANK(Term2_Day_4[[#This Row],[End]])),"",(Term2_Day_4[[#This Row],[End]]-Term2_Day_4[[#This Row],[Start]])*1440)</f>
        <v/>
      </c>
      <c r="AA16" s="109" t="str">
        <f>IF(ISBLANK(Term2_Day_4[[#This Row],[Activity]]),"",IF(_xlfn.XLOOKUP(Term2_Day_4[[#This Row],[Activity]],Types_of_Activity[Type of Activity],Types_of_Activity[Classification])=1,Term2_Day_4[[#This Row],[Elapsed]],0))</f>
        <v/>
      </c>
      <c r="AB16" s="109" t="str">
        <f>IF(ISBLANK(Term2_Day_4[[#This Row],[Activity]]),"",IF(_xlfn.XLOOKUP(Term2_Day_4[[#This Row],[Activity]],Types_of_Activity[Type of Activity],Types_of_Activity[Classification])=2,Term2_Day_4[[#This Row],[Elapsed]],0))</f>
        <v/>
      </c>
      <c r="AD16" s="141"/>
      <c r="AE16" s="141"/>
      <c r="AF16" s="106"/>
      <c r="AG16" s="109" t="str">
        <f>IF(OR(ISBLANK(Term2_Day_5[[#This Row],[Start]]),ISBLANK(Term2_Day_5[[#This Row],[End]])),"",(Term2_Day_5[[#This Row],[End]]-Term2_Day_5[[#This Row],[Start]])*1440)</f>
        <v/>
      </c>
      <c r="AH16" s="109" t="str">
        <f>IF(ISBLANK(Term2_Day_5[[#This Row],[Activity]]),"",IF(_xlfn.XLOOKUP(Term2_Day_5[[#This Row],[Activity]],Types_of_Activity[Type of Activity],Types_of_Activity[Classification])=1,Term2_Day_5[[#This Row],[Elapsed]],0))</f>
        <v/>
      </c>
      <c r="AI16" s="109" t="str">
        <f>IF(ISBLANK(Term2_Day_5[[#This Row],[Activity]]),"",IF(_xlfn.XLOOKUP(Term2_Day_5[[#This Row],[Activity]],Types_of_Activity[Type of Activity],Types_of_Activity[Classification])=2,Term2_Day_5[[#This Row],[Elapsed]],0))</f>
        <v/>
      </c>
      <c r="AK16" s="141"/>
      <c r="AL16" s="141"/>
      <c r="AM16" s="106"/>
      <c r="AN16" s="109" t="str">
        <f>IF(OR(ISBLANK(Term2_Day_6[[#This Row],[Start]]),ISBLANK(Term2_Day_6[[#This Row],[End]])),"",(Term2_Day_6[[#This Row],[End]]-Term2_Day_6[[#This Row],[Start]])*1440)</f>
        <v/>
      </c>
      <c r="AO16" s="109" t="str">
        <f>IF(ISBLANK(Term2_Day_6[[#This Row],[Activity]]),"",IF(_xlfn.XLOOKUP(Term2_Day_6[[#This Row],[Activity]],Types_of_Activity[Type of Activity],Types_of_Activity[Classification])=1,Term2_Day_6[[#This Row],[Elapsed]],0))</f>
        <v/>
      </c>
      <c r="AP16" s="109" t="str">
        <f>IF(ISBLANK(Term2_Day_6[[#This Row],[Activity]]),"",IF(_xlfn.XLOOKUP(Term2_Day_6[[#This Row],[Activity]],Types_of_Activity[Type of Activity],Types_of_Activity[Classification])=2,Term2_Day_6[[#This Row],[Elapsed]],0))</f>
        <v/>
      </c>
      <c r="AR16" s="141"/>
      <c r="AS16" s="141"/>
      <c r="AT16" s="106"/>
      <c r="AU16" s="109" t="str">
        <f>IF(OR(ISBLANK(Term2_Day_7[[#This Row],[Start]]),ISBLANK(Term2_Day_7[[#This Row],[End]])),"",(Term2_Day_7[[#This Row],[End]]-Term2_Day_7[[#This Row],[Start]])*1440)</f>
        <v/>
      </c>
      <c r="AV16" s="109" t="str">
        <f>IF(ISBLANK(Term2_Day_7[[#This Row],[Activity]]),"",IF(_xlfn.XLOOKUP(Term2_Day_7[[#This Row],[Activity]],Types_of_Activity[Type of Activity],Types_of_Activity[Classification])=1,Term2_Day_7[[#This Row],[Elapsed]],0))</f>
        <v/>
      </c>
      <c r="AW16" s="109" t="str">
        <f>IF(ISBLANK(Term2_Day_7[[#This Row],[Activity]]),"",IF(_xlfn.XLOOKUP(Term2_Day_7[[#This Row],[Activity]],Types_of_Activity[Type of Activity],Types_of_Activity[Classification])=2,Term2_Day_7[[#This Row],[Elapsed]],0))</f>
        <v/>
      </c>
      <c r="AY16" s="141"/>
      <c r="AZ16" s="141"/>
      <c r="BA16" s="106"/>
      <c r="BB16" s="109" t="str">
        <f>IF(OR(ISBLANK(Term2_Day_8[[#This Row],[Start]]),ISBLANK(Term2_Day_8[[#This Row],[End]])),"",(Term2_Day_8[[#This Row],[End]]-Term2_Day_8[[#This Row],[Start]])*1440)</f>
        <v/>
      </c>
      <c r="BC16" s="109" t="str">
        <f>IF(ISBLANK(Term2_Day_8[[#This Row],[Activity]]),"",IF(_xlfn.XLOOKUP(Term2_Day_8[[#This Row],[Activity]],Types_of_Activity[Type of Activity],Types_of_Activity[Classification])=1,Term2_Day_8[[#This Row],[Elapsed]],0))</f>
        <v/>
      </c>
      <c r="BD16" s="109" t="str">
        <f>IF(ISBLANK(Term2_Day_8[[#This Row],[Activity]]),"",IF(_xlfn.XLOOKUP(Term2_Day_8[[#This Row],[Activity]],Types_of_Activity[Type of Activity],Types_of_Activity[Classification])=2,Term2_Day_8[[#This Row],[Elapsed]],0))</f>
        <v/>
      </c>
      <c r="BF16" s="141"/>
      <c r="BG16" s="141"/>
      <c r="BH16" s="106"/>
      <c r="BI16" s="109" t="str">
        <f>IF(OR(ISBLANK(Term2_Day_9[[#This Row],[Start]]),ISBLANK(Term2_Day_9[[#This Row],[End]])),"",(Term2_Day_9[[#This Row],[End]]-Term2_Day_9[[#This Row],[Start]])*1440)</f>
        <v/>
      </c>
      <c r="BJ16" s="109" t="str">
        <f>IF(ISBLANK(Term2_Day_9[[#This Row],[Activity]]),"",IF(_xlfn.XLOOKUP(Term2_Day_9[[#This Row],[Activity]],Types_of_Activity[Type of Activity],Types_of_Activity[Classification])=1,Term2_Day_9[[#This Row],[Elapsed]],0))</f>
        <v/>
      </c>
      <c r="BK16" s="109" t="str">
        <f>IF(ISBLANK(Term2_Day_9[[#This Row],[Activity]]),"",IF(_xlfn.XLOOKUP(Term2_Day_9[[#This Row],[Activity]],Types_of_Activity[Type of Activity],Types_of_Activity[Classification])=2,Term2_Day_9[[#This Row],[Elapsed]],0))</f>
        <v/>
      </c>
      <c r="BM16" s="141"/>
      <c r="BN16" s="141"/>
      <c r="BO16" s="106"/>
      <c r="BP16" s="109" t="str">
        <f>IF(OR(ISBLANK(Term2_Day_10[[#This Row],[Start]]),ISBLANK(Term2_Day_10[[#This Row],[End]])),"",(Term2_Day_10[[#This Row],[End]]-Term2_Day_10[[#This Row],[Start]])*1440)</f>
        <v/>
      </c>
      <c r="BQ16" s="109" t="str">
        <f>IF(ISBLANK(Term2_Day_10[[#This Row],[Activity]]),"",IF(_xlfn.XLOOKUP(Term2_Day_10[[#This Row],[Activity]],Types_of_Activity[Type of Activity],Types_of_Activity[Classification])=1,Term2_Day_10[[#This Row],[Elapsed]],0))</f>
        <v/>
      </c>
      <c r="BR16" s="109" t="str">
        <f>IF(ISBLANK(Term2_Day_10[[#This Row],[Activity]]),"",IF(_xlfn.XLOOKUP(Term2_Day_10[[#This Row],[Activity]],Types_of_Activity[Type of Activity],Types_of_Activity[Classification])=2,Term2_Day_10[[#This Row],[Elapsed]],0))</f>
        <v/>
      </c>
    </row>
    <row r="17" spans="2:71" x14ac:dyDescent="0.3">
      <c r="B17" s="141"/>
      <c r="C17" s="141"/>
      <c r="D17" s="106"/>
      <c r="E17" s="109" t="str">
        <f>IF(OR(ISBLANK(Term2_Day_1[[#This Row],[Start]]),ISBLANK(Term2_Day_1[[#This Row],[End]])),"",(Term2_Day_1[[#This Row],[End]]-Term2_Day_1[[#This Row],[Start]])*1440)</f>
        <v/>
      </c>
      <c r="F17" s="109" t="str">
        <f>IF(ISBLANK(Term2_Day_1[[#This Row],[Activity]]),"",IF(_xlfn.XLOOKUP(Term2_Day_1[[#This Row],[Activity]],Types_of_Activity[Type of Activity],Types_of_Activity[Classification])=1,Term2_Day_1[[#This Row],[Elapsed]],0))</f>
        <v/>
      </c>
      <c r="G17" s="109" t="str">
        <f>IF(ISBLANK(Term2_Day_1[[#This Row],[Activity]]),"",IF(_xlfn.XLOOKUP(Term2_Day_1[[#This Row],[Activity]],Types_of_Activity[Type of Activity],Types_of_Activity[Classification])=2,Term2_Day_1[[#This Row],[Elapsed]],0))</f>
        <v/>
      </c>
      <c r="I17" s="141"/>
      <c r="J17" s="141"/>
      <c r="K17" s="106"/>
      <c r="L17" s="109" t="str">
        <f>IF(OR(ISBLANK(Term2_Day_2[[#This Row],[Start]]),ISBLANK(Term2_Day_2[[#This Row],[End]])),"",(Term2_Day_2[[#This Row],[End]]-Term2_Day_2[[#This Row],[Start]])*1440)</f>
        <v/>
      </c>
      <c r="M17" s="109" t="str">
        <f>IF(ISBLANK(Term2_Day_2[[#This Row],[Activity]]),"",IF(_xlfn.XLOOKUP(Term2_Day_2[[#This Row],[Activity]],Types_of_Activity[Type of Activity],Types_of_Activity[Classification])=1,Term2_Day_2[[#This Row],[Elapsed]],0))</f>
        <v/>
      </c>
      <c r="N17" s="109" t="str">
        <f>IF(ISBLANK(Term2_Day_2[[#This Row],[Activity]]),"",IF(_xlfn.XLOOKUP(Term2_Day_2[[#This Row],[Activity]],Types_of_Activity[Type of Activity],Types_of_Activity[Classification])=2,Term2_Day_2[[#This Row],[Elapsed]],0))</f>
        <v/>
      </c>
      <c r="P17" s="141"/>
      <c r="Q17" s="141"/>
      <c r="R17" s="106"/>
      <c r="S17" s="109" t="str">
        <f>IF(OR(ISBLANK(Term2_Day_3[[#This Row],[Start]]),ISBLANK(Term2_Day_3[[#This Row],[End]])),"",(Term2_Day_3[[#This Row],[End]]-Term2_Day_3[[#This Row],[Start]])*1440)</f>
        <v/>
      </c>
      <c r="T17" s="109" t="str">
        <f>IF(ISBLANK(Term2_Day_3[[#This Row],[Activity]]),"",IF(_xlfn.XLOOKUP(Term2_Day_3[[#This Row],[Activity]],Types_of_Activity[Type of Activity],Types_of_Activity[Classification])=1,Term2_Day_3[[#This Row],[Elapsed]],0))</f>
        <v/>
      </c>
      <c r="U17" s="109" t="str">
        <f>IF(ISBLANK(Term2_Day_3[[#This Row],[Activity]]),"",IF(_xlfn.XLOOKUP(Term2_Day_3[[#This Row],[Activity]],Types_of_Activity[Type of Activity],Types_of_Activity[Classification])=2,Term2_Day_3[[#This Row],[Elapsed]],0))</f>
        <v/>
      </c>
      <c r="W17" s="141"/>
      <c r="X17" s="141"/>
      <c r="Y17" s="106"/>
      <c r="Z17" s="109" t="str">
        <f>IF(OR(ISBLANK(Term2_Day_4[[#This Row],[Start]]),ISBLANK(Term2_Day_4[[#This Row],[End]])),"",(Term2_Day_4[[#This Row],[End]]-Term2_Day_4[[#This Row],[Start]])*1440)</f>
        <v/>
      </c>
      <c r="AA17" s="109" t="str">
        <f>IF(ISBLANK(Term2_Day_4[[#This Row],[Activity]]),"",IF(_xlfn.XLOOKUP(Term2_Day_4[[#This Row],[Activity]],Types_of_Activity[Type of Activity],Types_of_Activity[Classification])=1,Term2_Day_4[[#This Row],[Elapsed]],0))</f>
        <v/>
      </c>
      <c r="AB17" s="109" t="str">
        <f>IF(ISBLANK(Term2_Day_4[[#This Row],[Activity]]),"",IF(_xlfn.XLOOKUP(Term2_Day_4[[#This Row],[Activity]],Types_of_Activity[Type of Activity],Types_of_Activity[Classification])=2,Term2_Day_4[[#This Row],[Elapsed]],0))</f>
        <v/>
      </c>
      <c r="AD17" s="141"/>
      <c r="AE17" s="141"/>
      <c r="AF17" s="106"/>
      <c r="AG17" s="109" t="str">
        <f>IF(OR(ISBLANK(Term2_Day_5[[#This Row],[Start]]),ISBLANK(Term2_Day_5[[#This Row],[End]])),"",(Term2_Day_5[[#This Row],[End]]-Term2_Day_5[[#This Row],[Start]])*1440)</f>
        <v/>
      </c>
      <c r="AH17" s="109" t="str">
        <f>IF(ISBLANK(Term2_Day_5[[#This Row],[Activity]]),"",IF(_xlfn.XLOOKUP(Term2_Day_5[[#This Row],[Activity]],Types_of_Activity[Type of Activity],Types_of_Activity[Classification])=1,Term2_Day_5[[#This Row],[Elapsed]],0))</f>
        <v/>
      </c>
      <c r="AI17" s="109" t="str">
        <f>IF(ISBLANK(Term2_Day_5[[#This Row],[Activity]]),"",IF(_xlfn.XLOOKUP(Term2_Day_5[[#This Row],[Activity]],Types_of_Activity[Type of Activity],Types_of_Activity[Classification])=2,Term2_Day_5[[#This Row],[Elapsed]],0))</f>
        <v/>
      </c>
      <c r="AJ17" s="110"/>
      <c r="AK17" s="141"/>
      <c r="AL17" s="141"/>
      <c r="AM17" s="106"/>
      <c r="AN17" s="109" t="str">
        <f>IF(OR(ISBLANK(Term2_Day_6[[#This Row],[Start]]),ISBLANK(Term2_Day_6[[#This Row],[End]])),"",(Term2_Day_6[[#This Row],[End]]-Term2_Day_6[[#This Row],[Start]])*1440)</f>
        <v/>
      </c>
      <c r="AO17" s="109" t="str">
        <f>IF(ISBLANK(Term2_Day_6[[#This Row],[Activity]]),"",IF(_xlfn.XLOOKUP(Term2_Day_6[[#This Row],[Activity]],Types_of_Activity[Type of Activity],Types_of_Activity[Classification])=1,Term2_Day_6[[#This Row],[Elapsed]],0))</f>
        <v/>
      </c>
      <c r="AP17" s="109" t="str">
        <f>IF(ISBLANK(Term2_Day_6[[#This Row],[Activity]]),"",IF(_xlfn.XLOOKUP(Term2_Day_6[[#This Row],[Activity]],Types_of_Activity[Type of Activity],Types_of_Activity[Classification])=2,Term2_Day_6[[#This Row],[Elapsed]],0))</f>
        <v/>
      </c>
      <c r="AQ17" s="110"/>
      <c r="AR17" s="141"/>
      <c r="AS17" s="141"/>
      <c r="AT17" s="106"/>
      <c r="AU17" s="109" t="str">
        <f>IF(OR(ISBLANK(Term2_Day_7[[#This Row],[Start]]),ISBLANK(Term2_Day_7[[#This Row],[End]])),"",(Term2_Day_7[[#This Row],[End]]-Term2_Day_7[[#This Row],[Start]])*1440)</f>
        <v/>
      </c>
      <c r="AV17" s="109" t="str">
        <f>IF(ISBLANK(Term2_Day_7[[#This Row],[Activity]]),"",IF(_xlfn.XLOOKUP(Term2_Day_7[[#This Row],[Activity]],Types_of_Activity[Type of Activity],Types_of_Activity[Classification])=1,Term2_Day_7[[#This Row],[Elapsed]],0))</f>
        <v/>
      </c>
      <c r="AW17" s="109" t="str">
        <f>IF(ISBLANK(Term2_Day_7[[#This Row],[Activity]]),"",IF(_xlfn.XLOOKUP(Term2_Day_7[[#This Row],[Activity]],Types_of_Activity[Type of Activity],Types_of_Activity[Classification])=2,Term2_Day_7[[#This Row],[Elapsed]],0))</f>
        <v/>
      </c>
      <c r="AX17" s="110"/>
      <c r="AY17" s="141"/>
      <c r="AZ17" s="141"/>
      <c r="BA17" s="106"/>
      <c r="BB17" s="109" t="str">
        <f>IF(OR(ISBLANK(Term2_Day_8[[#This Row],[Start]]),ISBLANK(Term2_Day_8[[#This Row],[End]])),"",(Term2_Day_8[[#This Row],[End]]-Term2_Day_8[[#This Row],[Start]])*1440)</f>
        <v/>
      </c>
      <c r="BC17" s="109" t="str">
        <f>IF(ISBLANK(Term2_Day_8[[#This Row],[Activity]]),"",IF(_xlfn.XLOOKUP(Term2_Day_8[[#This Row],[Activity]],Types_of_Activity[Type of Activity],Types_of_Activity[Classification])=1,Term2_Day_8[[#This Row],[Elapsed]],0))</f>
        <v/>
      </c>
      <c r="BD17" s="109" t="str">
        <f>IF(ISBLANK(Term2_Day_8[[#This Row],[Activity]]),"",IF(_xlfn.XLOOKUP(Term2_Day_8[[#This Row],[Activity]],Types_of_Activity[Type of Activity],Types_of_Activity[Classification])=2,Term2_Day_8[[#This Row],[Elapsed]],0))</f>
        <v/>
      </c>
      <c r="BE17" s="110"/>
      <c r="BF17" s="141"/>
      <c r="BG17" s="141"/>
      <c r="BH17" s="106"/>
      <c r="BI17" s="109" t="str">
        <f>IF(OR(ISBLANK(Term2_Day_9[[#This Row],[Start]]),ISBLANK(Term2_Day_9[[#This Row],[End]])),"",(Term2_Day_9[[#This Row],[End]]-Term2_Day_9[[#This Row],[Start]])*1440)</f>
        <v/>
      </c>
      <c r="BJ17" s="109" t="str">
        <f>IF(ISBLANK(Term2_Day_9[[#This Row],[Activity]]),"",IF(_xlfn.XLOOKUP(Term2_Day_9[[#This Row],[Activity]],Types_of_Activity[Type of Activity],Types_of_Activity[Classification])=1,Term2_Day_9[[#This Row],[Elapsed]],0))</f>
        <v/>
      </c>
      <c r="BK17" s="109" t="str">
        <f>IF(ISBLANK(Term2_Day_9[[#This Row],[Activity]]),"",IF(_xlfn.XLOOKUP(Term2_Day_9[[#This Row],[Activity]],Types_of_Activity[Type of Activity],Types_of_Activity[Classification])=2,Term2_Day_9[[#This Row],[Elapsed]],0))</f>
        <v/>
      </c>
      <c r="BL17" s="110"/>
      <c r="BM17" s="141"/>
      <c r="BN17" s="141"/>
      <c r="BO17" s="106"/>
      <c r="BP17" s="109" t="str">
        <f>IF(OR(ISBLANK(Term2_Day_10[[#This Row],[Start]]),ISBLANK(Term2_Day_10[[#This Row],[End]])),"",(Term2_Day_10[[#This Row],[End]]-Term2_Day_10[[#This Row],[Start]])*1440)</f>
        <v/>
      </c>
      <c r="BQ17" s="109" t="str">
        <f>IF(ISBLANK(Term2_Day_10[[#This Row],[Activity]]),"",IF(_xlfn.XLOOKUP(Term2_Day_10[[#This Row],[Activity]],Types_of_Activity[Type of Activity],Types_of_Activity[Classification])=1,Term2_Day_10[[#This Row],[Elapsed]],0))</f>
        <v/>
      </c>
      <c r="BR17" s="109" t="str">
        <f>IF(ISBLANK(Term2_Day_10[[#This Row],[Activity]]),"",IF(_xlfn.XLOOKUP(Term2_Day_10[[#This Row],[Activity]],Types_of_Activity[Type of Activity],Types_of_Activity[Classification])=2,Term2_Day_10[[#This Row],[Elapsed]],0))</f>
        <v/>
      </c>
      <c r="BS17" s="110"/>
    </row>
    <row r="18" spans="2:71"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J18" s="110"/>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Q18" s="110"/>
      <c r="AR18" s="141"/>
      <c r="AS18" s="141"/>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X18" s="110"/>
      <c r="AY18" s="141"/>
      <c r="AZ18" s="141"/>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E18" s="110"/>
      <c r="BF18" s="141"/>
      <c r="BG18" s="141"/>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L18" s="110"/>
      <c r="BM18" s="141"/>
      <c r="BN18" s="141"/>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c r="BS18" s="110"/>
    </row>
    <row r="19" spans="2:71"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J19" s="110"/>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Q19" s="110"/>
      <c r="AR19" s="141"/>
      <c r="AS19" s="141"/>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X19" s="110"/>
      <c r="AY19" s="141"/>
      <c r="AZ19" s="141"/>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E19" s="110"/>
      <c r="BF19" s="141"/>
      <c r="BG19" s="141"/>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L19" s="110"/>
      <c r="BM19" s="141"/>
      <c r="BN19" s="141"/>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c r="BS19" s="110"/>
    </row>
    <row r="20" spans="2:71"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41"/>
      <c r="AZ20" s="141"/>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41"/>
      <c r="BG20" s="141"/>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41"/>
      <c r="BN20" s="141"/>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41"/>
      <c r="AZ21" s="141"/>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41"/>
      <c r="BG21" s="141"/>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41"/>
      <c r="BN21" s="141"/>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41"/>
      <c r="AZ22" s="141"/>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41"/>
      <c r="BG22" s="141"/>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41"/>
      <c r="BN22" s="141"/>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41"/>
      <c r="AZ23" s="141"/>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41"/>
      <c r="BG23" s="141"/>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41"/>
      <c r="BN23" s="141"/>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41"/>
      <c r="AZ24" s="141"/>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41"/>
      <c r="BG24" s="141"/>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41"/>
      <c r="BN24" s="141"/>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41"/>
      <c r="AZ25" s="141"/>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41"/>
      <c r="BG25" s="141"/>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41"/>
      <c r="BN25" s="141"/>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41"/>
      <c r="AZ26" s="141"/>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41"/>
      <c r="BG26" s="141"/>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41"/>
      <c r="BN26" s="141"/>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41"/>
      <c r="AZ27" s="141"/>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41"/>
      <c r="BG27" s="141"/>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41"/>
      <c r="BN27" s="141"/>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41"/>
      <c r="AZ28" s="141"/>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41"/>
      <c r="BG28" s="141"/>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41"/>
      <c r="BN28" s="141"/>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41"/>
      <c r="AZ29" s="141"/>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41"/>
      <c r="BG29" s="141"/>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41"/>
      <c r="BN29" s="141"/>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41"/>
      <c r="AZ30" s="141"/>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41"/>
      <c r="BG30" s="141"/>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41"/>
      <c r="BN30" s="141"/>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41"/>
      <c r="AZ31" s="141"/>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41"/>
      <c r="BG31" s="141"/>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41"/>
      <c r="BN31" s="141"/>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41"/>
      <c r="AZ32" s="141"/>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41"/>
      <c r="BG32" s="141"/>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41"/>
      <c r="BN32" s="141"/>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41"/>
      <c r="AZ33" s="141"/>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41"/>
      <c r="BG33" s="141"/>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41"/>
      <c r="BN33" s="141"/>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41"/>
      <c r="AZ34" s="141"/>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41"/>
      <c r="BG34" s="141"/>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41"/>
      <c r="BN34" s="141"/>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41"/>
      <c r="AZ35" s="141"/>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41"/>
      <c r="BG35" s="141"/>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41"/>
      <c r="BN35" s="141"/>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41"/>
      <c r="AZ36" s="141"/>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41"/>
      <c r="BG36" s="141"/>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41"/>
      <c r="BN36" s="141"/>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41"/>
      <c r="AZ37" s="141"/>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41"/>
      <c r="BG37" s="141"/>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41"/>
      <c r="BN37" s="141"/>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41"/>
      <c r="AZ38" s="141"/>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41"/>
      <c r="BG38" s="141"/>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41"/>
      <c r="BN38" s="141"/>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41"/>
      <c r="AZ39" s="141"/>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41"/>
      <c r="BG39" s="141"/>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41"/>
      <c r="BN39" s="141"/>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41"/>
      <c r="AZ40" s="141"/>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41"/>
      <c r="BG40" s="141"/>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41"/>
      <c r="BN40" s="141"/>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41"/>
      <c r="AZ41" s="141"/>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41"/>
      <c r="BG41" s="141"/>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41"/>
      <c r="BN41" s="141"/>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41"/>
      <c r="AZ42" s="141"/>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41"/>
      <c r="BG42" s="141"/>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41"/>
      <c r="BN42" s="141"/>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41"/>
      <c r="AZ43" s="141"/>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41"/>
      <c r="BG43" s="141"/>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41"/>
      <c r="BN43" s="141"/>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41"/>
      <c r="AZ44" s="141"/>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41"/>
      <c r="BG44" s="141"/>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41"/>
      <c r="BN44" s="141"/>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41"/>
      <c r="AZ45" s="141"/>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41"/>
      <c r="BG45" s="141"/>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41"/>
      <c r="BN45" s="141"/>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41"/>
      <c r="AZ46" s="141"/>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41"/>
      <c r="BG46" s="141"/>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41"/>
      <c r="BN46" s="141"/>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41"/>
      <c r="AZ47" s="141"/>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41"/>
      <c r="BG47" s="141"/>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41"/>
      <c r="BN47" s="141"/>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IF(OR(ISBLANK(Term2_Early_Dismissal_1[[#This Row],[Start]]),ISBLANK(Term2_Early_Dismissal_1[[#This Row],[End]])),"",(Term2_Early_Dismissal_1[[#This Row],[End]]-Term2_Early_Dismissal_1[[#This Row],[Start]])*1440)</f>
        <v/>
      </c>
      <c r="F54" s="109" t="str">
        <f>IF(ISBLANK(Term2_Early_Dismissal_1[[#This Row],[Activity]]),"",IF(_xlfn.XLOOKUP(Term2_Early_Dismissal_1[[#This Row],[Activity]],Types_of_Activity[Type of Activity],Types_of_Activity[Classification])=1,Term2_Early_Dismissal_1[[#This Row],[Elapsed]],0))</f>
        <v/>
      </c>
      <c r="G54" s="109" t="str">
        <f>IF(ISBLANK(Term2_Early_Dismissal_1[[#This Row],[Activity]]),"",IF(_xlfn.XLOOKUP(Term2_Early_Dismissal_1[[#This Row],[Activity]],Types_of_Activity[Type of Activity],Types_of_Activity[Classification])=2,Term2_Early_Dismissal_1[[#This Row],[Elapsed]],0))</f>
        <v/>
      </c>
      <c r="H54"/>
      <c r="I54" s="141"/>
      <c r="J54" s="141"/>
      <c r="K54" s="106"/>
      <c r="L54" s="109" t="str">
        <f>IF(OR(ISBLANK(Term2_Early_Dismissal_2[[#This Row],[Start]]),ISBLANK(Term2_Early_Dismissal_2[[#This Row],[End]])),"",(Term2_Early_Dismissal_2[[#This Row],[End]]-Term2_Early_Dismissal_2[[#This Row],[Start]])*1440)</f>
        <v/>
      </c>
      <c r="M54" s="109" t="str">
        <f>IF(ISBLANK(Term2_Early_Dismissal_2[[#This Row],[Activity]]),"",IF(_xlfn.XLOOKUP(Term2_Early_Dismissal_2[[#This Row],[Activity]],Types_of_Activity[Type of Activity],Types_of_Activity[Classification])=1,Term2_Early_Dismissal_2[[#This Row],[Elapsed]],0))</f>
        <v/>
      </c>
      <c r="N54" s="109" t="str">
        <f>IF(ISBLANK(Term2_Early_Dismissal_2[[#This Row],[Activity]]),"",IF(_xlfn.XLOOKUP(Term2_Early_Dismissal_2[[#This Row],[Activity]],Types_of_Activity[Type of Activity],Types_of_Activity[Classification])=2,Term2_Early_Dismissal_2[[#This Row],[Elapsed]],0))</f>
        <v/>
      </c>
      <c r="O54"/>
      <c r="P54" s="141"/>
      <c r="Q54" s="141"/>
      <c r="R54" s="106"/>
      <c r="S54" s="109" t="str">
        <f>IF(OR(ISBLANK(Term2_Early_Dismissal_3[[#This Row],[Start]]),ISBLANK(Term2_Early_Dismissal_3[[#This Row],[End]])),"",(Term2_Early_Dismissal_3[[#This Row],[End]]-Term2_Early_Dismissal_3[[#This Row],[Start]])*1440)</f>
        <v/>
      </c>
      <c r="T54" s="109" t="str">
        <f>IF(ISBLANK(Term2_Early_Dismissal_3[[#This Row],[Activity]]),"",IF(_xlfn.XLOOKUP(Term2_Early_Dismissal_3[[#This Row],[Activity]],Types_of_Activity[Type of Activity],Types_of_Activity[Classification])=1,Term2_Early_Dismissal_3[[#This Row],[Elapsed]],0))</f>
        <v/>
      </c>
      <c r="U54" s="109" t="str">
        <f>IF(ISBLANK(Term2_Early_Dismissal_3[[#This Row],[Activity]]),"",IF(_xlfn.XLOOKUP(Term2_Early_Dismissal_3[[#This Row],[Activity]],Types_of_Activity[Type of Activity],Types_of_Activity[Classification])=2,Term2_Early_Dismissal_3[[#This Row],[Elapsed]],0))</f>
        <v/>
      </c>
    </row>
    <row r="55" spans="2:21" x14ac:dyDescent="0.3">
      <c r="B55" s="141"/>
      <c r="C55" s="141"/>
      <c r="D55" s="106"/>
      <c r="E55" s="109" t="str">
        <f>IF(OR(ISBLANK(Term2_Early_Dismissal_1[[#This Row],[Start]]),ISBLANK(Term2_Early_Dismissal_1[[#This Row],[End]])),"",(Term2_Early_Dismissal_1[[#This Row],[End]]-Term2_Early_Dismissal_1[[#This Row],[Start]])*1440)</f>
        <v/>
      </c>
      <c r="F55" s="109" t="str">
        <f>IF(ISBLANK(Term2_Early_Dismissal_1[[#This Row],[Activity]]),"",IF(_xlfn.XLOOKUP(Term2_Early_Dismissal_1[[#This Row],[Activity]],Types_of_Activity[Type of Activity],Types_of_Activity[Classification])=1,Term2_Early_Dismissal_1[[#This Row],[Elapsed]],0))</f>
        <v/>
      </c>
      <c r="G55" s="109" t="str">
        <f>IF(ISBLANK(Term2_Early_Dismissal_1[[#This Row],[Activity]]),"",IF(_xlfn.XLOOKUP(Term2_Early_Dismissal_1[[#This Row],[Activity]],Types_of_Activity[Type of Activity],Types_of_Activity[Classification])=2,Term2_Early_Dismissal_1[[#This Row],[Elapsed]],0))</f>
        <v/>
      </c>
      <c r="H55"/>
      <c r="I55" s="141"/>
      <c r="J55" s="141"/>
      <c r="K55" s="106"/>
      <c r="L55" s="109" t="str">
        <f>IF(OR(ISBLANK(Term2_Early_Dismissal_2[[#This Row],[Start]]),ISBLANK(Term2_Early_Dismissal_2[[#This Row],[End]])),"",(Term2_Early_Dismissal_2[[#This Row],[End]]-Term2_Early_Dismissal_2[[#This Row],[Start]])*1440)</f>
        <v/>
      </c>
      <c r="M55" s="109" t="str">
        <f>IF(ISBLANK(Term2_Early_Dismissal_2[[#This Row],[Activity]]),"",IF(_xlfn.XLOOKUP(Term2_Early_Dismissal_2[[#This Row],[Activity]],Types_of_Activity[Type of Activity],Types_of_Activity[Classification])=1,Term2_Early_Dismissal_2[[#This Row],[Elapsed]],0))</f>
        <v/>
      </c>
      <c r="N55" s="109" t="str">
        <f>IF(ISBLANK(Term2_Early_Dismissal_2[[#This Row],[Activity]]),"",IF(_xlfn.XLOOKUP(Term2_Early_Dismissal_2[[#This Row],[Activity]],Types_of_Activity[Type of Activity],Types_of_Activity[Classification])=2,Term2_Early_Dismissal_2[[#This Row],[Elapsed]],0))</f>
        <v/>
      </c>
      <c r="O55"/>
      <c r="P55" s="141"/>
      <c r="Q55" s="141"/>
      <c r="R55" s="106"/>
      <c r="S55" s="109" t="str">
        <f>IF(OR(ISBLANK(Term2_Early_Dismissal_3[[#This Row],[Start]]),ISBLANK(Term2_Early_Dismissal_3[[#This Row],[End]])),"",(Term2_Early_Dismissal_3[[#This Row],[End]]-Term2_Early_Dismissal_3[[#This Row],[Start]])*1440)</f>
        <v/>
      </c>
      <c r="T55" s="109" t="str">
        <f>IF(ISBLANK(Term2_Early_Dismissal_3[[#This Row],[Activity]]),"",IF(_xlfn.XLOOKUP(Term2_Early_Dismissal_3[[#This Row],[Activity]],Types_of_Activity[Type of Activity],Types_of_Activity[Classification])=1,Term2_Early_Dismissal_3[[#This Row],[Elapsed]],0))</f>
        <v/>
      </c>
      <c r="U55" s="109" t="str">
        <f>IF(ISBLANK(Term2_Early_Dismissal_3[[#This Row],[Activity]]),"",IF(_xlfn.XLOOKUP(Term2_Early_Dismissal_3[[#This Row],[Activity]],Types_of_Activity[Type of Activity],Types_of_Activity[Classification])=2,Term2_Early_Dismissal_3[[#This Row],[Elapsed]],0))</f>
        <v/>
      </c>
    </row>
    <row r="56" spans="2:21" x14ac:dyDescent="0.3">
      <c r="B56" s="141"/>
      <c r="C56" s="141"/>
      <c r="D56" s="106"/>
      <c r="E56" s="109" t="str">
        <f>IF(OR(ISBLANK(Term2_Early_Dismissal_1[[#This Row],[Start]]),ISBLANK(Term2_Early_Dismissal_1[[#This Row],[End]])),"",(Term2_Early_Dismissal_1[[#This Row],[End]]-Term2_Early_Dismissal_1[[#This Row],[Start]])*1440)</f>
        <v/>
      </c>
      <c r="F56" s="109" t="str">
        <f>IF(ISBLANK(Term2_Early_Dismissal_1[[#This Row],[Activity]]),"",IF(_xlfn.XLOOKUP(Term2_Early_Dismissal_1[[#This Row],[Activity]],Types_of_Activity[Type of Activity],Types_of_Activity[Classification])=1,Term2_Early_Dismissal_1[[#This Row],[Elapsed]],0))</f>
        <v/>
      </c>
      <c r="G56" s="109" t="str">
        <f>IF(ISBLANK(Term2_Early_Dismissal_1[[#This Row],[Activity]]),"",IF(_xlfn.XLOOKUP(Term2_Early_Dismissal_1[[#This Row],[Activity]],Types_of_Activity[Type of Activity],Types_of_Activity[Classification])=2,Term2_Early_Dismissal_1[[#This Row],[Elapsed]],0))</f>
        <v/>
      </c>
      <c r="H56"/>
      <c r="I56" s="141"/>
      <c r="J56" s="141"/>
      <c r="K56" s="106"/>
      <c r="L56" s="109" t="str">
        <f>IF(OR(ISBLANK(Term2_Early_Dismissal_2[[#This Row],[Start]]),ISBLANK(Term2_Early_Dismissal_2[[#This Row],[End]])),"",(Term2_Early_Dismissal_2[[#This Row],[End]]-Term2_Early_Dismissal_2[[#This Row],[Start]])*1440)</f>
        <v/>
      </c>
      <c r="M56" s="109" t="str">
        <f>IF(ISBLANK(Term2_Early_Dismissal_2[[#This Row],[Activity]]),"",IF(_xlfn.XLOOKUP(Term2_Early_Dismissal_2[[#This Row],[Activity]],Types_of_Activity[Type of Activity],Types_of_Activity[Classification])=1,Term2_Early_Dismissal_2[[#This Row],[Elapsed]],0))</f>
        <v/>
      </c>
      <c r="N56" s="109" t="str">
        <f>IF(ISBLANK(Term2_Early_Dismissal_2[[#This Row],[Activity]]),"",IF(_xlfn.XLOOKUP(Term2_Early_Dismissal_2[[#This Row],[Activity]],Types_of_Activity[Type of Activity],Types_of_Activity[Classification])=2,Term2_Early_Dismissal_2[[#This Row],[Elapsed]],0))</f>
        <v/>
      </c>
      <c r="O56"/>
      <c r="P56" s="141"/>
      <c r="Q56" s="141"/>
      <c r="R56" s="106"/>
      <c r="S56" s="109" t="str">
        <f>IF(OR(ISBLANK(Term2_Early_Dismissal_3[[#This Row],[Start]]),ISBLANK(Term2_Early_Dismissal_3[[#This Row],[End]])),"",(Term2_Early_Dismissal_3[[#This Row],[End]]-Term2_Early_Dismissal_3[[#This Row],[Start]])*1440)</f>
        <v/>
      </c>
      <c r="T56" s="109" t="str">
        <f>IF(ISBLANK(Term2_Early_Dismissal_3[[#This Row],[Activity]]),"",IF(_xlfn.XLOOKUP(Term2_Early_Dismissal_3[[#This Row],[Activity]],Types_of_Activity[Type of Activity],Types_of_Activity[Classification])=1,Term2_Early_Dismissal_3[[#This Row],[Elapsed]],0))</f>
        <v/>
      </c>
      <c r="U56" s="109" t="str">
        <f>IF(ISBLANK(Term2_Early_Dismissal_3[[#This Row],[Activity]]),"",IF(_xlfn.XLOOKUP(Term2_Early_Dismissal_3[[#This Row],[Activity]],Types_of_Activity[Type of Activity],Types_of_Activity[Classification])=2,Term2_Early_Dismissal_3[[#This Row],[Elapsed]],0))</f>
        <v/>
      </c>
    </row>
    <row r="57" spans="2:2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row>
    <row r="58" spans="2:2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row>
    <row r="59" spans="2:2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row>
    <row r="60" spans="2:2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row>
    <row r="61" spans="2:2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row>
    <row r="62" spans="2:2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row>
    <row r="63" spans="2:2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row>
    <row r="64" spans="2:2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row>
    <row r="65" spans="2:21"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row>
    <row r="66" spans="2:21"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row>
    <row r="67" spans="2:21"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row>
    <row r="68" spans="2:21"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row>
    <row r="69" spans="2:21"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row>
    <row r="70" spans="2:21"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row>
    <row r="71" spans="2:21"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row>
    <row r="72" spans="2:21"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row>
    <row r="73" spans="2:21"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row>
    <row r="74" spans="2:21"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row>
    <row r="75" spans="2:21"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row>
    <row r="76" spans="2:21"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row>
    <row r="77" spans="2:21"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row>
    <row r="78" spans="2:21"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row>
    <row r="79" spans="2:21"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row>
    <row r="80" spans="2:21"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row>
    <row r="81" spans="2:21"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row>
    <row r="82" spans="2:21"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row>
    <row r="83" spans="2:21"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row>
    <row r="84" spans="2:21"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row>
    <row r="85" spans="2:21"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row>
    <row r="86" spans="2:21"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IF(OR(ISBLANK(Term2_Special_Day_1[[#This Row],[Start]]),ISBLANK(Term2_Special_Day_1[[#This Row],[End]])),"",(Term2_Special_Day_1[[#This Row],[End]]-Term2_Special_Day_1[[#This Row],[Start]])*1440)</f>
        <v/>
      </c>
      <c r="F96" s="109" t="str">
        <f>IF(ISBLANK(Term2_Special_Day_1[[#This Row],[Activity]]),"",IF(_xlfn.XLOOKUP(Term2_Special_Day_1[[#This Row],[Activity]],Types_of_Activity[Type of Activity],Types_of_Activity[Classification])=1,Term2_Special_Day_1[[#This Row],[Elapsed]],0))</f>
        <v/>
      </c>
      <c r="G96" s="109" t="str">
        <f>IF(ISBLANK(Term2_Special_Day_1[[#This Row],[Activity]]),"",IF(_xlfn.XLOOKUP(Term2_Special_Day_1[[#This Row],[Activity]],Types_of_Activity[Type of Activity],Types_of_Activity[Classification])=2,Term2_Special_Day_1[[#This Row],[Elapsed]],0))</f>
        <v/>
      </c>
      <c r="H96"/>
      <c r="I96" s="141"/>
      <c r="J96" s="141"/>
      <c r="K96" s="106"/>
      <c r="L96" s="109" t="str">
        <f>IF(OR(ISBLANK(Term2_Special_Day_2[[#This Row],[Start]]),ISBLANK(Term2_Special_Day_2[[#This Row],[End]])),"",(Term2_Special_Day_2[[#This Row],[End]]-Term2_Special_Day_2[[#This Row],[Start]])*1440)</f>
        <v/>
      </c>
      <c r="M96" s="109" t="str">
        <f>IF(ISBLANK(Term2_Special_Day_2[[#This Row],[Activity]]),"",IF(_xlfn.XLOOKUP(Term2_Special_Day_2[[#This Row],[Activity]],Types_of_Activity[Type of Activity],Types_of_Activity[Classification])=1,Term2_Special_Day_2[[#This Row],[Elapsed]],0))</f>
        <v/>
      </c>
      <c r="N96" s="109" t="str">
        <f>IF(ISBLANK(Term2_Special_Day_2[[#This Row],[Activity]]),"",IF(_xlfn.XLOOKUP(Term2_Special_Day_2[[#This Row],[Activity]],Types_of_Activity[Type of Activity],Types_of_Activity[Classification])=2,Term2_Special_Day_2[[#This Row],[Elapsed]],0))</f>
        <v/>
      </c>
      <c r="O96"/>
      <c r="P96" s="141"/>
      <c r="Q96" s="141"/>
      <c r="R96" s="106"/>
      <c r="S96" s="109" t="str">
        <f>IF(OR(ISBLANK(Term2_Special_Day_3[[#This Row],[Start]]),ISBLANK(Term2_Special_Day_3[[#This Row],[End]])),"",(Term2_Special_Day_3[[#This Row],[End]]-Term2_Special_Day_3[[#This Row],[Start]])*1440)</f>
        <v/>
      </c>
      <c r="T96" s="109" t="str">
        <f>IF(ISBLANK(Term2_Special_Day_3[[#This Row],[Activity]]),"",IF(_xlfn.XLOOKUP(Term2_Special_Day_3[[#This Row],[Activity]],Types_of_Activity[Type of Activity],Types_of_Activity[Classification])=1,Term2_Special_Day_3[[#This Row],[Elapsed]],0))</f>
        <v/>
      </c>
      <c r="U96" s="109" t="str">
        <f>IF(ISBLANK(Term2_Special_Day_3[[#This Row],[Activity]]),"",IF(_xlfn.XLOOKUP(Term2_Special_Day_3[[#This Row],[Activity]],Types_of_Activity[Type of Activity],Types_of_Activity[Classification])=2,Term2_Special_Day_3[[#This Row],[Elapsed]],0))</f>
        <v/>
      </c>
    </row>
    <row r="97" spans="2:21" x14ac:dyDescent="0.3">
      <c r="B97" s="141"/>
      <c r="C97" s="141"/>
      <c r="D97" s="106"/>
      <c r="E97" s="109" t="str">
        <f>IF(OR(ISBLANK(Term2_Special_Day_1[[#This Row],[Start]]),ISBLANK(Term2_Special_Day_1[[#This Row],[End]])),"",(Term2_Special_Day_1[[#This Row],[End]]-Term2_Special_Day_1[[#This Row],[Start]])*1440)</f>
        <v/>
      </c>
      <c r="F97" s="109" t="str">
        <f>IF(ISBLANK(Term2_Special_Day_1[[#This Row],[Activity]]),"",IF(_xlfn.XLOOKUP(Term2_Special_Day_1[[#This Row],[Activity]],Types_of_Activity[Type of Activity],Types_of_Activity[Classification])=1,Term2_Special_Day_1[[#This Row],[Elapsed]],0))</f>
        <v/>
      </c>
      <c r="G97" s="109" t="str">
        <f>IF(ISBLANK(Term2_Special_Day_1[[#This Row],[Activity]]),"",IF(_xlfn.XLOOKUP(Term2_Special_Day_1[[#This Row],[Activity]],Types_of_Activity[Type of Activity],Types_of_Activity[Classification])=2,Term2_Special_Day_1[[#This Row],[Elapsed]],0))</f>
        <v/>
      </c>
      <c r="H97"/>
      <c r="I97" s="141"/>
      <c r="J97" s="141"/>
      <c r="K97" s="106"/>
      <c r="L97" s="109" t="str">
        <f>IF(OR(ISBLANK(Term2_Special_Day_2[[#This Row],[Start]]),ISBLANK(Term2_Special_Day_2[[#This Row],[End]])),"",(Term2_Special_Day_2[[#This Row],[End]]-Term2_Special_Day_2[[#This Row],[Start]])*1440)</f>
        <v/>
      </c>
      <c r="M97" s="109" t="str">
        <f>IF(ISBLANK(Term2_Special_Day_2[[#This Row],[Activity]]),"",IF(_xlfn.XLOOKUP(Term2_Special_Day_2[[#This Row],[Activity]],Types_of_Activity[Type of Activity],Types_of_Activity[Classification])=1,Term2_Special_Day_2[[#This Row],[Elapsed]],0))</f>
        <v/>
      </c>
      <c r="N97" s="109" t="str">
        <f>IF(ISBLANK(Term2_Special_Day_2[[#This Row],[Activity]]),"",IF(_xlfn.XLOOKUP(Term2_Special_Day_2[[#This Row],[Activity]],Types_of_Activity[Type of Activity],Types_of_Activity[Classification])=2,Term2_Special_Day_2[[#This Row],[Elapsed]],0))</f>
        <v/>
      </c>
      <c r="O97"/>
      <c r="P97" s="141"/>
      <c r="Q97" s="141"/>
      <c r="R97" s="106"/>
      <c r="S97" s="109" t="str">
        <f>IF(OR(ISBLANK(Term2_Special_Day_3[[#This Row],[Start]]),ISBLANK(Term2_Special_Day_3[[#This Row],[End]])),"",(Term2_Special_Day_3[[#This Row],[End]]-Term2_Special_Day_3[[#This Row],[Start]])*1440)</f>
        <v/>
      </c>
      <c r="T97" s="109" t="str">
        <f>IF(ISBLANK(Term2_Special_Day_3[[#This Row],[Activity]]),"",IF(_xlfn.XLOOKUP(Term2_Special_Day_3[[#This Row],[Activity]],Types_of_Activity[Type of Activity],Types_of_Activity[Classification])=1,Term2_Special_Day_3[[#This Row],[Elapsed]],0))</f>
        <v/>
      </c>
      <c r="U97" s="109" t="str">
        <f>IF(ISBLANK(Term2_Special_Day_3[[#This Row],[Activity]]),"",IF(_xlfn.XLOOKUP(Term2_Special_Day_3[[#This Row],[Activity]],Types_of_Activity[Type of Activity],Types_of_Activity[Classification])=2,Term2_Special_Day_3[[#This Row],[Elapsed]],0))</f>
        <v/>
      </c>
    </row>
    <row r="98" spans="2:21" x14ac:dyDescent="0.3">
      <c r="B98" s="141"/>
      <c r="C98" s="141"/>
      <c r="D98" s="106"/>
      <c r="E98" s="109" t="str">
        <f>IF(OR(ISBLANK(Term2_Special_Day_1[[#This Row],[Start]]),ISBLANK(Term2_Special_Day_1[[#This Row],[End]])),"",(Term2_Special_Day_1[[#This Row],[End]]-Term2_Special_Day_1[[#This Row],[Start]])*1440)</f>
        <v/>
      </c>
      <c r="F98" s="109" t="str">
        <f>IF(ISBLANK(Term2_Special_Day_1[[#This Row],[Activity]]),"",IF(_xlfn.XLOOKUP(Term2_Special_Day_1[[#This Row],[Activity]],Types_of_Activity[Type of Activity],Types_of_Activity[Classification])=1,Term2_Special_Day_1[[#This Row],[Elapsed]],0))</f>
        <v/>
      </c>
      <c r="G98" s="109" t="str">
        <f>IF(ISBLANK(Term2_Special_Day_1[[#This Row],[Activity]]),"",IF(_xlfn.XLOOKUP(Term2_Special_Day_1[[#This Row],[Activity]],Types_of_Activity[Type of Activity],Types_of_Activity[Classification])=2,Term2_Special_Day_1[[#This Row],[Elapsed]],0))</f>
        <v/>
      </c>
      <c r="H98"/>
      <c r="I98" s="141"/>
      <c r="J98" s="141"/>
      <c r="K98" s="106"/>
      <c r="L98" s="109" t="str">
        <f>IF(OR(ISBLANK(Term2_Special_Day_2[[#This Row],[Start]]),ISBLANK(Term2_Special_Day_2[[#This Row],[End]])),"",(Term2_Special_Day_2[[#This Row],[End]]-Term2_Special_Day_2[[#This Row],[Start]])*1440)</f>
        <v/>
      </c>
      <c r="M98" s="109" t="str">
        <f>IF(ISBLANK(Term2_Special_Day_2[[#This Row],[Activity]]),"",IF(_xlfn.XLOOKUP(Term2_Special_Day_2[[#This Row],[Activity]],Types_of_Activity[Type of Activity],Types_of_Activity[Classification])=1,Term2_Special_Day_2[[#This Row],[Elapsed]],0))</f>
        <v/>
      </c>
      <c r="N98" s="109" t="str">
        <f>IF(ISBLANK(Term2_Special_Day_2[[#This Row],[Activity]]),"",IF(_xlfn.XLOOKUP(Term2_Special_Day_2[[#This Row],[Activity]],Types_of_Activity[Type of Activity],Types_of_Activity[Classification])=2,Term2_Special_Day_2[[#This Row],[Elapsed]],0))</f>
        <v/>
      </c>
      <c r="O98"/>
      <c r="P98" s="141"/>
      <c r="Q98" s="141"/>
      <c r="R98" s="106"/>
      <c r="S98" s="109" t="str">
        <f>IF(OR(ISBLANK(Term2_Special_Day_3[[#This Row],[Start]]),ISBLANK(Term2_Special_Day_3[[#This Row],[End]])),"",(Term2_Special_Day_3[[#This Row],[End]]-Term2_Special_Day_3[[#This Row],[Start]])*1440)</f>
        <v/>
      </c>
      <c r="T98" s="109" t="str">
        <f>IF(ISBLANK(Term2_Special_Day_3[[#This Row],[Activity]]),"",IF(_xlfn.XLOOKUP(Term2_Special_Day_3[[#This Row],[Activity]],Types_of_Activity[Type of Activity],Types_of_Activity[Classification])=1,Term2_Special_Day_3[[#This Row],[Elapsed]],0))</f>
        <v/>
      </c>
      <c r="U98" s="109" t="str">
        <f>IF(ISBLANK(Term2_Special_Day_3[[#This Row],[Activity]]),"",IF(_xlfn.XLOOKUP(Term2_Special_Day_3[[#This Row],[Activity]],Types_of_Activity[Type of Activity],Types_of_Activity[Classification])=2,Term2_Special_Day_3[[#This Row],[Elapsed]],0))</f>
        <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sheetData>
  <sheetProtection algorithmName="SHA-512" hashValue="F1JAaSJf7pL80OKB+GenG4GFjY3XHkJ6w7k6kGBNa7vsJ3AbPscVyqX3TyTaHEPCakBrG2Kyb0prkc5B58+kHQ==" saltValue="c0vXYJXp3x52+bJ3uyfCOg==" spinCount="100000" sheet="1" selectLockedCells="1"/>
  <mergeCells count="1">
    <mergeCell ref="B11:N11"/>
  </mergeCells>
  <conditionalFormatting sqref="B11:N11">
    <cfRule type="expression" dxfId="5" priority="1">
      <formula>Num_Terms=1</formula>
    </cfRule>
  </conditionalFormatting>
  <dataValidations count="1">
    <dataValidation type="time" allowBlank="1" showInputMessage="1" showErrorMessage="1" sqref="B54:C66 AY15:AZ28 B15:C47 W15:X28 AD15:AE28 BF15:BG28 I15:J28 P15:Q28 AK15:AL28 AR15:AS28 BM15:BN28" xr:uid="{07D47637-A8C7-435A-A046-86ABD396F379}">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_xlfn.ANCHORARRAY(Parameters!$F$19)</xm:f>
          </x14:formula1>
          <xm:sqref>BA15:BA47 R54:R86 D54:D86 Y15:Y47 AF15:AF47 BH15:BH47 D15:D47 K96:K128 R96:R128 K54:K86 R15:R47 K15:K47 D96:D128 AM15:AM47 AT15:AT47 BO15:BO47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1:BS128"/>
  <sheetViews>
    <sheetView showGridLines="0" topLeftCell="B2"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75" style="107" customWidth="1"/>
    <col min="47" max="47" width="12.75" style="107" customWidth="1"/>
    <col min="48" max="49" width="19.75" style="107" customWidth="1"/>
    <col min="50" max="50" width="9" style="107" customWidth="1"/>
    <col min="51" max="52" width="12.75" style="107" customWidth="1"/>
    <col min="53" max="53" width="19.75" style="107" customWidth="1"/>
    <col min="54" max="54" width="12.75" style="107" customWidth="1"/>
    <col min="55" max="56" width="19.75" style="107" customWidth="1"/>
    <col min="57" max="57" width="9" style="107" customWidth="1"/>
    <col min="58" max="59" width="12.75" style="107" customWidth="1"/>
    <col min="60" max="60" width="19.75" style="107" customWidth="1"/>
    <col min="61" max="61" width="12.75" style="107" customWidth="1"/>
    <col min="62" max="63" width="19.75" style="107" customWidth="1"/>
    <col min="64" max="64" width="9" style="107" customWidth="1"/>
    <col min="65" max="66" width="12.75" style="107" customWidth="1"/>
    <col min="67" max="67" width="19.625" style="107" customWidth="1"/>
    <col min="68" max="68" width="12.625" style="107" customWidth="1"/>
    <col min="69" max="70" width="19.75" style="107" customWidth="1"/>
    <col min="71" max="71" width="9" style="107" customWidth="1"/>
    <col min="72" max="74" width="12.625" style="107" customWidth="1"/>
    <col min="75" max="75" width="18.625" style="107" customWidth="1"/>
    <col min="76" max="76" width="20.625" style="107" customWidth="1"/>
    <col min="77" max="77" width="18.5" style="107" customWidth="1"/>
    <col min="78" max="81" width="9" style="107"/>
    <col min="82" max="82" width="12.125" style="107" customWidth="1"/>
    <col min="83" max="83" width="16.25" style="107" customWidth="1"/>
    <col min="84" max="16384" width="9" style="107"/>
  </cols>
  <sheetData>
    <row r="11" spans="2:70" ht="27.75" customHeight="1" x14ac:dyDescent="0.45">
      <c r="B11" s="167" t="str">
        <f>IF(OR(Num_Terms=1,Num_Terms=2),_xlfn.CONCAT("STOP. You indicated that your calendar uses ",Num_Terms," term(s). If your calendar uses 3 terms, update the setting on the first page."),"")</f>
        <v/>
      </c>
      <c r="C11" s="167"/>
      <c r="D11" s="167"/>
      <c r="E11" s="167"/>
      <c r="F11" s="167"/>
      <c r="G11" s="167"/>
      <c r="H11" s="167"/>
      <c r="I11" s="167"/>
      <c r="J11" s="167"/>
      <c r="K11" s="167"/>
      <c r="L11" s="167"/>
      <c r="M11" s="167"/>
      <c r="N11" s="167"/>
    </row>
    <row r="13" spans="2:70"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4243</v>
      </c>
      <c r="AV13" s="109"/>
      <c r="AW13" s="109"/>
      <c r="AY13" s="108" t="s">
        <v>4244</v>
      </c>
      <c r="BC13" s="109"/>
      <c r="BD13" s="109"/>
      <c r="BF13" s="108" t="s">
        <v>4245</v>
      </c>
      <c r="BJ13" s="109"/>
      <c r="BK13" s="109"/>
      <c r="BM13" s="108" t="s">
        <v>16</v>
      </c>
      <c r="BQ13" s="109"/>
      <c r="BR13" s="109"/>
    </row>
    <row r="14" spans="2:70"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c r="AY14" s="123" t="s">
        <v>17</v>
      </c>
      <c r="AZ14" s="123" t="s">
        <v>18</v>
      </c>
      <c r="BA14" s="123" t="s">
        <v>20</v>
      </c>
      <c r="BB14" s="123" t="s">
        <v>19</v>
      </c>
      <c r="BC14" s="123" t="s">
        <v>21</v>
      </c>
      <c r="BD14" s="124" t="s">
        <v>4218</v>
      </c>
      <c r="BF14" s="123" t="s">
        <v>17</v>
      </c>
      <c r="BG14" s="123" t="s">
        <v>18</v>
      </c>
      <c r="BH14" s="123" t="s">
        <v>20</v>
      </c>
      <c r="BI14" s="123" t="s">
        <v>19</v>
      </c>
      <c r="BJ14" s="123" t="s">
        <v>21</v>
      </c>
      <c r="BK14" s="124" t="s">
        <v>4218</v>
      </c>
      <c r="BM14" s="123" t="s">
        <v>17</v>
      </c>
      <c r="BN14" s="123" t="s">
        <v>18</v>
      </c>
      <c r="BO14" s="123" t="s">
        <v>20</v>
      </c>
      <c r="BP14" s="123" t="s">
        <v>19</v>
      </c>
      <c r="BQ14" s="123" t="s">
        <v>21</v>
      </c>
      <c r="BR14" s="124" t="s">
        <v>4218</v>
      </c>
    </row>
    <row r="15" spans="2:70" x14ac:dyDescent="0.3">
      <c r="B15" s="141"/>
      <c r="C15" s="141"/>
      <c r="D15" s="106"/>
      <c r="E15" s="109" t="str">
        <f>IF(OR(ISBLANK(Term3_Day_1[[#This Row],[Start]]),ISBLANK(Term3_Day_1[[#This Row],[End]])),"",(Term3_Day_1[[#This Row],[End]]-Term3_Day_1[[#This Row],[Start]])*1440)</f>
        <v/>
      </c>
      <c r="F15" s="109" t="str">
        <f>IF(ISBLANK(Term3_Day_1[[#This Row],[Activity]]),"",IF(_xlfn.XLOOKUP(Term3_Day_1[[#This Row],[Activity]],Types_of_Activity[Type of Activity],Types_of_Activity[Classification])=1,Term3_Day_1[[#This Row],[Elapsed]],0))</f>
        <v/>
      </c>
      <c r="G15" s="109" t="str">
        <f>IF(ISBLANK(Term3_Day_1[[#This Row],[Activity]]),"",IF(_xlfn.XLOOKUP(Term3_Day_1[[#This Row],[Activity]],Types_of_Activity[Type of Activity],Types_of_Activity[Classification])=2,Term3_Day_1[[#This Row],[Elapsed]],0))</f>
        <v/>
      </c>
      <c r="I15" s="141"/>
      <c r="J15" s="141"/>
      <c r="K15" s="106"/>
      <c r="L15" s="109" t="str">
        <f>IF(OR(ISBLANK(Term3_Day_2[[#This Row],[Start]]),ISBLANK(Term3_Day_2[[#This Row],[End]])),"",(Term3_Day_2[[#This Row],[End]]-Term3_Day_2[[#This Row],[Start]])*1440)</f>
        <v/>
      </c>
      <c r="M15" s="109" t="str">
        <f>IF(ISBLANK(Term3_Day_2[[#This Row],[Activity]]),"",IF(_xlfn.XLOOKUP(Term3_Day_2[[#This Row],[Activity]],Types_of_Activity[Type of Activity],Types_of_Activity[Classification])=1,Term3_Day_2[[#This Row],[Elapsed]],0))</f>
        <v/>
      </c>
      <c r="N15" s="109" t="str">
        <f>IF(ISBLANK(Term3_Day_2[[#This Row],[Activity]]),"",IF(_xlfn.XLOOKUP(Term3_Day_2[[#This Row],[Activity]],Types_of_Activity[Type of Activity],Types_of_Activity[Classification])=2,Term3_Day_2[[#This Row],[Elapsed]],0))</f>
        <v/>
      </c>
      <c r="P15" s="141"/>
      <c r="Q15" s="141"/>
      <c r="R15" s="106"/>
      <c r="S15" s="109" t="str">
        <f>IF(OR(ISBLANK(Term3_Day_3[[#This Row],[Start]]),ISBLANK(Term3_Day_3[[#This Row],[End]])),"",(Term3_Day_3[[#This Row],[End]]-Term3_Day_3[[#This Row],[Start]])*1440)</f>
        <v/>
      </c>
      <c r="T15" s="109" t="str">
        <f>IF(ISBLANK(Term3_Day_3[[#This Row],[Activity]]),"",IF(_xlfn.XLOOKUP(Term3_Day_3[[#This Row],[Activity]],Types_of_Activity[Type of Activity],Types_of_Activity[Classification])=1,Term3_Day_3[[#This Row],[Elapsed]],0))</f>
        <v/>
      </c>
      <c r="U15" s="109" t="str">
        <f>IF(ISBLANK(Term3_Day_3[[#This Row],[Activity]]),"",IF(_xlfn.XLOOKUP(Term3_Day_3[[#This Row],[Activity]],Types_of_Activity[Type of Activity],Types_of_Activity[Classification])=2,Term3_Day_3[[#This Row],[Elapsed]],0))</f>
        <v/>
      </c>
      <c r="W15" s="141"/>
      <c r="X15" s="141"/>
      <c r="Y15" s="106"/>
      <c r="Z15" s="109" t="str">
        <f>IF(OR(ISBLANK(Term3_Day_4[[#This Row],[Start]]),ISBLANK(Term3_Day_4[[#This Row],[End]])),"",(Term3_Day_4[[#This Row],[End]]-Term3_Day_4[[#This Row],[Start]])*1440)</f>
        <v/>
      </c>
      <c r="AA15" s="109" t="str">
        <f>IF(ISBLANK(Term3_Day_4[[#This Row],[Activity]]),"",IF(_xlfn.XLOOKUP(Term3_Day_4[[#This Row],[Activity]],Types_of_Activity[Type of Activity],Types_of_Activity[Classification])=1,Term3_Day_4[[#This Row],[Elapsed]],0))</f>
        <v/>
      </c>
      <c r="AB15" s="109" t="str">
        <f>IF(ISBLANK(Term3_Day_4[[#This Row],[Activity]]),"",IF(_xlfn.XLOOKUP(Term3_Day_4[[#This Row],[Activity]],Types_of_Activity[Type of Activity],Types_of_Activity[Classification])=2,Term3_Day_4[[#This Row],[Elapsed]],0))</f>
        <v/>
      </c>
      <c r="AD15" s="141"/>
      <c r="AE15" s="141"/>
      <c r="AF15" s="106"/>
      <c r="AG15" s="109" t="str">
        <f>IF(OR(ISBLANK(Term3_Day_5[[#This Row],[Start]]),ISBLANK(Term3_Day_5[[#This Row],[End]])),"",(Term3_Day_5[[#This Row],[End]]-Term3_Day_5[[#This Row],[Start]])*1440)</f>
        <v/>
      </c>
      <c r="AH15" s="109" t="str">
        <f>IF(ISBLANK(Term3_Day_5[[#This Row],[Activity]]),"",IF(_xlfn.XLOOKUP(Term3_Day_5[[#This Row],[Activity]],Types_of_Activity[Type of Activity],Types_of_Activity[Classification])=1,Term3_Day_5[[#This Row],[Elapsed]],0))</f>
        <v/>
      </c>
      <c r="AI15" s="109" t="str">
        <f>IF(ISBLANK(Term3_Day_5[[#This Row],[Activity]]),"",IF(_xlfn.XLOOKUP(Term3_Day_5[[#This Row],[Activity]],Types_of_Activity[Type of Activity],Types_of_Activity[Classification])=2,Term3_Day_5[[#This Row],[Elapsed]],0))</f>
        <v/>
      </c>
      <c r="AK15" s="141"/>
      <c r="AL15" s="141"/>
      <c r="AM15" s="106"/>
      <c r="AN15" s="109" t="str">
        <f>IF(OR(ISBLANK(Term3_Day_6[[#This Row],[Start]]),ISBLANK(Term3_Day_6[[#This Row],[End]])),"",(Term3_Day_6[[#This Row],[End]]-Term3_Day_6[[#This Row],[Start]])*1440)</f>
        <v/>
      </c>
      <c r="AO15" s="109" t="str">
        <f>IF(ISBLANK(Term3_Day_6[[#This Row],[Activity]]),"",IF(_xlfn.XLOOKUP(Term3_Day_6[[#This Row],[Activity]],Types_of_Activity[Type of Activity],Types_of_Activity[Classification])=1,Term3_Day_6[[#This Row],[Elapsed]],0))</f>
        <v/>
      </c>
      <c r="AP15" s="109" t="str">
        <f>IF(ISBLANK(Term3_Day_6[[#This Row],[Activity]]),"",IF(_xlfn.XLOOKUP(Term3_Day_6[[#This Row],[Activity]],Types_of_Activity[Type of Activity],Types_of_Activity[Classification])=2,Term3_Day_6[[#This Row],[Elapsed]],0))</f>
        <v/>
      </c>
      <c r="AR15" s="141"/>
      <c r="AS15" s="141"/>
      <c r="AT15" s="106"/>
      <c r="AU15" s="109" t="str">
        <f>IF(OR(ISBLANK(Term3_Day_7[[#This Row],[Start]]),ISBLANK(Term3_Day_7[[#This Row],[End]])),"",(Term3_Day_7[[#This Row],[End]]-Term3_Day_7[[#This Row],[Start]])*1440)</f>
        <v/>
      </c>
      <c r="AV15" s="109" t="str">
        <f>IF(ISBLANK(Term3_Day_7[[#This Row],[Activity]]),"",IF(_xlfn.XLOOKUP(Term3_Day_7[[#This Row],[Activity]],Types_of_Activity[Type of Activity],Types_of_Activity[Classification])=1,Term3_Day_7[[#This Row],[Elapsed]],0))</f>
        <v/>
      </c>
      <c r="AW15" s="109" t="str">
        <f>IF(ISBLANK(Term3_Day_7[[#This Row],[Activity]]),"",IF(_xlfn.XLOOKUP(Term3_Day_7[[#This Row],[Activity]],Types_of_Activity[Type of Activity],Types_of_Activity[Classification])=2,Term3_Day_7[[#This Row],[Elapsed]],0))</f>
        <v/>
      </c>
      <c r="AY15" s="141"/>
      <c r="AZ15" s="141"/>
      <c r="BA15" s="106"/>
      <c r="BB15" s="109" t="str">
        <f>IF(OR(ISBLANK(Term3_Day_8[[#This Row],[Start]]),ISBLANK(Term3_Day_8[[#This Row],[End]])),"",(Term3_Day_8[[#This Row],[End]]-Term3_Day_8[[#This Row],[Start]])*1440)</f>
        <v/>
      </c>
      <c r="BC15" s="109" t="str">
        <f>IF(ISBLANK(Term3_Day_8[[#This Row],[Activity]]),"",IF(_xlfn.XLOOKUP(Term3_Day_8[[#This Row],[Activity]],Types_of_Activity[Type of Activity],Types_of_Activity[Classification])=1,Term3_Day_8[[#This Row],[Elapsed]],0))</f>
        <v/>
      </c>
      <c r="BD15" s="109" t="str">
        <f>IF(ISBLANK(Term3_Day_8[[#This Row],[Activity]]),"",IF(_xlfn.XLOOKUP(Term3_Day_8[[#This Row],[Activity]],Types_of_Activity[Type of Activity],Types_of_Activity[Classification])=2,Term3_Day_8[[#This Row],[Elapsed]],0))</f>
        <v/>
      </c>
      <c r="BF15" s="141"/>
      <c r="BG15" s="141"/>
      <c r="BH15" s="106"/>
      <c r="BI15" s="109" t="str">
        <f>IF(OR(ISBLANK(Term3_Day_9[[#This Row],[Start]]),ISBLANK(Term3_Day_9[[#This Row],[End]])),"",(Term3_Day_9[[#This Row],[End]]-Term3_Day_9[[#This Row],[Start]])*1440)</f>
        <v/>
      </c>
      <c r="BJ15" s="109" t="str">
        <f>IF(ISBLANK(Term3_Day_9[[#This Row],[Activity]]),"",IF(_xlfn.XLOOKUP(Term3_Day_9[[#This Row],[Activity]],Types_of_Activity[Type of Activity],Types_of_Activity[Classification])=1,Term3_Day_9[[#This Row],[Elapsed]],0))</f>
        <v/>
      </c>
      <c r="BK15" s="109" t="str">
        <f>IF(ISBLANK(Term3_Day_9[[#This Row],[Activity]]),"",IF(_xlfn.XLOOKUP(Term3_Day_9[[#This Row],[Activity]],Types_of_Activity[Type of Activity],Types_of_Activity[Classification])=2,Term3_Day_9[[#This Row],[Elapsed]],0))</f>
        <v/>
      </c>
      <c r="BM15" s="141"/>
      <c r="BN15" s="141"/>
      <c r="BO15" s="106"/>
      <c r="BP15" s="109" t="str">
        <f>IF(OR(ISBLANK(Term3_Day_10[[#This Row],[Start]]),ISBLANK(Term3_Day_10[[#This Row],[End]])),"",(Term3_Day_10[[#This Row],[End]]-Term3_Day_10[[#This Row],[Start]])*1440)</f>
        <v/>
      </c>
      <c r="BQ15" s="109" t="str">
        <f>IF(ISBLANK(Term3_Day_10[[#This Row],[Activity]]),"",IF(_xlfn.XLOOKUP(Term3_Day_10[[#This Row],[Activity]],Types_of_Activity[Type of Activity],Types_of_Activity[Classification])=1,Term3_Day_10[[#This Row],[Elapsed]],0))</f>
        <v/>
      </c>
      <c r="BR15" s="109" t="str">
        <f>IF(ISBLANK(Term3_Day_10[[#This Row],[Activity]]),"",IF(_xlfn.XLOOKUP(Term3_Day_10[[#This Row],[Activity]],Types_of_Activity[Type of Activity],Types_of_Activity[Classification])=2,Term3_Day_10[[#This Row],[Elapsed]],0))</f>
        <v/>
      </c>
    </row>
    <row r="16" spans="2:70" x14ac:dyDescent="0.3">
      <c r="B16" s="141"/>
      <c r="C16" s="141"/>
      <c r="D16" s="106"/>
      <c r="E16" s="109" t="str">
        <f>IF(OR(ISBLANK(Term3_Day_1[[#This Row],[Start]]),ISBLANK(Term3_Day_1[[#This Row],[End]])),"",(Term3_Day_1[[#This Row],[End]]-Term3_Day_1[[#This Row],[Start]])*1440)</f>
        <v/>
      </c>
      <c r="F16" s="109" t="str">
        <f>IF(ISBLANK(Term3_Day_1[[#This Row],[Activity]]),"",IF(_xlfn.XLOOKUP(Term3_Day_1[[#This Row],[Activity]],Types_of_Activity[Type of Activity],Types_of_Activity[Classification])=1,Term3_Day_1[[#This Row],[Elapsed]],0))</f>
        <v/>
      </c>
      <c r="G16" s="109" t="str">
        <f>IF(ISBLANK(Term3_Day_1[[#This Row],[Activity]]),"",IF(_xlfn.XLOOKUP(Term3_Day_1[[#This Row],[Activity]],Types_of_Activity[Type of Activity],Types_of_Activity[Classification])=2,Term3_Day_1[[#This Row],[Elapsed]],0))</f>
        <v/>
      </c>
      <c r="I16" s="141"/>
      <c r="J16" s="141"/>
      <c r="K16" s="106"/>
      <c r="L16" s="109" t="str">
        <f>IF(OR(ISBLANK(Term3_Day_2[[#This Row],[Start]]),ISBLANK(Term3_Day_2[[#This Row],[End]])),"",(Term3_Day_2[[#This Row],[End]]-Term3_Day_2[[#This Row],[Start]])*1440)</f>
        <v/>
      </c>
      <c r="M16" s="109" t="str">
        <f>IF(ISBLANK(Term3_Day_2[[#This Row],[Activity]]),"",IF(_xlfn.XLOOKUP(Term3_Day_2[[#This Row],[Activity]],Types_of_Activity[Type of Activity],Types_of_Activity[Classification])=1,Term3_Day_2[[#This Row],[Elapsed]],0))</f>
        <v/>
      </c>
      <c r="N16" s="109" t="str">
        <f>IF(ISBLANK(Term3_Day_2[[#This Row],[Activity]]),"",IF(_xlfn.XLOOKUP(Term3_Day_2[[#This Row],[Activity]],Types_of_Activity[Type of Activity],Types_of_Activity[Classification])=2,Term3_Day_2[[#This Row],[Elapsed]],0))</f>
        <v/>
      </c>
      <c r="P16" s="141"/>
      <c r="Q16" s="141"/>
      <c r="R16" s="106"/>
      <c r="S16" s="109" t="str">
        <f>IF(OR(ISBLANK(Term3_Day_3[[#This Row],[Start]]),ISBLANK(Term3_Day_3[[#This Row],[End]])),"",(Term3_Day_3[[#This Row],[End]]-Term3_Day_3[[#This Row],[Start]])*1440)</f>
        <v/>
      </c>
      <c r="T16" s="109" t="str">
        <f>IF(ISBLANK(Term3_Day_3[[#This Row],[Activity]]),"",IF(_xlfn.XLOOKUP(Term3_Day_3[[#This Row],[Activity]],Types_of_Activity[Type of Activity],Types_of_Activity[Classification])=1,Term3_Day_3[[#This Row],[Elapsed]],0))</f>
        <v/>
      </c>
      <c r="U16" s="109" t="str">
        <f>IF(ISBLANK(Term3_Day_3[[#This Row],[Activity]]),"",IF(_xlfn.XLOOKUP(Term3_Day_3[[#This Row],[Activity]],Types_of_Activity[Type of Activity],Types_of_Activity[Classification])=2,Term3_Day_3[[#This Row],[Elapsed]],0))</f>
        <v/>
      </c>
      <c r="W16" s="141"/>
      <c r="X16" s="141"/>
      <c r="Y16" s="106"/>
      <c r="Z16" s="109" t="str">
        <f>IF(OR(ISBLANK(Term3_Day_4[[#This Row],[Start]]),ISBLANK(Term3_Day_4[[#This Row],[End]])),"",(Term3_Day_4[[#This Row],[End]]-Term3_Day_4[[#This Row],[Start]])*1440)</f>
        <v/>
      </c>
      <c r="AA16" s="109" t="str">
        <f>IF(ISBLANK(Term3_Day_4[[#This Row],[Activity]]),"",IF(_xlfn.XLOOKUP(Term3_Day_4[[#This Row],[Activity]],Types_of_Activity[Type of Activity],Types_of_Activity[Classification])=1,Term3_Day_4[[#This Row],[Elapsed]],0))</f>
        <v/>
      </c>
      <c r="AB16" s="109" t="str">
        <f>IF(ISBLANK(Term3_Day_4[[#This Row],[Activity]]),"",IF(_xlfn.XLOOKUP(Term3_Day_4[[#This Row],[Activity]],Types_of_Activity[Type of Activity],Types_of_Activity[Classification])=2,Term3_Day_4[[#This Row],[Elapsed]],0))</f>
        <v/>
      </c>
      <c r="AD16" s="141"/>
      <c r="AE16" s="141"/>
      <c r="AF16" s="106"/>
      <c r="AG16" s="109" t="str">
        <f>IF(OR(ISBLANK(Term3_Day_5[[#This Row],[Start]]),ISBLANK(Term3_Day_5[[#This Row],[End]])),"",(Term3_Day_5[[#This Row],[End]]-Term3_Day_5[[#This Row],[Start]])*1440)</f>
        <v/>
      </c>
      <c r="AH16" s="109" t="str">
        <f>IF(ISBLANK(Term3_Day_5[[#This Row],[Activity]]),"",IF(_xlfn.XLOOKUP(Term3_Day_5[[#This Row],[Activity]],Types_of_Activity[Type of Activity],Types_of_Activity[Classification])=1,Term3_Day_5[[#This Row],[Elapsed]],0))</f>
        <v/>
      </c>
      <c r="AI16" s="109" t="str">
        <f>IF(ISBLANK(Term3_Day_5[[#This Row],[Activity]]),"",IF(_xlfn.XLOOKUP(Term3_Day_5[[#This Row],[Activity]],Types_of_Activity[Type of Activity],Types_of_Activity[Classification])=2,Term3_Day_5[[#This Row],[Elapsed]],0))</f>
        <v/>
      </c>
      <c r="AK16" s="141"/>
      <c r="AL16" s="141"/>
      <c r="AM16" s="106"/>
      <c r="AN16" s="109" t="str">
        <f>IF(OR(ISBLANK(Term3_Day_6[[#This Row],[Start]]),ISBLANK(Term3_Day_6[[#This Row],[End]])),"",(Term3_Day_6[[#This Row],[End]]-Term3_Day_6[[#This Row],[Start]])*1440)</f>
        <v/>
      </c>
      <c r="AO16" s="109" t="str">
        <f>IF(ISBLANK(Term3_Day_6[[#This Row],[Activity]]),"",IF(_xlfn.XLOOKUP(Term3_Day_6[[#This Row],[Activity]],Types_of_Activity[Type of Activity],Types_of_Activity[Classification])=1,Term3_Day_6[[#This Row],[Elapsed]],0))</f>
        <v/>
      </c>
      <c r="AP16" s="109" t="str">
        <f>IF(ISBLANK(Term3_Day_6[[#This Row],[Activity]]),"",IF(_xlfn.XLOOKUP(Term3_Day_6[[#This Row],[Activity]],Types_of_Activity[Type of Activity],Types_of_Activity[Classification])=2,Term3_Day_6[[#This Row],[Elapsed]],0))</f>
        <v/>
      </c>
      <c r="AR16" s="141"/>
      <c r="AS16" s="141"/>
      <c r="AT16" s="106"/>
      <c r="AU16" s="109" t="str">
        <f>IF(OR(ISBLANK(Term3_Day_7[[#This Row],[Start]]),ISBLANK(Term3_Day_7[[#This Row],[End]])),"",(Term3_Day_7[[#This Row],[End]]-Term3_Day_7[[#This Row],[Start]])*1440)</f>
        <v/>
      </c>
      <c r="AV16" s="109" t="str">
        <f>IF(ISBLANK(Term3_Day_7[[#This Row],[Activity]]),"",IF(_xlfn.XLOOKUP(Term3_Day_7[[#This Row],[Activity]],Types_of_Activity[Type of Activity],Types_of_Activity[Classification])=1,Term3_Day_7[[#This Row],[Elapsed]],0))</f>
        <v/>
      </c>
      <c r="AW16" s="109" t="str">
        <f>IF(ISBLANK(Term3_Day_7[[#This Row],[Activity]]),"",IF(_xlfn.XLOOKUP(Term3_Day_7[[#This Row],[Activity]],Types_of_Activity[Type of Activity],Types_of_Activity[Classification])=2,Term3_Day_7[[#This Row],[Elapsed]],0))</f>
        <v/>
      </c>
      <c r="AY16" s="141"/>
      <c r="AZ16" s="141"/>
      <c r="BA16" s="106"/>
      <c r="BB16" s="109" t="str">
        <f>IF(OR(ISBLANK(Term3_Day_8[[#This Row],[Start]]),ISBLANK(Term3_Day_8[[#This Row],[End]])),"",(Term3_Day_8[[#This Row],[End]]-Term3_Day_8[[#This Row],[Start]])*1440)</f>
        <v/>
      </c>
      <c r="BC16" s="109" t="str">
        <f>IF(ISBLANK(Term3_Day_8[[#This Row],[Activity]]),"",IF(_xlfn.XLOOKUP(Term3_Day_8[[#This Row],[Activity]],Types_of_Activity[Type of Activity],Types_of_Activity[Classification])=1,Term3_Day_8[[#This Row],[Elapsed]],0))</f>
        <v/>
      </c>
      <c r="BD16" s="109" t="str">
        <f>IF(ISBLANK(Term3_Day_8[[#This Row],[Activity]]),"",IF(_xlfn.XLOOKUP(Term3_Day_8[[#This Row],[Activity]],Types_of_Activity[Type of Activity],Types_of_Activity[Classification])=2,Term3_Day_8[[#This Row],[Elapsed]],0))</f>
        <v/>
      </c>
      <c r="BF16" s="141"/>
      <c r="BG16" s="141"/>
      <c r="BH16" s="106"/>
      <c r="BI16" s="109" t="str">
        <f>IF(OR(ISBLANK(Term3_Day_9[[#This Row],[Start]]),ISBLANK(Term3_Day_9[[#This Row],[End]])),"",(Term3_Day_9[[#This Row],[End]]-Term3_Day_9[[#This Row],[Start]])*1440)</f>
        <v/>
      </c>
      <c r="BJ16" s="109" t="str">
        <f>IF(ISBLANK(Term3_Day_9[[#This Row],[Activity]]),"",IF(_xlfn.XLOOKUP(Term3_Day_9[[#This Row],[Activity]],Types_of_Activity[Type of Activity],Types_of_Activity[Classification])=1,Term3_Day_9[[#This Row],[Elapsed]],0))</f>
        <v/>
      </c>
      <c r="BK16" s="109" t="str">
        <f>IF(ISBLANK(Term3_Day_9[[#This Row],[Activity]]),"",IF(_xlfn.XLOOKUP(Term3_Day_9[[#This Row],[Activity]],Types_of_Activity[Type of Activity],Types_of_Activity[Classification])=2,Term3_Day_9[[#This Row],[Elapsed]],0))</f>
        <v/>
      </c>
      <c r="BM16" s="141"/>
      <c r="BN16" s="141"/>
      <c r="BO16" s="106"/>
      <c r="BP16" s="109" t="str">
        <f>IF(OR(ISBLANK(Term3_Day_10[[#This Row],[Start]]),ISBLANK(Term3_Day_10[[#This Row],[End]])),"",(Term3_Day_10[[#This Row],[End]]-Term3_Day_10[[#This Row],[Start]])*1440)</f>
        <v/>
      </c>
      <c r="BQ16" s="109" t="str">
        <f>IF(ISBLANK(Term3_Day_10[[#This Row],[Activity]]),"",IF(_xlfn.XLOOKUP(Term3_Day_10[[#This Row],[Activity]],Types_of_Activity[Type of Activity],Types_of_Activity[Classification])=1,Term3_Day_10[[#This Row],[Elapsed]],0))</f>
        <v/>
      </c>
      <c r="BR16" s="109" t="str">
        <f>IF(ISBLANK(Term3_Day_10[[#This Row],[Activity]]),"",IF(_xlfn.XLOOKUP(Term3_Day_10[[#This Row],[Activity]],Types_of_Activity[Type of Activity],Types_of_Activity[Classification])=2,Term3_Day_10[[#This Row],[Elapsed]],0))</f>
        <v/>
      </c>
    </row>
    <row r="17" spans="2:71" x14ac:dyDescent="0.3">
      <c r="B17" s="141"/>
      <c r="C17" s="141"/>
      <c r="D17" s="106"/>
      <c r="E17" s="109" t="str">
        <f>IF(OR(ISBLANK(Term3_Day_1[[#This Row],[Start]]),ISBLANK(Term3_Day_1[[#This Row],[End]])),"",(Term3_Day_1[[#This Row],[End]]-Term3_Day_1[[#This Row],[Start]])*1440)</f>
        <v/>
      </c>
      <c r="F17" s="109" t="str">
        <f>IF(ISBLANK(Term3_Day_1[[#This Row],[Activity]]),"",IF(_xlfn.XLOOKUP(Term3_Day_1[[#This Row],[Activity]],Types_of_Activity[Type of Activity],Types_of_Activity[Classification])=1,Term3_Day_1[[#This Row],[Elapsed]],0))</f>
        <v/>
      </c>
      <c r="G17" s="109" t="str">
        <f>IF(ISBLANK(Term3_Day_1[[#This Row],[Activity]]),"",IF(_xlfn.XLOOKUP(Term3_Day_1[[#This Row],[Activity]],Types_of_Activity[Type of Activity],Types_of_Activity[Classification])=2,Term3_Day_1[[#This Row],[Elapsed]],0))</f>
        <v/>
      </c>
      <c r="I17" s="141"/>
      <c r="J17" s="141"/>
      <c r="K17" s="106"/>
      <c r="L17" s="109" t="str">
        <f>IF(OR(ISBLANK(Term3_Day_2[[#This Row],[Start]]),ISBLANK(Term3_Day_2[[#This Row],[End]])),"",(Term3_Day_2[[#This Row],[End]]-Term3_Day_2[[#This Row],[Start]])*1440)</f>
        <v/>
      </c>
      <c r="M17" s="109" t="str">
        <f>IF(ISBLANK(Term3_Day_2[[#This Row],[Activity]]),"",IF(_xlfn.XLOOKUP(Term3_Day_2[[#This Row],[Activity]],Types_of_Activity[Type of Activity],Types_of_Activity[Classification])=1,Term3_Day_2[[#This Row],[Elapsed]],0))</f>
        <v/>
      </c>
      <c r="N17" s="109" t="str">
        <f>IF(ISBLANK(Term3_Day_2[[#This Row],[Activity]]),"",IF(_xlfn.XLOOKUP(Term3_Day_2[[#This Row],[Activity]],Types_of_Activity[Type of Activity],Types_of_Activity[Classification])=2,Term3_Day_2[[#This Row],[Elapsed]],0))</f>
        <v/>
      </c>
      <c r="P17" s="141"/>
      <c r="Q17" s="141"/>
      <c r="R17" s="106"/>
      <c r="S17" s="109" t="str">
        <f>IF(OR(ISBLANK(Term3_Day_3[[#This Row],[Start]]),ISBLANK(Term3_Day_3[[#This Row],[End]])),"",(Term3_Day_3[[#This Row],[End]]-Term3_Day_3[[#This Row],[Start]])*1440)</f>
        <v/>
      </c>
      <c r="T17" s="109" t="str">
        <f>IF(ISBLANK(Term3_Day_3[[#This Row],[Activity]]),"",IF(_xlfn.XLOOKUP(Term3_Day_3[[#This Row],[Activity]],Types_of_Activity[Type of Activity],Types_of_Activity[Classification])=1,Term3_Day_3[[#This Row],[Elapsed]],0))</f>
        <v/>
      </c>
      <c r="U17" s="109" t="str">
        <f>IF(ISBLANK(Term3_Day_3[[#This Row],[Activity]]),"",IF(_xlfn.XLOOKUP(Term3_Day_3[[#This Row],[Activity]],Types_of_Activity[Type of Activity],Types_of_Activity[Classification])=2,Term3_Day_3[[#This Row],[Elapsed]],0))</f>
        <v/>
      </c>
      <c r="W17" s="141"/>
      <c r="X17" s="141"/>
      <c r="Y17" s="106"/>
      <c r="Z17" s="109" t="str">
        <f>IF(OR(ISBLANK(Term3_Day_4[[#This Row],[Start]]),ISBLANK(Term3_Day_4[[#This Row],[End]])),"",(Term3_Day_4[[#This Row],[End]]-Term3_Day_4[[#This Row],[Start]])*1440)</f>
        <v/>
      </c>
      <c r="AA17" s="109" t="str">
        <f>IF(ISBLANK(Term3_Day_4[[#This Row],[Activity]]),"",IF(_xlfn.XLOOKUP(Term3_Day_4[[#This Row],[Activity]],Types_of_Activity[Type of Activity],Types_of_Activity[Classification])=1,Term3_Day_4[[#This Row],[Elapsed]],0))</f>
        <v/>
      </c>
      <c r="AB17" s="109" t="str">
        <f>IF(ISBLANK(Term3_Day_4[[#This Row],[Activity]]),"",IF(_xlfn.XLOOKUP(Term3_Day_4[[#This Row],[Activity]],Types_of_Activity[Type of Activity],Types_of_Activity[Classification])=2,Term3_Day_4[[#This Row],[Elapsed]],0))</f>
        <v/>
      </c>
      <c r="AD17" s="141"/>
      <c r="AE17" s="141"/>
      <c r="AF17" s="106"/>
      <c r="AG17" s="109" t="str">
        <f>IF(OR(ISBLANK(Term3_Day_5[[#This Row],[Start]]),ISBLANK(Term3_Day_5[[#This Row],[End]])),"",(Term3_Day_5[[#This Row],[End]]-Term3_Day_5[[#This Row],[Start]])*1440)</f>
        <v/>
      </c>
      <c r="AH17" s="109" t="str">
        <f>IF(ISBLANK(Term3_Day_5[[#This Row],[Activity]]),"",IF(_xlfn.XLOOKUP(Term3_Day_5[[#This Row],[Activity]],Types_of_Activity[Type of Activity],Types_of_Activity[Classification])=1,Term3_Day_5[[#This Row],[Elapsed]],0))</f>
        <v/>
      </c>
      <c r="AI17" s="109" t="str">
        <f>IF(ISBLANK(Term3_Day_5[[#This Row],[Activity]]),"",IF(_xlfn.XLOOKUP(Term3_Day_5[[#This Row],[Activity]],Types_of_Activity[Type of Activity],Types_of_Activity[Classification])=2,Term3_Day_5[[#This Row],[Elapsed]],0))</f>
        <v/>
      </c>
      <c r="AJ17" s="110"/>
      <c r="AK17" s="141"/>
      <c r="AL17" s="141"/>
      <c r="AM17" s="106"/>
      <c r="AN17" s="109" t="str">
        <f>IF(OR(ISBLANK(Term3_Day_6[[#This Row],[Start]]),ISBLANK(Term3_Day_6[[#This Row],[End]])),"",(Term3_Day_6[[#This Row],[End]]-Term3_Day_6[[#This Row],[Start]])*1440)</f>
        <v/>
      </c>
      <c r="AO17" s="109" t="str">
        <f>IF(ISBLANK(Term3_Day_6[[#This Row],[Activity]]),"",IF(_xlfn.XLOOKUP(Term3_Day_6[[#This Row],[Activity]],Types_of_Activity[Type of Activity],Types_of_Activity[Classification])=1,Term3_Day_6[[#This Row],[Elapsed]],0))</f>
        <v/>
      </c>
      <c r="AP17" s="109" t="str">
        <f>IF(ISBLANK(Term3_Day_6[[#This Row],[Activity]]),"",IF(_xlfn.XLOOKUP(Term3_Day_6[[#This Row],[Activity]],Types_of_Activity[Type of Activity],Types_of_Activity[Classification])=2,Term3_Day_6[[#This Row],[Elapsed]],0))</f>
        <v/>
      </c>
      <c r="AQ17" s="110"/>
      <c r="AR17" s="141"/>
      <c r="AS17" s="141"/>
      <c r="AT17" s="106"/>
      <c r="AU17" s="109" t="str">
        <f>IF(OR(ISBLANK(Term3_Day_7[[#This Row],[Start]]),ISBLANK(Term3_Day_7[[#This Row],[End]])),"",(Term3_Day_7[[#This Row],[End]]-Term3_Day_7[[#This Row],[Start]])*1440)</f>
        <v/>
      </c>
      <c r="AV17" s="109" t="str">
        <f>IF(ISBLANK(Term3_Day_7[[#This Row],[Activity]]),"",IF(_xlfn.XLOOKUP(Term3_Day_7[[#This Row],[Activity]],Types_of_Activity[Type of Activity],Types_of_Activity[Classification])=1,Term3_Day_7[[#This Row],[Elapsed]],0))</f>
        <v/>
      </c>
      <c r="AW17" s="109" t="str">
        <f>IF(ISBLANK(Term3_Day_7[[#This Row],[Activity]]),"",IF(_xlfn.XLOOKUP(Term3_Day_7[[#This Row],[Activity]],Types_of_Activity[Type of Activity],Types_of_Activity[Classification])=2,Term3_Day_7[[#This Row],[Elapsed]],0))</f>
        <v/>
      </c>
      <c r="AX17" s="110"/>
      <c r="AY17" s="141"/>
      <c r="AZ17" s="141"/>
      <c r="BA17" s="106"/>
      <c r="BB17" s="109" t="str">
        <f>IF(OR(ISBLANK(Term3_Day_8[[#This Row],[Start]]),ISBLANK(Term3_Day_8[[#This Row],[End]])),"",(Term3_Day_8[[#This Row],[End]]-Term3_Day_8[[#This Row],[Start]])*1440)</f>
        <v/>
      </c>
      <c r="BC17" s="109" t="str">
        <f>IF(ISBLANK(Term3_Day_8[[#This Row],[Activity]]),"",IF(_xlfn.XLOOKUP(Term3_Day_8[[#This Row],[Activity]],Types_of_Activity[Type of Activity],Types_of_Activity[Classification])=1,Term3_Day_8[[#This Row],[Elapsed]],0))</f>
        <v/>
      </c>
      <c r="BD17" s="109" t="str">
        <f>IF(ISBLANK(Term3_Day_8[[#This Row],[Activity]]),"",IF(_xlfn.XLOOKUP(Term3_Day_8[[#This Row],[Activity]],Types_of_Activity[Type of Activity],Types_of_Activity[Classification])=2,Term3_Day_8[[#This Row],[Elapsed]],0))</f>
        <v/>
      </c>
      <c r="BE17" s="110"/>
      <c r="BF17" s="141"/>
      <c r="BG17" s="141"/>
      <c r="BH17" s="106"/>
      <c r="BI17" s="109" t="str">
        <f>IF(OR(ISBLANK(Term3_Day_9[[#This Row],[Start]]),ISBLANK(Term3_Day_9[[#This Row],[End]])),"",(Term3_Day_9[[#This Row],[End]]-Term3_Day_9[[#This Row],[Start]])*1440)</f>
        <v/>
      </c>
      <c r="BJ17" s="109" t="str">
        <f>IF(ISBLANK(Term3_Day_9[[#This Row],[Activity]]),"",IF(_xlfn.XLOOKUP(Term3_Day_9[[#This Row],[Activity]],Types_of_Activity[Type of Activity],Types_of_Activity[Classification])=1,Term3_Day_9[[#This Row],[Elapsed]],0))</f>
        <v/>
      </c>
      <c r="BK17" s="109" t="str">
        <f>IF(ISBLANK(Term3_Day_9[[#This Row],[Activity]]),"",IF(_xlfn.XLOOKUP(Term3_Day_9[[#This Row],[Activity]],Types_of_Activity[Type of Activity],Types_of_Activity[Classification])=2,Term3_Day_9[[#This Row],[Elapsed]],0))</f>
        <v/>
      </c>
      <c r="BL17" s="110"/>
      <c r="BM17" s="141"/>
      <c r="BN17" s="141"/>
      <c r="BO17" s="106"/>
      <c r="BP17" s="109" t="str">
        <f>IF(OR(ISBLANK(Term3_Day_10[[#This Row],[Start]]),ISBLANK(Term3_Day_10[[#This Row],[End]])),"",(Term3_Day_10[[#This Row],[End]]-Term3_Day_10[[#This Row],[Start]])*1440)</f>
        <v/>
      </c>
      <c r="BQ17" s="109" t="str">
        <f>IF(ISBLANK(Term3_Day_10[[#This Row],[Activity]]),"",IF(_xlfn.XLOOKUP(Term3_Day_10[[#This Row],[Activity]],Types_of_Activity[Type of Activity],Types_of_Activity[Classification])=1,Term3_Day_10[[#This Row],[Elapsed]],0))</f>
        <v/>
      </c>
      <c r="BR17" s="109" t="str">
        <f>IF(ISBLANK(Term3_Day_10[[#This Row],[Activity]]),"",IF(_xlfn.XLOOKUP(Term3_Day_10[[#This Row],[Activity]],Types_of_Activity[Type of Activity],Types_of_Activity[Classification])=2,Term3_Day_10[[#This Row],[Elapsed]],0))</f>
        <v/>
      </c>
      <c r="BS17" s="110"/>
    </row>
    <row r="18" spans="2:71"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J18" s="110"/>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Q18" s="110"/>
      <c r="AR18" s="141"/>
      <c r="AS18" s="141"/>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X18" s="110"/>
      <c r="AY18" s="141"/>
      <c r="AZ18" s="141"/>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E18" s="110"/>
      <c r="BF18" s="141"/>
      <c r="BG18" s="141"/>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L18" s="110"/>
      <c r="BM18" s="141"/>
      <c r="BN18" s="141"/>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c r="BS18" s="110"/>
    </row>
    <row r="19" spans="2:71"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J19" s="110"/>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Q19" s="110"/>
      <c r="AR19" s="141"/>
      <c r="AS19" s="141"/>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X19" s="110"/>
      <c r="AY19" s="141"/>
      <c r="AZ19" s="141"/>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E19" s="110"/>
      <c r="BF19" s="141"/>
      <c r="BG19" s="141"/>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L19" s="110"/>
      <c r="BM19" s="141"/>
      <c r="BN19" s="141"/>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c r="BS19" s="110"/>
    </row>
    <row r="20" spans="2:71"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41"/>
      <c r="AZ20" s="141"/>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41"/>
      <c r="BG20" s="141"/>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41"/>
      <c r="BN20" s="141"/>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41"/>
      <c r="AZ21" s="141"/>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41"/>
      <c r="BG21" s="141"/>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41"/>
      <c r="BN21" s="141"/>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41"/>
      <c r="AZ22" s="141"/>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41"/>
      <c r="BG22" s="141"/>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41"/>
      <c r="BN22" s="141"/>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41"/>
      <c r="AZ23" s="141"/>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41"/>
      <c r="BG23" s="141"/>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41"/>
      <c r="BN23" s="141"/>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41"/>
      <c r="AZ24" s="141"/>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41"/>
      <c r="BG24" s="141"/>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41"/>
      <c r="BN24" s="141"/>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41"/>
      <c r="AZ25" s="141"/>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41"/>
      <c r="BG25" s="141"/>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41"/>
      <c r="BN25" s="141"/>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41"/>
      <c r="AZ26" s="141"/>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41"/>
      <c r="BG26" s="141"/>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41"/>
      <c r="BN26" s="141"/>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41"/>
      <c r="AZ27" s="141"/>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41"/>
      <c r="BG27" s="141"/>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41"/>
      <c r="BN27" s="141"/>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41"/>
      <c r="AZ28" s="141"/>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41"/>
      <c r="BG28" s="141"/>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41"/>
      <c r="BN28" s="141"/>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41"/>
      <c r="AZ29" s="141"/>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41"/>
      <c r="BG29" s="141"/>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41"/>
      <c r="BN29" s="141"/>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41"/>
      <c r="AZ30" s="141"/>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41"/>
      <c r="BG30" s="141"/>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41"/>
      <c r="BN30" s="141"/>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41"/>
      <c r="AZ31" s="141"/>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41"/>
      <c r="BG31" s="141"/>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41"/>
      <c r="BN31" s="141"/>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41"/>
      <c r="AZ32" s="141"/>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41"/>
      <c r="BG32" s="141"/>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41"/>
      <c r="BN32" s="141"/>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41"/>
      <c r="AZ33" s="141"/>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41"/>
      <c r="BG33" s="141"/>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41"/>
      <c r="BN33" s="141"/>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41"/>
      <c r="AZ34" s="141"/>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41"/>
      <c r="BG34" s="141"/>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41"/>
      <c r="BN34" s="141"/>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41"/>
      <c r="AZ35" s="141"/>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41"/>
      <c r="BG35" s="141"/>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41"/>
      <c r="BN35" s="141"/>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41"/>
      <c r="AZ36" s="141"/>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41"/>
      <c r="BG36" s="141"/>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41"/>
      <c r="BN36" s="141"/>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41"/>
      <c r="AZ37" s="141"/>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41"/>
      <c r="BG37" s="141"/>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41"/>
      <c r="BN37" s="141"/>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41"/>
      <c r="AZ38" s="141"/>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41"/>
      <c r="BG38" s="141"/>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41"/>
      <c r="BN38" s="141"/>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41"/>
      <c r="AZ39" s="141"/>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41"/>
      <c r="BG39" s="141"/>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41"/>
      <c r="BN39" s="141"/>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41"/>
      <c r="AZ40" s="141"/>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41"/>
      <c r="BG40" s="141"/>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41"/>
      <c r="BN40" s="141"/>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41"/>
      <c r="AZ41" s="141"/>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41"/>
      <c r="BG41" s="141"/>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41"/>
      <c r="BN41" s="141"/>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41"/>
      <c r="AZ42" s="141"/>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41"/>
      <c r="BG42" s="141"/>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41"/>
      <c r="BN42" s="141"/>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41"/>
      <c r="AZ43" s="141"/>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41"/>
      <c r="BG43" s="141"/>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41"/>
      <c r="BN43" s="141"/>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41"/>
      <c r="AZ44" s="141"/>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41"/>
      <c r="BG44" s="141"/>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41"/>
      <c r="BN44" s="141"/>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41"/>
      <c r="AZ45" s="141"/>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41"/>
      <c r="BG45" s="141"/>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41"/>
      <c r="BN45" s="141"/>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41"/>
      <c r="AZ46" s="141"/>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41"/>
      <c r="BG46" s="141"/>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41"/>
      <c r="BN46" s="141"/>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41"/>
      <c r="AZ47" s="141"/>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41"/>
      <c r="BG47" s="141"/>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41"/>
      <c r="BN47" s="141"/>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IF(OR(ISBLANK(Term3_Early_Dismissal_1[[#This Row],[Start]]),ISBLANK(Term3_Early_Dismissal_1[[#This Row],[End]])),"",(Term3_Early_Dismissal_1[[#This Row],[End]]-Term3_Early_Dismissal_1[[#This Row],[Start]])*1440)</f>
        <v/>
      </c>
      <c r="F54" s="109" t="str">
        <f>IF(ISBLANK(Term3_Early_Dismissal_1[[#This Row],[Activity]]),"",IF(_xlfn.XLOOKUP(Term3_Early_Dismissal_1[[#This Row],[Activity]],Types_of_Activity[Type of Activity],Types_of_Activity[Classification])=1,Term3_Early_Dismissal_1[[#This Row],[Elapsed]],0))</f>
        <v/>
      </c>
      <c r="G54" s="109" t="str">
        <f>IF(ISBLANK(Term3_Early_Dismissal_1[[#This Row],[Activity]]),"",IF(_xlfn.XLOOKUP(Term3_Early_Dismissal_1[[#This Row],[Activity]],Types_of_Activity[Type of Activity],Types_of_Activity[Classification])=2,Term3_Early_Dismissal_1[[#This Row],[Elapsed]],0))</f>
        <v/>
      </c>
      <c r="H54"/>
      <c r="I54" s="141"/>
      <c r="J54" s="141"/>
      <c r="K54" s="106"/>
      <c r="L54" s="109" t="str">
        <f>IF(OR(ISBLANK(Term3_Early_Dismissal_2[[#This Row],[Start]]),ISBLANK(Term3_Early_Dismissal_2[[#This Row],[End]])),"",(Term3_Early_Dismissal_2[[#This Row],[End]]-Term3_Early_Dismissal_2[[#This Row],[Start]])*1440)</f>
        <v/>
      </c>
      <c r="M54" s="109" t="str">
        <f>IF(ISBLANK(Term3_Early_Dismissal_2[[#This Row],[Activity]]),"",IF(_xlfn.XLOOKUP(Term3_Early_Dismissal_2[[#This Row],[Activity]],Types_of_Activity[Type of Activity],Types_of_Activity[Classification])=1,Term3_Early_Dismissal_2[[#This Row],[Elapsed]],0))</f>
        <v/>
      </c>
      <c r="N54" s="109" t="str">
        <f>IF(ISBLANK(Term3_Early_Dismissal_2[[#This Row],[Activity]]),"",IF(_xlfn.XLOOKUP(Term3_Early_Dismissal_2[[#This Row],[Activity]],Types_of_Activity[Type of Activity],Types_of_Activity[Classification])=2,Term3_Early_Dismissal_2[[#This Row],[Elapsed]],0))</f>
        <v/>
      </c>
      <c r="O54"/>
      <c r="P54" s="141"/>
      <c r="Q54" s="141"/>
      <c r="R54" s="106"/>
      <c r="S54" s="109" t="str">
        <f>IF(OR(ISBLANK(Term3_Early_Dismissal_3[[#This Row],[Start]]),ISBLANK(Term3_Early_Dismissal_3[[#This Row],[End]])),"",(Term3_Early_Dismissal_3[[#This Row],[End]]-Term3_Early_Dismissal_3[[#This Row],[Start]])*1440)</f>
        <v/>
      </c>
      <c r="T54" s="109" t="str">
        <f>IF(ISBLANK(Term3_Early_Dismissal_3[[#This Row],[Activity]]),"",IF(_xlfn.XLOOKUP(Term3_Early_Dismissal_3[[#This Row],[Activity]],Types_of_Activity[Type of Activity],Types_of_Activity[Classification])=1,Term3_Early_Dismissal_3[[#This Row],[Elapsed]],0))</f>
        <v/>
      </c>
      <c r="U54" s="109" t="str">
        <f>IF(ISBLANK(Term3_Early_Dismissal_3[[#This Row],[Activity]]),"",IF(_xlfn.XLOOKUP(Term3_Early_Dismissal_3[[#This Row],[Activity]],Types_of_Activity[Type of Activity],Types_of_Activity[Classification])=2,Term3_Early_Dismissal_3[[#This Row],[Elapsed]],0))</f>
        <v/>
      </c>
    </row>
    <row r="55" spans="2:21" x14ac:dyDescent="0.3">
      <c r="B55" s="141"/>
      <c r="C55" s="141"/>
      <c r="D55" s="106"/>
      <c r="E55" s="109" t="str">
        <f>IF(OR(ISBLANK(Term3_Early_Dismissal_1[[#This Row],[Start]]),ISBLANK(Term3_Early_Dismissal_1[[#This Row],[End]])),"",(Term3_Early_Dismissal_1[[#This Row],[End]]-Term3_Early_Dismissal_1[[#This Row],[Start]])*1440)</f>
        <v/>
      </c>
      <c r="F55" s="109" t="str">
        <f>IF(ISBLANK(Term3_Early_Dismissal_1[[#This Row],[Activity]]),"",IF(_xlfn.XLOOKUP(Term3_Early_Dismissal_1[[#This Row],[Activity]],Types_of_Activity[Type of Activity],Types_of_Activity[Classification])=1,Term3_Early_Dismissal_1[[#This Row],[Elapsed]],0))</f>
        <v/>
      </c>
      <c r="G55" s="109" t="str">
        <f>IF(ISBLANK(Term3_Early_Dismissal_1[[#This Row],[Activity]]),"",IF(_xlfn.XLOOKUP(Term3_Early_Dismissal_1[[#This Row],[Activity]],Types_of_Activity[Type of Activity],Types_of_Activity[Classification])=2,Term3_Early_Dismissal_1[[#This Row],[Elapsed]],0))</f>
        <v/>
      </c>
      <c r="H55"/>
      <c r="I55" s="141"/>
      <c r="J55" s="141"/>
      <c r="K55" s="106"/>
      <c r="L55" s="109" t="str">
        <f>IF(OR(ISBLANK(Term3_Early_Dismissal_2[[#This Row],[Start]]),ISBLANK(Term3_Early_Dismissal_2[[#This Row],[End]])),"",(Term3_Early_Dismissal_2[[#This Row],[End]]-Term3_Early_Dismissal_2[[#This Row],[Start]])*1440)</f>
        <v/>
      </c>
      <c r="M55" s="109" t="str">
        <f>IF(ISBLANK(Term3_Early_Dismissal_2[[#This Row],[Activity]]),"",IF(_xlfn.XLOOKUP(Term3_Early_Dismissal_2[[#This Row],[Activity]],Types_of_Activity[Type of Activity],Types_of_Activity[Classification])=1,Term3_Early_Dismissal_2[[#This Row],[Elapsed]],0))</f>
        <v/>
      </c>
      <c r="N55" s="109" t="str">
        <f>IF(ISBLANK(Term3_Early_Dismissal_2[[#This Row],[Activity]]),"",IF(_xlfn.XLOOKUP(Term3_Early_Dismissal_2[[#This Row],[Activity]],Types_of_Activity[Type of Activity],Types_of_Activity[Classification])=2,Term3_Early_Dismissal_2[[#This Row],[Elapsed]],0))</f>
        <v/>
      </c>
      <c r="O55"/>
      <c r="P55" s="141"/>
      <c r="Q55" s="141"/>
      <c r="R55" s="106"/>
      <c r="S55" s="109" t="str">
        <f>IF(OR(ISBLANK(Term3_Early_Dismissal_3[[#This Row],[Start]]),ISBLANK(Term3_Early_Dismissal_3[[#This Row],[End]])),"",(Term3_Early_Dismissal_3[[#This Row],[End]]-Term3_Early_Dismissal_3[[#This Row],[Start]])*1440)</f>
        <v/>
      </c>
      <c r="T55" s="109" t="str">
        <f>IF(ISBLANK(Term3_Early_Dismissal_3[[#This Row],[Activity]]),"",IF(_xlfn.XLOOKUP(Term3_Early_Dismissal_3[[#This Row],[Activity]],Types_of_Activity[Type of Activity],Types_of_Activity[Classification])=1,Term3_Early_Dismissal_3[[#This Row],[Elapsed]],0))</f>
        <v/>
      </c>
      <c r="U55" s="109" t="str">
        <f>IF(ISBLANK(Term3_Early_Dismissal_3[[#This Row],[Activity]]),"",IF(_xlfn.XLOOKUP(Term3_Early_Dismissal_3[[#This Row],[Activity]],Types_of_Activity[Type of Activity],Types_of_Activity[Classification])=2,Term3_Early_Dismissal_3[[#This Row],[Elapsed]],0))</f>
        <v/>
      </c>
    </row>
    <row r="56" spans="2:21" x14ac:dyDescent="0.3">
      <c r="B56" s="141"/>
      <c r="C56" s="141"/>
      <c r="D56" s="106"/>
      <c r="E56" s="109" t="str">
        <f>IF(OR(ISBLANK(Term3_Early_Dismissal_1[[#This Row],[Start]]),ISBLANK(Term3_Early_Dismissal_1[[#This Row],[End]])),"",(Term3_Early_Dismissal_1[[#This Row],[End]]-Term3_Early_Dismissal_1[[#This Row],[Start]])*1440)</f>
        <v/>
      </c>
      <c r="F56" s="109" t="str">
        <f>IF(ISBLANK(Term3_Early_Dismissal_1[[#This Row],[Activity]]),"",IF(_xlfn.XLOOKUP(Term3_Early_Dismissal_1[[#This Row],[Activity]],Types_of_Activity[Type of Activity],Types_of_Activity[Classification])=1,Term3_Early_Dismissal_1[[#This Row],[Elapsed]],0))</f>
        <v/>
      </c>
      <c r="G56" s="109" t="str">
        <f>IF(ISBLANK(Term3_Early_Dismissal_1[[#This Row],[Activity]]),"",IF(_xlfn.XLOOKUP(Term3_Early_Dismissal_1[[#This Row],[Activity]],Types_of_Activity[Type of Activity],Types_of_Activity[Classification])=2,Term3_Early_Dismissal_1[[#This Row],[Elapsed]],0))</f>
        <v/>
      </c>
      <c r="H56"/>
      <c r="I56" s="141"/>
      <c r="J56" s="141"/>
      <c r="K56" s="106"/>
      <c r="L56" s="109" t="str">
        <f>IF(OR(ISBLANK(Term3_Early_Dismissal_2[[#This Row],[Start]]),ISBLANK(Term3_Early_Dismissal_2[[#This Row],[End]])),"",(Term3_Early_Dismissal_2[[#This Row],[End]]-Term3_Early_Dismissal_2[[#This Row],[Start]])*1440)</f>
        <v/>
      </c>
      <c r="M56" s="109" t="str">
        <f>IF(ISBLANK(Term3_Early_Dismissal_2[[#This Row],[Activity]]),"",IF(_xlfn.XLOOKUP(Term3_Early_Dismissal_2[[#This Row],[Activity]],Types_of_Activity[Type of Activity],Types_of_Activity[Classification])=1,Term3_Early_Dismissal_2[[#This Row],[Elapsed]],0))</f>
        <v/>
      </c>
      <c r="N56" s="109" t="str">
        <f>IF(ISBLANK(Term3_Early_Dismissal_2[[#This Row],[Activity]]),"",IF(_xlfn.XLOOKUP(Term3_Early_Dismissal_2[[#This Row],[Activity]],Types_of_Activity[Type of Activity],Types_of_Activity[Classification])=2,Term3_Early_Dismissal_2[[#This Row],[Elapsed]],0))</f>
        <v/>
      </c>
      <c r="O56"/>
      <c r="P56" s="141"/>
      <c r="Q56" s="141"/>
      <c r="R56" s="106"/>
      <c r="S56" s="109" t="str">
        <f>IF(OR(ISBLANK(Term3_Early_Dismissal_3[[#This Row],[Start]]),ISBLANK(Term3_Early_Dismissal_3[[#This Row],[End]])),"",(Term3_Early_Dismissal_3[[#This Row],[End]]-Term3_Early_Dismissal_3[[#This Row],[Start]])*1440)</f>
        <v/>
      </c>
      <c r="T56" s="109" t="str">
        <f>IF(ISBLANK(Term3_Early_Dismissal_3[[#This Row],[Activity]]),"",IF(_xlfn.XLOOKUP(Term3_Early_Dismissal_3[[#This Row],[Activity]],Types_of_Activity[Type of Activity],Types_of_Activity[Classification])=1,Term3_Early_Dismissal_3[[#This Row],[Elapsed]],0))</f>
        <v/>
      </c>
      <c r="U56" s="109" t="str">
        <f>IF(ISBLANK(Term3_Early_Dismissal_3[[#This Row],[Activity]]),"",IF(_xlfn.XLOOKUP(Term3_Early_Dismissal_3[[#This Row],[Activity]],Types_of_Activity[Type of Activity],Types_of_Activity[Classification])=2,Term3_Early_Dismissal_3[[#This Row],[Elapsed]],0))</f>
        <v/>
      </c>
    </row>
    <row r="57" spans="2:2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row>
    <row r="58" spans="2:2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row>
    <row r="59" spans="2:2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row>
    <row r="60" spans="2:2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row>
    <row r="61" spans="2:2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row>
    <row r="62" spans="2:2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row>
    <row r="63" spans="2:2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row>
    <row r="64" spans="2:2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row>
    <row r="65" spans="2:21"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row>
    <row r="66" spans="2:21"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row>
    <row r="67" spans="2:21"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row>
    <row r="68" spans="2:21"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row>
    <row r="69" spans="2:21"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row>
    <row r="70" spans="2:21"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row>
    <row r="71" spans="2:21"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row>
    <row r="72" spans="2:21"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row>
    <row r="73" spans="2:21"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row>
    <row r="74" spans="2:21"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row>
    <row r="75" spans="2:21"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row>
    <row r="76" spans="2:21"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row>
    <row r="77" spans="2:21"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row>
    <row r="78" spans="2:21"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row>
    <row r="79" spans="2:21"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row>
    <row r="80" spans="2:21"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row>
    <row r="81" spans="2:21"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row>
    <row r="82" spans="2:21"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row>
    <row r="83" spans="2:21"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row>
    <row r="84" spans="2:21"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row>
    <row r="85" spans="2:21"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row>
    <row r="86" spans="2:21"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IF(OR(ISBLANK(Term3_Special_Day_1[[#This Row],[Start]]),ISBLANK(Term3_Special_Day_1[[#This Row],[End]])),"",(Term3_Special_Day_1[[#This Row],[End]]-Term3_Special_Day_1[[#This Row],[Start]])*1440)</f>
        <v/>
      </c>
      <c r="F96" s="109" t="str">
        <f>IF(ISBLANK(Term3_Special_Day_1[[#This Row],[Activity]]),"",IF(_xlfn.XLOOKUP(Term3_Special_Day_1[[#This Row],[Activity]],Types_of_Activity[Type of Activity],Types_of_Activity[Classification])=1,Term3_Special_Day_1[[#This Row],[Elapsed]],0))</f>
        <v/>
      </c>
      <c r="G96" s="109" t="str">
        <f>IF(ISBLANK(Term3_Special_Day_1[[#This Row],[Activity]]),"",IF(_xlfn.XLOOKUP(Term3_Special_Day_1[[#This Row],[Activity]],Types_of_Activity[Type of Activity],Types_of_Activity[Classification])=2,Term3_Special_Day_1[[#This Row],[Elapsed]],0))</f>
        <v/>
      </c>
      <c r="H96"/>
      <c r="I96" s="141"/>
      <c r="J96" s="141"/>
      <c r="K96" s="106"/>
      <c r="L96" s="109" t="str">
        <f>IF(OR(ISBLANK(Term3_Special_Day_2[[#This Row],[Start]]),ISBLANK(Term3_Special_Day_2[[#This Row],[End]])),"",(Term3_Special_Day_2[[#This Row],[End]]-Term3_Special_Day_2[[#This Row],[Start]])*1440)</f>
        <v/>
      </c>
      <c r="M96" s="109" t="str">
        <f>IF(ISBLANK(Term3_Special_Day_2[[#This Row],[Activity]]),"",IF(_xlfn.XLOOKUP(Term3_Special_Day_2[[#This Row],[Activity]],Types_of_Activity[Type of Activity],Types_of_Activity[Classification])=1,Term3_Special_Day_2[[#This Row],[Elapsed]],0))</f>
        <v/>
      </c>
      <c r="N96" s="109" t="str">
        <f>IF(ISBLANK(Term3_Special_Day_2[[#This Row],[Activity]]),"",IF(_xlfn.XLOOKUP(Term3_Special_Day_2[[#This Row],[Activity]],Types_of_Activity[Type of Activity],Types_of_Activity[Classification])=2,Term3_Special_Day_2[[#This Row],[Elapsed]],0))</f>
        <v/>
      </c>
      <c r="O96"/>
      <c r="P96" s="141"/>
      <c r="Q96" s="141"/>
      <c r="R96" s="106"/>
      <c r="S96" s="109" t="str">
        <f>IF(OR(ISBLANK(Term3_Special_Day_3[[#This Row],[Start]]),ISBLANK(Term3_Special_Day_3[[#This Row],[End]])),"",(Term3_Special_Day_3[[#This Row],[End]]-Term3_Special_Day_3[[#This Row],[Start]])*1440)</f>
        <v/>
      </c>
      <c r="T96" s="109" t="str">
        <f>IF(ISBLANK(Term3_Special_Day_3[[#This Row],[Activity]]),"",IF(_xlfn.XLOOKUP(Term3_Special_Day_3[[#This Row],[Activity]],Types_of_Activity[Type of Activity],Types_of_Activity[Classification])=1,Term3_Special_Day_3[[#This Row],[Elapsed]],0))</f>
        <v/>
      </c>
      <c r="U96" s="109" t="str">
        <f>IF(ISBLANK(Term3_Special_Day_3[[#This Row],[Activity]]),"",IF(_xlfn.XLOOKUP(Term3_Special_Day_3[[#This Row],[Activity]],Types_of_Activity[Type of Activity],Types_of_Activity[Classification])=2,Term3_Special_Day_3[[#This Row],[Elapsed]],0))</f>
        <v/>
      </c>
    </row>
    <row r="97" spans="2:21" x14ac:dyDescent="0.3">
      <c r="B97" s="141"/>
      <c r="C97" s="141"/>
      <c r="D97" s="106"/>
      <c r="E97" s="109" t="str">
        <f>IF(OR(ISBLANK(Term3_Special_Day_1[[#This Row],[Start]]),ISBLANK(Term3_Special_Day_1[[#This Row],[End]])),"",(Term3_Special_Day_1[[#This Row],[End]]-Term3_Special_Day_1[[#This Row],[Start]])*1440)</f>
        <v/>
      </c>
      <c r="F97" s="109" t="str">
        <f>IF(ISBLANK(Term3_Special_Day_1[[#This Row],[Activity]]),"",IF(_xlfn.XLOOKUP(Term3_Special_Day_1[[#This Row],[Activity]],Types_of_Activity[Type of Activity],Types_of_Activity[Classification])=1,Term3_Special_Day_1[[#This Row],[Elapsed]],0))</f>
        <v/>
      </c>
      <c r="G97" s="109" t="str">
        <f>IF(ISBLANK(Term3_Special_Day_1[[#This Row],[Activity]]),"",IF(_xlfn.XLOOKUP(Term3_Special_Day_1[[#This Row],[Activity]],Types_of_Activity[Type of Activity],Types_of_Activity[Classification])=2,Term3_Special_Day_1[[#This Row],[Elapsed]],0))</f>
        <v/>
      </c>
      <c r="H97"/>
      <c r="I97" s="141"/>
      <c r="J97" s="141"/>
      <c r="K97" s="106"/>
      <c r="L97" s="109" t="str">
        <f>IF(OR(ISBLANK(Term3_Special_Day_2[[#This Row],[Start]]),ISBLANK(Term3_Special_Day_2[[#This Row],[End]])),"",(Term3_Special_Day_2[[#This Row],[End]]-Term3_Special_Day_2[[#This Row],[Start]])*1440)</f>
        <v/>
      </c>
      <c r="M97" s="109" t="str">
        <f>IF(ISBLANK(Term3_Special_Day_2[[#This Row],[Activity]]),"",IF(_xlfn.XLOOKUP(Term3_Special_Day_2[[#This Row],[Activity]],Types_of_Activity[Type of Activity],Types_of_Activity[Classification])=1,Term3_Special_Day_2[[#This Row],[Elapsed]],0))</f>
        <v/>
      </c>
      <c r="N97" s="109" t="str">
        <f>IF(ISBLANK(Term3_Special_Day_2[[#This Row],[Activity]]),"",IF(_xlfn.XLOOKUP(Term3_Special_Day_2[[#This Row],[Activity]],Types_of_Activity[Type of Activity],Types_of_Activity[Classification])=2,Term3_Special_Day_2[[#This Row],[Elapsed]],0))</f>
        <v/>
      </c>
      <c r="O97"/>
      <c r="P97" s="141"/>
      <c r="Q97" s="141"/>
      <c r="R97" s="106"/>
      <c r="S97" s="109" t="str">
        <f>IF(OR(ISBLANK(Term3_Special_Day_3[[#This Row],[Start]]),ISBLANK(Term3_Special_Day_3[[#This Row],[End]])),"",(Term3_Special_Day_3[[#This Row],[End]]-Term3_Special_Day_3[[#This Row],[Start]])*1440)</f>
        <v/>
      </c>
      <c r="T97" s="109" t="str">
        <f>IF(ISBLANK(Term3_Special_Day_3[[#This Row],[Activity]]),"",IF(_xlfn.XLOOKUP(Term3_Special_Day_3[[#This Row],[Activity]],Types_of_Activity[Type of Activity],Types_of_Activity[Classification])=1,Term3_Special_Day_3[[#This Row],[Elapsed]],0))</f>
        <v/>
      </c>
      <c r="U97" s="109" t="str">
        <f>IF(ISBLANK(Term3_Special_Day_3[[#This Row],[Activity]]),"",IF(_xlfn.XLOOKUP(Term3_Special_Day_3[[#This Row],[Activity]],Types_of_Activity[Type of Activity],Types_of_Activity[Classification])=2,Term3_Special_Day_3[[#This Row],[Elapsed]],0))</f>
        <v/>
      </c>
    </row>
    <row r="98" spans="2:21" x14ac:dyDescent="0.3">
      <c r="B98" s="141"/>
      <c r="C98" s="141"/>
      <c r="D98" s="106"/>
      <c r="E98" s="109" t="str">
        <f>IF(OR(ISBLANK(Term3_Special_Day_1[[#This Row],[Start]]),ISBLANK(Term3_Special_Day_1[[#This Row],[End]])),"",(Term3_Special_Day_1[[#This Row],[End]]-Term3_Special_Day_1[[#This Row],[Start]])*1440)</f>
        <v/>
      </c>
      <c r="F98" s="109" t="str">
        <f>IF(ISBLANK(Term3_Special_Day_1[[#This Row],[Activity]]),"",IF(_xlfn.XLOOKUP(Term3_Special_Day_1[[#This Row],[Activity]],Types_of_Activity[Type of Activity],Types_of_Activity[Classification])=1,Term3_Special_Day_1[[#This Row],[Elapsed]],0))</f>
        <v/>
      </c>
      <c r="G98" s="109" t="str">
        <f>IF(ISBLANK(Term3_Special_Day_1[[#This Row],[Activity]]),"",IF(_xlfn.XLOOKUP(Term3_Special_Day_1[[#This Row],[Activity]],Types_of_Activity[Type of Activity],Types_of_Activity[Classification])=2,Term3_Special_Day_1[[#This Row],[Elapsed]],0))</f>
        <v/>
      </c>
      <c r="H98"/>
      <c r="I98" s="141"/>
      <c r="J98" s="141"/>
      <c r="K98" s="106"/>
      <c r="L98" s="109" t="str">
        <f>IF(OR(ISBLANK(Term3_Special_Day_2[[#This Row],[Start]]),ISBLANK(Term3_Special_Day_2[[#This Row],[End]])),"",(Term3_Special_Day_2[[#This Row],[End]]-Term3_Special_Day_2[[#This Row],[Start]])*1440)</f>
        <v/>
      </c>
      <c r="M98" s="109" t="str">
        <f>IF(ISBLANK(Term3_Special_Day_2[[#This Row],[Activity]]),"",IF(_xlfn.XLOOKUP(Term3_Special_Day_2[[#This Row],[Activity]],Types_of_Activity[Type of Activity],Types_of_Activity[Classification])=1,Term3_Special_Day_2[[#This Row],[Elapsed]],0))</f>
        <v/>
      </c>
      <c r="N98" s="109" t="str">
        <f>IF(ISBLANK(Term3_Special_Day_2[[#This Row],[Activity]]),"",IF(_xlfn.XLOOKUP(Term3_Special_Day_2[[#This Row],[Activity]],Types_of_Activity[Type of Activity],Types_of_Activity[Classification])=2,Term3_Special_Day_2[[#This Row],[Elapsed]],0))</f>
        <v/>
      </c>
      <c r="O98"/>
      <c r="P98" s="141"/>
      <c r="Q98" s="141"/>
      <c r="R98" s="106"/>
      <c r="S98" s="109" t="str">
        <f>IF(OR(ISBLANK(Term3_Special_Day_3[[#This Row],[Start]]),ISBLANK(Term3_Special_Day_3[[#This Row],[End]])),"",(Term3_Special_Day_3[[#This Row],[End]]-Term3_Special_Day_3[[#This Row],[Start]])*1440)</f>
        <v/>
      </c>
      <c r="T98" s="109" t="str">
        <f>IF(ISBLANK(Term3_Special_Day_3[[#This Row],[Activity]]),"",IF(_xlfn.XLOOKUP(Term3_Special_Day_3[[#This Row],[Activity]],Types_of_Activity[Type of Activity],Types_of_Activity[Classification])=1,Term3_Special_Day_3[[#This Row],[Elapsed]],0))</f>
        <v/>
      </c>
      <c r="U98" s="109" t="str">
        <f>IF(ISBLANK(Term3_Special_Day_3[[#This Row],[Activity]]),"",IF(_xlfn.XLOOKUP(Term3_Special_Day_3[[#This Row],[Activity]],Types_of_Activity[Type of Activity],Types_of_Activity[Classification])=2,Term3_Special_Day_3[[#This Row],[Elapsed]],0))</f>
        <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sheetData>
  <sheetProtection algorithmName="SHA-512" hashValue="kpP43aKgBnH9IsEC0c3Jzm1kvP58BR6T71EzmA21aenSVFfTkoX6oAU0vCATnyEpkcx/Kptfy2WOPHef75EccA==" saltValue="x7L7R0vCfOJzKAJtsX9mQg==" spinCount="100000" sheet="1" selectLockedCells="1"/>
  <mergeCells count="1">
    <mergeCell ref="B11:N11"/>
  </mergeCells>
  <conditionalFormatting sqref="B11:N11">
    <cfRule type="expression" dxfId="4" priority="1">
      <formula>Num_Terms=1</formula>
    </cfRule>
    <cfRule type="expression" dxfId="3" priority="2">
      <formula>Num_Terms=2</formula>
    </cfRule>
  </conditionalFormatting>
  <dataValidations count="1">
    <dataValidation type="time" allowBlank="1" showInputMessage="1" showErrorMessage="1" sqref="B54:C66 AY15:AZ28 B15:C47 I15:J28 P15:Q28 W15:X28 AD15:AE28 BF15:BG28 AK15:AL28 AR15:AS28 BM15:BN28" xr:uid="{7CB2C346-87B1-42E2-BE8B-1D8C5C7460AA}">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_xlfn.ANCHORARRAY(Parameters!$F$19)</xm:f>
          </x14:formula1>
          <xm:sqref>BH15:BH47 Y15:Y47 BA15:BA47 D15:D47 K15:K47 R15:R47 D96:D128 K96:K128 R96:R128 AF15:AF47 D54:D86 K54:K86 R54:R86 AM15:AM47 AT15:AT47 BO15:BO47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1:BS128"/>
  <sheetViews>
    <sheetView showGridLines="0" topLeftCell="B4"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125" style="107" customWidth="1"/>
    <col min="16" max="17" width="12.75" style="107" customWidth="1"/>
    <col min="18" max="18" width="19.625" style="107" customWidth="1"/>
    <col min="19" max="19" width="12.625" style="107" customWidth="1"/>
    <col min="20" max="21" width="19.75" style="107" customWidth="1"/>
    <col min="22" max="22" width="9.125" style="107" customWidth="1"/>
    <col min="23" max="24" width="12.75" style="107" customWidth="1"/>
    <col min="25" max="25" width="19.625" style="107" customWidth="1"/>
    <col min="26" max="26" width="12.625" style="107" customWidth="1"/>
    <col min="27" max="28" width="19.75" style="107" customWidth="1"/>
    <col min="29" max="29" width="9.125" style="107" customWidth="1"/>
    <col min="30" max="31" width="12.75" style="107" customWidth="1"/>
    <col min="32" max="32" width="19.625" style="107" customWidth="1"/>
    <col min="33" max="33" width="12.625" style="107" customWidth="1"/>
    <col min="34" max="35" width="19.75" style="107" customWidth="1"/>
    <col min="36" max="36" width="9.125" style="107" customWidth="1"/>
    <col min="37" max="38" width="12.75" style="107" customWidth="1"/>
    <col min="39" max="39" width="19.625" style="107" customWidth="1"/>
    <col min="40" max="40" width="12.625" style="107" customWidth="1"/>
    <col min="41" max="42" width="19.75" style="107" customWidth="1"/>
    <col min="43" max="43" width="9.125" style="107" customWidth="1"/>
    <col min="44" max="45" width="12.75" style="107" customWidth="1"/>
    <col min="46" max="46" width="19.75" style="107" customWidth="1"/>
    <col min="47" max="47" width="12.75" style="107" customWidth="1"/>
    <col min="48" max="49" width="19.75" style="107" customWidth="1"/>
    <col min="50" max="50" width="9.125" style="107" customWidth="1"/>
    <col min="51" max="52" width="12.75" style="107" customWidth="1"/>
    <col min="53" max="53" width="19.75" style="107" customWidth="1"/>
    <col min="54" max="54" width="12.75" style="107" customWidth="1"/>
    <col min="55" max="56" width="19.75" style="107" customWidth="1"/>
    <col min="57" max="57" width="9.125" style="107" customWidth="1"/>
    <col min="58" max="59" width="12.75" style="107" customWidth="1"/>
    <col min="60" max="60" width="19.75" style="107" customWidth="1"/>
    <col min="61" max="61" width="12.75" style="107" customWidth="1"/>
    <col min="62" max="63" width="19.75" style="107" customWidth="1"/>
    <col min="64" max="64" width="9.125" style="107" customWidth="1"/>
    <col min="65" max="66" width="12.75" style="107" customWidth="1"/>
    <col min="67" max="67" width="19.625" style="107" customWidth="1"/>
    <col min="68" max="68" width="12.625" style="107" customWidth="1"/>
    <col min="69" max="70" width="19.75" style="107" customWidth="1"/>
    <col min="71" max="73" width="12.625" style="107" customWidth="1"/>
    <col min="74" max="74" width="18.625" style="107" customWidth="1"/>
    <col min="75" max="75" width="20.625" style="107" customWidth="1"/>
    <col min="76" max="76" width="18.5" style="107" customWidth="1"/>
    <col min="77" max="80" width="9" style="107"/>
    <col min="81" max="81" width="12.125" style="107" customWidth="1"/>
    <col min="82" max="82" width="16.25" style="107" customWidth="1"/>
    <col min="83" max="16384" width="9" style="107"/>
  </cols>
  <sheetData>
    <row r="11" spans="2:70" ht="27.75" customHeight="1" x14ac:dyDescent="0.45">
      <c r="B11" s="167" t="str">
        <f>IF(OR(Num_Terms=1,Num_Terms=2,Num_Terms=3),_xlfn.CONCAT("STOP. You indicated that your calendar uses ",Num_Terms," term(s). If your calendar uses 4 terms, update the setting on the first page."),"")</f>
        <v/>
      </c>
      <c r="C11" s="167"/>
      <c r="D11" s="167"/>
      <c r="E11" s="167"/>
      <c r="F11" s="167"/>
      <c r="G11" s="167"/>
      <c r="H11" s="167"/>
      <c r="I11" s="167"/>
      <c r="J11" s="167"/>
      <c r="K11" s="167"/>
      <c r="L11" s="167"/>
      <c r="M11" s="167"/>
      <c r="N11" s="167"/>
    </row>
    <row r="13" spans="2:70" ht="30.75" x14ac:dyDescent="0.45">
      <c r="B13" s="108" t="s">
        <v>10</v>
      </c>
      <c r="F13" s="109"/>
      <c r="G13" s="109"/>
      <c r="I13" s="108" t="s">
        <v>11</v>
      </c>
      <c r="M13" s="109"/>
      <c r="N13" s="109"/>
      <c r="P13" s="108" t="s">
        <v>12</v>
      </c>
      <c r="S13" s="109"/>
      <c r="T13" s="109"/>
      <c r="W13" s="108" t="s">
        <v>13</v>
      </c>
      <c r="AA13" s="109"/>
      <c r="AB13" s="109"/>
      <c r="AD13" s="108" t="s">
        <v>14</v>
      </c>
      <c r="AH13" s="109"/>
      <c r="AI13" s="109"/>
      <c r="AK13" s="108" t="s">
        <v>15</v>
      </c>
      <c r="AO13" s="109"/>
      <c r="AP13" s="109"/>
      <c r="AR13" s="108" t="s">
        <v>4243</v>
      </c>
      <c r="AV13" s="109"/>
      <c r="AW13" s="109"/>
      <c r="AY13" s="108" t="s">
        <v>4244</v>
      </c>
      <c r="BC13" s="109"/>
      <c r="BD13" s="109"/>
      <c r="BF13" s="108" t="s">
        <v>4245</v>
      </c>
      <c r="BJ13" s="109"/>
      <c r="BK13" s="109"/>
      <c r="BM13" s="108" t="s">
        <v>16</v>
      </c>
      <c r="BQ13" s="109"/>
      <c r="BR13" s="109"/>
    </row>
    <row r="14" spans="2:70"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c r="AY14" s="123" t="s">
        <v>17</v>
      </c>
      <c r="AZ14" s="123" t="s">
        <v>18</v>
      </c>
      <c r="BA14" s="123" t="s">
        <v>20</v>
      </c>
      <c r="BB14" s="123" t="s">
        <v>19</v>
      </c>
      <c r="BC14" s="123" t="s">
        <v>21</v>
      </c>
      <c r="BD14" s="124" t="s">
        <v>4218</v>
      </c>
      <c r="BF14" s="123" t="s">
        <v>17</v>
      </c>
      <c r="BG14" s="123" t="s">
        <v>18</v>
      </c>
      <c r="BH14" s="123" t="s">
        <v>20</v>
      </c>
      <c r="BI14" s="123" t="s">
        <v>19</v>
      </c>
      <c r="BJ14" s="123" t="s">
        <v>21</v>
      </c>
      <c r="BK14" s="124" t="s">
        <v>4218</v>
      </c>
      <c r="BM14" s="123" t="s">
        <v>17</v>
      </c>
      <c r="BN14" s="123" t="s">
        <v>18</v>
      </c>
      <c r="BO14" s="123" t="s">
        <v>20</v>
      </c>
      <c r="BP14" s="123" t="s">
        <v>19</v>
      </c>
      <c r="BQ14" s="123" t="s">
        <v>21</v>
      </c>
      <c r="BR14" s="124" t="s">
        <v>4218</v>
      </c>
    </row>
    <row r="15" spans="2:70" x14ac:dyDescent="0.3">
      <c r="B15" s="141"/>
      <c r="C15" s="141"/>
      <c r="D15" s="106"/>
      <c r="E15" s="109" t="str">
        <f>IF(OR(ISBLANK(Term4_Day_1[[#This Row],[Start]]),ISBLANK(Term4_Day_1[[#This Row],[End]])),"",(Term4_Day_1[[#This Row],[End]]-Term4_Day_1[[#This Row],[Start]])*1440)</f>
        <v/>
      </c>
      <c r="F15" s="109" t="str">
        <f>IF(ISBLANK(Term4_Day_1[[#This Row],[Activity]]),"",IF(_xlfn.XLOOKUP(Term4_Day_1[[#This Row],[Activity]],Types_of_Activity[Type of Activity],Types_of_Activity[Classification])=1,Term4_Day_1[[#This Row],[Elapsed]],0))</f>
        <v/>
      </c>
      <c r="G15" s="109" t="str">
        <f>IF(ISBLANK(Term4_Day_1[[#This Row],[Activity]]),"",IF(_xlfn.XLOOKUP(Term4_Day_1[[#This Row],[Activity]],Types_of_Activity[Type of Activity],Types_of_Activity[Classification])=2,Term4_Day_1[[#This Row],[Elapsed]],0))</f>
        <v/>
      </c>
      <c r="I15" s="141"/>
      <c r="J15" s="141"/>
      <c r="K15" s="106"/>
      <c r="L15" s="109" t="str">
        <f>IF(OR(ISBLANK(Term4_Day_2[[#This Row],[Start]]),ISBLANK(Term4_Day_2[[#This Row],[End]])),"",(Term4_Day_2[[#This Row],[End]]-Term4_Day_2[[#This Row],[Start]])*1440)</f>
        <v/>
      </c>
      <c r="M15" s="109" t="str">
        <f>IF(ISBLANK(Term4_Day_2[[#This Row],[Activity]]),"",IF(_xlfn.XLOOKUP(Term4_Day_2[[#This Row],[Activity]],Types_of_Activity[Type of Activity],Types_of_Activity[Classification])=1,Term4_Day_2[[#This Row],[Elapsed]],0))</f>
        <v/>
      </c>
      <c r="N15" s="109" t="str">
        <f>IF(ISBLANK(Term4_Day_2[[#This Row],[Activity]]),"",IF(_xlfn.XLOOKUP(Term4_Day_2[[#This Row],[Activity]],Types_of_Activity[Type of Activity],Types_of_Activity[Classification])=2,Term4_Day_2[[#This Row],[Elapsed]],0))</f>
        <v/>
      </c>
      <c r="P15" s="141"/>
      <c r="Q15" s="141"/>
      <c r="R15" s="106"/>
      <c r="S15" s="109" t="str">
        <f>IF(OR(ISBLANK(Term4_Day_3[[#This Row],[Start]]),ISBLANK(Term4_Day_3[[#This Row],[End]])),"",(Term4_Day_3[[#This Row],[End]]-Term4_Day_3[[#This Row],[Start]])*1440)</f>
        <v/>
      </c>
      <c r="T15" s="109" t="str">
        <f>IF(ISBLANK(Term4_Day_3[[#This Row],[Activity]]),"",IF(_xlfn.XLOOKUP(Term4_Day_3[[#This Row],[Activity]],Types_of_Activity[Type of Activity],Types_of_Activity[Classification])=1,Term4_Day_3[[#This Row],[Elapsed]],0))</f>
        <v/>
      </c>
      <c r="U15" s="109" t="str">
        <f>IF(ISBLANK(Term4_Day_3[[#This Row],[Activity]]),"",IF(_xlfn.XLOOKUP(Term4_Day_3[[#This Row],[Activity]],Types_of_Activity[Type of Activity],Types_of_Activity[Classification])=2,Term4_Day_3[[#This Row],[Elapsed]],0))</f>
        <v/>
      </c>
      <c r="W15" s="141"/>
      <c r="X15" s="141"/>
      <c r="Y15" s="106"/>
      <c r="Z15" s="109" t="str">
        <f>IF(OR(ISBLANK(Term4_Day_4[[#This Row],[Start]]),ISBLANK(Term4_Day_4[[#This Row],[End]])),"",(Term4_Day_4[[#This Row],[End]]-Term4_Day_4[[#This Row],[Start]])*1440)</f>
        <v/>
      </c>
      <c r="AA15" s="109" t="str">
        <f>IF(ISBLANK(Term4_Day_4[[#This Row],[Activity]]),"",IF(_xlfn.XLOOKUP(Term4_Day_4[[#This Row],[Activity]],Types_of_Activity[Type of Activity],Types_of_Activity[Classification])=1,Term4_Day_4[[#This Row],[Elapsed]],0))</f>
        <v/>
      </c>
      <c r="AB15" s="109" t="str">
        <f>IF(ISBLANK(Term4_Day_4[[#This Row],[Activity]]),"",IF(_xlfn.XLOOKUP(Term4_Day_4[[#This Row],[Activity]],Types_of_Activity[Type of Activity],Types_of_Activity[Classification])=2,Term4_Day_4[[#This Row],[Elapsed]],0))</f>
        <v/>
      </c>
      <c r="AD15" s="141"/>
      <c r="AE15" s="141"/>
      <c r="AF15" s="106"/>
      <c r="AG15" s="109" t="str">
        <f>IF(OR(ISBLANK(Term4_Day_5[[#This Row],[Start]]),ISBLANK(Term4_Day_5[[#This Row],[End]])),"",(Term4_Day_5[[#This Row],[End]]-Term4_Day_5[[#This Row],[Start]])*1440)</f>
        <v/>
      </c>
      <c r="AH15" s="109" t="str">
        <f>IF(ISBLANK(Term4_Day_5[[#This Row],[Activity]]),"",IF(_xlfn.XLOOKUP(Term4_Day_5[[#This Row],[Activity]],Types_of_Activity[Type of Activity],Types_of_Activity[Classification])=1,Term4_Day_5[[#This Row],[Elapsed]],0))</f>
        <v/>
      </c>
      <c r="AI15" s="109" t="str">
        <f>IF(ISBLANK(Term4_Day_5[[#This Row],[Activity]]),"",IF(_xlfn.XLOOKUP(Term4_Day_5[[#This Row],[Activity]],Types_of_Activity[Type of Activity],Types_of_Activity[Classification])=2,Term4_Day_5[[#This Row],[Elapsed]],0))</f>
        <v/>
      </c>
      <c r="AK15" s="141"/>
      <c r="AL15" s="141"/>
      <c r="AM15" s="106"/>
      <c r="AN15" s="109" t="str">
        <f>IF(OR(ISBLANK(Term4_Day_6[[#This Row],[Start]]),ISBLANK(Term4_Day_6[[#This Row],[End]])),"",(Term4_Day_6[[#This Row],[End]]-Term4_Day_6[[#This Row],[Start]])*1440)</f>
        <v/>
      </c>
      <c r="AO15" s="109" t="str">
        <f>IF(ISBLANK(Term4_Day_6[[#This Row],[Activity]]),"",IF(_xlfn.XLOOKUP(Term4_Day_6[[#This Row],[Activity]],Types_of_Activity[Type of Activity],Types_of_Activity[Classification])=1,Term4_Day_6[[#This Row],[Elapsed]],0))</f>
        <v/>
      </c>
      <c r="AP15" s="109" t="str">
        <f>IF(ISBLANK(Term4_Day_6[[#This Row],[Activity]]),"",IF(_xlfn.XLOOKUP(Term4_Day_6[[#This Row],[Activity]],Types_of_Activity[Type of Activity],Types_of_Activity[Classification])=2,Term4_Day_6[[#This Row],[Elapsed]],0))</f>
        <v/>
      </c>
      <c r="AR15" s="141"/>
      <c r="AS15" s="141"/>
      <c r="AT15" s="106"/>
      <c r="AU15" s="109" t="str">
        <f>IF(OR(ISBLANK(Term4_Day_7[[#This Row],[Start]]),ISBLANK(Term4_Day_7[[#This Row],[End]])),"",(Term4_Day_7[[#This Row],[End]]-Term4_Day_7[[#This Row],[Start]])*1440)</f>
        <v/>
      </c>
      <c r="AV15" s="109" t="str">
        <f>IF(ISBLANK(Term4_Day_7[[#This Row],[Activity]]),"",IF(_xlfn.XLOOKUP(Term4_Day_7[[#This Row],[Activity]],Types_of_Activity[Type of Activity],Types_of_Activity[Classification])=1,Term4_Day_7[[#This Row],[Elapsed]],0))</f>
        <v/>
      </c>
      <c r="AW15" s="109" t="str">
        <f>IF(ISBLANK(Term4_Day_7[[#This Row],[Activity]]),"",IF(_xlfn.XLOOKUP(Term4_Day_7[[#This Row],[Activity]],Types_of_Activity[Type of Activity],Types_of_Activity[Classification])=2,Term4_Day_7[[#This Row],[Elapsed]],0))</f>
        <v/>
      </c>
      <c r="AY15" s="141"/>
      <c r="AZ15" s="141"/>
      <c r="BA15" s="106"/>
      <c r="BB15" s="109" t="str">
        <f>IF(OR(ISBLANK(Term4_Day_8[[#This Row],[Start]]),ISBLANK(Term4_Day_8[[#This Row],[End]])),"",(Term4_Day_8[[#This Row],[End]]-Term4_Day_8[[#This Row],[Start]])*1440)</f>
        <v/>
      </c>
      <c r="BC15" s="109" t="str">
        <f>IF(ISBLANK(Term4_Day_8[[#This Row],[Activity]]),"",IF(_xlfn.XLOOKUP(Term4_Day_8[[#This Row],[Activity]],Types_of_Activity[Type of Activity],Types_of_Activity[Classification])=1,Term4_Day_8[[#This Row],[Elapsed]],0))</f>
        <v/>
      </c>
      <c r="BD15" s="109" t="str">
        <f>IF(ISBLANK(Term4_Day_8[[#This Row],[Activity]]),"",IF(_xlfn.XLOOKUP(Term4_Day_8[[#This Row],[Activity]],Types_of_Activity[Type of Activity],Types_of_Activity[Classification])=2,Term4_Day_8[[#This Row],[Elapsed]],0))</f>
        <v/>
      </c>
      <c r="BF15" s="141"/>
      <c r="BG15" s="141"/>
      <c r="BH15" s="106"/>
      <c r="BI15" s="109" t="str">
        <f>IF(OR(ISBLANK(Term4_Day_9[[#This Row],[Start]]),ISBLANK(Term4_Day_9[[#This Row],[End]])),"",(Term4_Day_9[[#This Row],[End]]-Term4_Day_9[[#This Row],[Start]])*1440)</f>
        <v/>
      </c>
      <c r="BJ15" s="109" t="str">
        <f>IF(ISBLANK(Term4_Day_9[[#This Row],[Activity]]),"",IF(_xlfn.XLOOKUP(Term4_Day_9[[#This Row],[Activity]],Types_of_Activity[Type of Activity],Types_of_Activity[Classification])=1,Term4_Day_9[[#This Row],[Elapsed]],0))</f>
        <v/>
      </c>
      <c r="BK15" s="109" t="str">
        <f>IF(ISBLANK(Term4_Day_9[[#This Row],[Activity]]),"",IF(_xlfn.XLOOKUP(Term4_Day_9[[#This Row],[Activity]],Types_of_Activity[Type of Activity],Types_of_Activity[Classification])=2,Term4_Day_9[[#This Row],[Elapsed]],0))</f>
        <v/>
      </c>
      <c r="BM15" s="141"/>
      <c r="BN15" s="141"/>
      <c r="BO15" s="106"/>
      <c r="BP15" s="109" t="str">
        <f>IF(OR(ISBLANK(Term4_Day_10[[#This Row],[Start]]),ISBLANK(Term4_Day_10[[#This Row],[End]])),"",(Term4_Day_10[[#This Row],[End]]-Term4_Day_10[[#This Row],[Start]])*1440)</f>
        <v/>
      </c>
      <c r="BQ15" s="109" t="str">
        <f>IF(ISBLANK(Term4_Day_10[[#This Row],[Activity]]),"",IF(_xlfn.XLOOKUP(Term4_Day_10[[#This Row],[Activity]],Types_of_Activity[Type of Activity],Types_of_Activity[Classification])=1,Term4_Day_10[[#This Row],[Elapsed]],0))</f>
        <v/>
      </c>
      <c r="BR15" s="109" t="str">
        <f>IF(ISBLANK(Term4_Day_10[[#This Row],[Activity]]),"",IF(_xlfn.XLOOKUP(Term4_Day_10[[#This Row],[Activity]],Types_of_Activity[Type of Activity],Types_of_Activity[Classification])=2,Term4_Day_10[[#This Row],[Elapsed]],0))</f>
        <v/>
      </c>
    </row>
    <row r="16" spans="2:70" x14ac:dyDescent="0.3">
      <c r="B16" s="141"/>
      <c r="C16" s="141"/>
      <c r="D16" s="106"/>
      <c r="E16" s="109" t="str">
        <f>IF(OR(ISBLANK(Term4_Day_1[[#This Row],[Start]]),ISBLANK(Term4_Day_1[[#This Row],[End]])),"",(Term4_Day_1[[#This Row],[End]]-Term4_Day_1[[#This Row],[Start]])*1440)</f>
        <v/>
      </c>
      <c r="F16" s="109" t="str">
        <f>IF(ISBLANK(Term4_Day_1[[#This Row],[Activity]]),"",IF(_xlfn.XLOOKUP(Term4_Day_1[[#This Row],[Activity]],Types_of_Activity[Type of Activity],Types_of_Activity[Classification])=1,Term4_Day_1[[#This Row],[Elapsed]],0))</f>
        <v/>
      </c>
      <c r="G16" s="109" t="str">
        <f>IF(ISBLANK(Term4_Day_1[[#This Row],[Activity]]),"",IF(_xlfn.XLOOKUP(Term4_Day_1[[#This Row],[Activity]],Types_of_Activity[Type of Activity],Types_of_Activity[Classification])=2,Term4_Day_1[[#This Row],[Elapsed]],0))</f>
        <v/>
      </c>
      <c r="I16" s="141"/>
      <c r="J16" s="141"/>
      <c r="K16" s="106"/>
      <c r="L16" s="109" t="str">
        <f>IF(OR(ISBLANK(Term4_Day_2[[#This Row],[Start]]),ISBLANK(Term4_Day_2[[#This Row],[End]])),"",(Term4_Day_2[[#This Row],[End]]-Term4_Day_2[[#This Row],[Start]])*1440)</f>
        <v/>
      </c>
      <c r="M16" s="109" t="str">
        <f>IF(ISBLANK(Term4_Day_2[[#This Row],[Activity]]),"",IF(_xlfn.XLOOKUP(Term4_Day_2[[#This Row],[Activity]],Types_of_Activity[Type of Activity],Types_of_Activity[Classification])=1,Term4_Day_2[[#This Row],[Elapsed]],0))</f>
        <v/>
      </c>
      <c r="N16" s="109" t="str">
        <f>IF(ISBLANK(Term4_Day_2[[#This Row],[Activity]]),"",IF(_xlfn.XLOOKUP(Term4_Day_2[[#This Row],[Activity]],Types_of_Activity[Type of Activity],Types_of_Activity[Classification])=2,Term4_Day_2[[#This Row],[Elapsed]],0))</f>
        <v/>
      </c>
      <c r="P16" s="141"/>
      <c r="Q16" s="141"/>
      <c r="R16" s="106"/>
      <c r="S16" s="109" t="str">
        <f>IF(OR(ISBLANK(Term4_Day_3[[#This Row],[Start]]),ISBLANK(Term4_Day_3[[#This Row],[End]])),"",(Term4_Day_3[[#This Row],[End]]-Term4_Day_3[[#This Row],[Start]])*1440)</f>
        <v/>
      </c>
      <c r="T16" s="109" t="str">
        <f>IF(ISBLANK(Term4_Day_3[[#This Row],[Activity]]),"",IF(_xlfn.XLOOKUP(Term4_Day_3[[#This Row],[Activity]],Types_of_Activity[Type of Activity],Types_of_Activity[Classification])=1,Term4_Day_3[[#This Row],[Elapsed]],0))</f>
        <v/>
      </c>
      <c r="U16" s="109" t="str">
        <f>IF(ISBLANK(Term4_Day_3[[#This Row],[Activity]]),"",IF(_xlfn.XLOOKUP(Term4_Day_3[[#This Row],[Activity]],Types_of_Activity[Type of Activity],Types_of_Activity[Classification])=2,Term4_Day_3[[#This Row],[Elapsed]],0))</f>
        <v/>
      </c>
      <c r="W16" s="141"/>
      <c r="X16" s="141"/>
      <c r="Y16" s="106"/>
      <c r="Z16" s="109" t="str">
        <f>IF(OR(ISBLANK(Term4_Day_4[[#This Row],[Start]]),ISBLANK(Term4_Day_4[[#This Row],[End]])),"",(Term4_Day_4[[#This Row],[End]]-Term4_Day_4[[#This Row],[Start]])*1440)</f>
        <v/>
      </c>
      <c r="AA16" s="109" t="str">
        <f>IF(ISBLANK(Term4_Day_4[[#This Row],[Activity]]),"",IF(_xlfn.XLOOKUP(Term4_Day_4[[#This Row],[Activity]],Types_of_Activity[Type of Activity],Types_of_Activity[Classification])=1,Term4_Day_4[[#This Row],[Elapsed]],0))</f>
        <v/>
      </c>
      <c r="AB16" s="109" t="str">
        <f>IF(ISBLANK(Term4_Day_4[[#This Row],[Activity]]),"",IF(_xlfn.XLOOKUP(Term4_Day_4[[#This Row],[Activity]],Types_of_Activity[Type of Activity],Types_of_Activity[Classification])=2,Term4_Day_4[[#This Row],[Elapsed]],0))</f>
        <v/>
      </c>
      <c r="AD16" s="141"/>
      <c r="AE16" s="141"/>
      <c r="AF16" s="106"/>
      <c r="AG16" s="109" t="str">
        <f>IF(OR(ISBLANK(Term4_Day_5[[#This Row],[Start]]),ISBLANK(Term4_Day_5[[#This Row],[End]])),"",(Term4_Day_5[[#This Row],[End]]-Term4_Day_5[[#This Row],[Start]])*1440)</f>
        <v/>
      </c>
      <c r="AH16" s="109" t="str">
        <f>IF(ISBLANK(Term4_Day_5[[#This Row],[Activity]]),"",IF(_xlfn.XLOOKUP(Term4_Day_5[[#This Row],[Activity]],Types_of_Activity[Type of Activity],Types_of_Activity[Classification])=1,Term4_Day_5[[#This Row],[Elapsed]],0))</f>
        <v/>
      </c>
      <c r="AI16" s="109" t="str">
        <f>IF(ISBLANK(Term4_Day_5[[#This Row],[Activity]]),"",IF(_xlfn.XLOOKUP(Term4_Day_5[[#This Row],[Activity]],Types_of_Activity[Type of Activity],Types_of_Activity[Classification])=2,Term4_Day_5[[#This Row],[Elapsed]],0))</f>
        <v/>
      </c>
      <c r="AK16" s="141"/>
      <c r="AL16" s="141"/>
      <c r="AM16" s="106"/>
      <c r="AN16" s="109" t="str">
        <f>IF(OR(ISBLANK(Term4_Day_6[[#This Row],[Start]]),ISBLANK(Term4_Day_6[[#This Row],[End]])),"",(Term4_Day_6[[#This Row],[End]]-Term4_Day_6[[#This Row],[Start]])*1440)</f>
        <v/>
      </c>
      <c r="AO16" s="109" t="str">
        <f>IF(ISBLANK(Term4_Day_6[[#This Row],[Activity]]),"",IF(_xlfn.XLOOKUP(Term4_Day_6[[#This Row],[Activity]],Types_of_Activity[Type of Activity],Types_of_Activity[Classification])=1,Term4_Day_6[[#This Row],[Elapsed]],0))</f>
        <v/>
      </c>
      <c r="AP16" s="109" t="str">
        <f>IF(ISBLANK(Term4_Day_6[[#This Row],[Activity]]),"",IF(_xlfn.XLOOKUP(Term4_Day_6[[#This Row],[Activity]],Types_of_Activity[Type of Activity],Types_of_Activity[Classification])=2,Term4_Day_6[[#This Row],[Elapsed]],0))</f>
        <v/>
      </c>
      <c r="AR16" s="141"/>
      <c r="AS16" s="141"/>
      <c r="AT16" s="106"/>
      <c r="AU16" s="109" t="str">
        <f>IF(OR(ISBLANK(Term4_Day_7[[#This Row],[Start]]),ISBLANK(Term4_Day_7[[#This Row],[End]])),"",(Term4_Day_7[[#This Row],[End]]-Term4_Day_7[[#This Row],[Start]])*1440)</f>
        <v/>
      </c>
      <c r="AV16" s="109" t="str">
        <f>IF(ISBLANK(Term4_Day_7[[#This Row],[Activity]]),"",IF(_xlfn.XLOOKUP(Term4_Day_7[[#This Row],[Activity]],Types_of_Activity[Type of Activity],Types_of_Activity[Classification])=1,Term4_Day_7[[#This Row],[Elapsed]],0))</f>
        <v/>
      </c>
      <c r="AW16" s="109" t="str">
        <f>IF(ISBLANK(Term4_Day_7[[#This Row],[Activity]]),"",IF(_xlfn.XLOOKUP(Term4_Day_7[[#This Row],[Activity]],Types_of_Activity[Type of Activity],Types_of_Activity[Classification])=2,Term4_Day_7[[#This Row],[Elapsed]],0))</f>
        <v/>
      </c>
      <c r="AY16" s="141"/>
      <c r="AZ16" s="141"/>
      <c r="BA16" s="106"/>
      <c r="BB16" s="109" t="str">
        <f>IF(OR(ISBLANK(Term4_Day_8[[#This Row],[Start]]),ISBLANK(Term4_Day_8[[#This Row],[End]])),"",(Term4_Day_8[[#This Row],[End]]-Term4_Day_8[[#This Row],[Start]])*1440)</f>
        <v/>
      </c>
      <c r="BC16" s="109" t="str">
        <f>IF(ISBLANK(Term4_Day_8[[#This Row],[Activity]]),"",IF(_xlfn.XLOOKUP(Term4_Day_8[[#This Row],[Activity]],Types_of_Activity[Type of Activity],Types_of_Activity[Classification])=1,Term4_Day_8[[#This Row],[Elapsed]],0))</f>
        <v/>
      </c>
      <c r="BD16" s="109" t="str">
        <f>IF(ISBLANK(Term4_Day_8[[#This Row],[Activity]]),"",IF(_xlfn.XLOOKUP(Term4_Day_8[[#This Row],[Activity]],Types_of_Activity[Type of Activity],Types_of_Activity[Classification])=2,Term4_Day_8[[#This Row],[Elapsed]],0))</f>
        <v/>
      </c>
      <c r="BF16" s="141"/>
      <c r="BG16" s="141"/>
      <c r="BH16" s="106"/>
      <c r="BI16" s="109" t="str">
        <f>IF(OR(ISBLANK(Term4_Day_9[[#This Row],[Start]]),ISBLANK(Term4_Day_9[[#This Row],[End]])),"",(Term4_Day_9[[#This Row],[End]]-Term4_Day_9[[#This Row],[Start]])*1440)</f>
        <v/>
      </c>
      <c r="BJ16" s="109" t="str">
        <f>IF(ISBLANK(Term4_Day_9[[#This Row],[Activity]]),"",IF(_xlfn.XLOOKUP(Term4_Day_9[[#This Row],[Activity]],Types_of_Activity[Type of Activity],Types_of_Activity[Classification])=1,Term4_Day_9[[#This Row],[Elapsed]],0))</f>
        <v/>
      </c>
      <c r="BK16" s="109" t="str">
        <f>IF(ISBLANK(Term4_Day_9[[#This Row],[Activity]]),"",IF(_xlfn.XLOOKUP(Term4_Day_9[[#This Row],[Activity]],Types_of_Activity[Type of Activity],Types_of_Activity[Classification])=2,Term4_Day_9[[#This Row],[Elapsed]],0))</f>
        <v/>
      </c>
      <c r="BM16" s="141"/>
      <c r="BN16" s="141"/>
      <c r="BO16" s="106"/>
      <c r="BP16" s="109" t="str">
        <f>IF(OR(ISBLANK(Term4_Day_10[[#This Row],[Start]]),ISBLANK(Term4_Day_10[[#This Row],[End]])),"",(Term4_Day_10[[#This Row],[End]]-Term4_Day_10[[#This Row],[Start]])*1440)</f>
        <v/>
      </c>
      <c r="BQ16" s="109" t="str">
        <f>IF(ISBLANK(Term4_Day_10[[#This Row],[Activity]]),"",IF(_xlfn.XLOOKUP(Term4_Day_10[[#This Row],[Activity]],Types_of_Activity[Type of Activity],Types_of_Activity[Classification])=1,Term4_Day_10[[#This Row],[Elapsed]],0))</f>
        <v/>
      </c>
      <c r="BR16" s="109" t="str">
        <f>IF(ISBLANK(Term4_Day_10[[#This Row],[Activity]]),"",IF(_xlfn.XLOOKUP(Term4_Day_10[[#This Row],[Activity]],Types_of_Activity[Type of Activity],Types_of_Activity[Classification])=2,Term4_Day_10[[#This Row],[Elapsed]],0))</f>
        <v/>
      </c>
    </row>
    <row r="17" spans="2:71" x14ac:dyDescent="0.3">
      <c r="B17" s="141"/>
      <c r="C17" s="141"/>
      <c r="D17" s="106"/>
      <c r="E17" s="109" t="str">
        <f>IF(OR(ISBLANK(Term4_Day_1[[#This Row],[Start]]),ISBLANK(Term4_Day_1[[#This Row],[End]])),"",(Term4_Day_1[[#This Row],[End]]-Term4_Day_1[[#This Row],[Start]])*1440)</f>
        <v/>
      </c>
      <c r="F17" s="109" t="str">
        <f>IF(ISBLANK(Term4_Day_1[[#This Row],[Activity]]),"",IF(_xlfn.XLOOKUP(Term4_Day_1[[#This Row],[Activity]],Types_of_Activity[Type of Activity],Types_of_Activity[Classification])=1,Term4_Day_1[[#This Row],[Elapsed]],0))</f>
        <v/>
      </c>
      <c r="G17" s="109" t="str">
        <f>IF(ISBLANK(Term4_Day_1[[#This Row],[Activity]]),"",IF(_xlfn.XLOOKUP(Term4_Day_1[[#This Row],[Activity]],Types_of_Activity[Type of Activity],Types_of_Activity[Classification])=2,Term4_Day_1[[#This Row],[Elapsed]],0))</f>
        <v/>
      </c>
      <c r="I17" s="141"/>
      <c r="J17" s="141"/>
      <c r="K17" s="106"/>
      <c r="L17" s="109" t="str">
        <f>IF(OR(ISBLANK(Term4_Day_2[[#This Row],[Start]]),ISBLANK(Term4_Day_2[[#This Row],[End]])),"",(Term4_Day_2[[#This Row],[End]]-Term4_Day_2[[#This Row],[Start]])*1440)</f>
        <v/>
      </c>
      <c r="M17" s="109" t="str">
        <f>IF(ISBLANK(Term4_Day_2[[#This Row],[Activity]]),"",IF(_xlfn.XLOOKUP(Term4_Day_2[[#This Row],[Activity]],Types_of_Activity[Type of Activity],Types_of_Activity[Classification])=1,Term4_Day_2[[#This Row],[Elapsed]],0))</f>
        <v/>
      </c>
      <c r="N17" s="109" t="str">
        <f>IF(ISBLANK(Term4_Day_2[[#This Row],[Activity]]),"",IF(_xlfn.XLOOKUP(Term4_Day_2[[#This Row],[Activity]],Types_of_Activity[Type of Activity],Types_of_Activity[Classification])=2,Term4_Day_2[[#This Row],[Elapsed]],0))</f>
        <v/>
      </c>
      <c r="P17" s="141"/>
      <c r="Q17" s="141"/>
      <c r="R17" s="106"/>
      <c r="S17" s="109" t="str">
        <f>IF(OR(ISBLANK(Term4_Day_3[[#This Row],[Start]]),ISBLANK(Term4_Day_3[[#This Row],[End]])),"",(Term4_Day_3[[#This Row],[End]]-Term4_Day_3[[#This Row],[Start]])*1440)</f>
        <v/>
      </c>
      <c r="T17" s="109" t="str">
        <f>IF(ISBLANK(Term4_Day_3[[#This Row],[Activity]]),"",IF(_xlfn.XLOOKUP(Term4_Day_3[[#This Row],[Activity]],Types_of_Activity[Type of Activity],Types_of_Activity[Classification])=1,Term4_Day_3[[#This Row],[Elapsed]],0))</f>
        <v/>
      </c>
      <c r="U17" s="109" t="str">
        <f>IF(ISBLANK(Term4_Day_3[[#This Row],[Activity]]),"",IF(_xlfn.XLOOKUP(Term4_Day_3[[#This Row],[Activity]],Types_of_Activity[Type of Activity],Types_of_Activity[Classification])=2,Term4_Day_3[[#This Row],[Elapsed]],0))</f>
        <v/>
      </c>
      <c r="W17" s="141"/>
      <c r="X17" s="141"/>
      <c r="Y17" s="106"/>
      <c r="Z17" s="109" t="str">
        <f>IF(OR(ISBLANK(Term4_Day_4[[#This Row],[Start]]),ISBLANK(Term4_Day_4[[#This Row],[End]])),"",(Term4_Day_4[[#This Row],[End]]-Term4_Day_4[[#This Row],[Start]])*1440)</f>
        <v/>
      </c>
      <c r="AA17" s="109" t="str">
        <f>IF(ISBLANK(Term4_Day_4[[#This Row],[Activity]]),"",IF(_xlfn.XLOOKUP(Term4_Day_4[[#This Row],[Activity]],Types_of_Activity[Type of Activity],Types_of_Activity[Classification])=1,Term4_Day_4[[#This Row],[Elapsed]],0))</f>
        <v/>
      </c>
      <c r="AB17" s="109" t="str">
        <f>IF(ISBLANK(Term4_Day_4[[#This Row],[Activity]]),"",IF(_xlfn.XLOOKUP(Term4_Day_4[[#This Row],[Activity]],Types_of_Activity[Type of Activity],Types_of_Activity[Classification])=2,Term4_Day_4[[#This Row],[Elapsed]],0))</f>
        <v/>
      </c>
      <c r="AD17" s="141"/>
      <c r="AE17" s="141"/>
      <c r="AF17" s="106"/>
      <c r="AG17" s="109" t="str">
        <f>IF(OR(ISBLANK(Term4_Day_5[[#This Row],[Start]]),ISBLANK(Term4_Day_5[[#This Row],[End]])),"",(Term4_Day_5[[#This Row],[End]]-Term4_Day_5[[#This Row],[Start]])*1440)</f>
        <v/>
      </c>
      <c r="AH17" s="109" t="str">
        <f>IF(ISBLANK(Term4_Day_5[[#This Row],[Activity]]),"",IF(_xlfn.XLOOKUP(Term4_Day_5[[#This Row],[Activity]],Types_of_Activity[Type of Activity],Types_of_Activity[Classification])=1,Term4_Day_5[[#This Row],[Elapsed]],0))</f>
        <v/>
      </c>
      <c r="AI17" s="109" t="str">
        <f>IF(ISBLANK(Term4_Day_5[[#This Row],[Activity]]),"",IF(_xlfn.XLOOKUP(Term4_Day_5[[#This Row],[Activity]],Types_of_Activity[Type of Activity],Types_of_Activity[Classification])=2,Term4_Day_5[[#This Row],[Elapsed]],0))</f>
        <v/>
      </c>
      <c r="AJ17" s="110"/>
      <c r="AK17" s="141"/>
      <c r="AL17" s="141"/>
      <c r="AM17" s="106"/>
      <c r="AN17" s="109" t="str">
        <f>IF(OR(ISBLANK(Term4_Day_6[[#This Row],[Start]]),ISBLANK(Term4_Day_6[[#This Row],[End]])),"",(Term4_Day_6[[#This Row],[End]]-Term4_Day_6[[#This Row],[Start]])*1440)</f>
        <v/>
      </c>
      <c r="AO17" s="109" t="str">
        <f>IF(ISBLANK(Term4_Day_6[[#This Row],[Activity]]),"",IF(_xlfn.XLOOKUP(Term4_Day_6[[#This Row],[Activity]],Types_of_Activity[Type of Activity],Types_of_Activity[Classification])=1,Term4_Day_6[[#This Row],[Elapsed]],0))</f>
        <v/>
      </c>
      <c r="AP17" s="109" t="str">
        <f>IF(ISBLANK(Term4_Day_6[[#This Row],[Activity]]),"",IF(_xlfn.XLOOKUP(Term4_Day_6[[#This Row],[Activity]],Types_of_Activity[Type of Activity],Types_of_Activity[Classification])=2,Term4_Day_6[[#This Row],[Elapsed]],0))</f>
        <v/>
      </c>
      <c r="AQ17" s="110"/>
      <c r="AR17" s="141"/>
      <c r="AS17" s="141"/>
      <c r="AT17" s="106"/>
      <c r="AU17" s="109" t="str">
        <f>IF(OR(ISBLANK(Term4_Day_7[[#This Row],[Start]]),ISBLANK(Term4_Day_7[[#This Row],[End]])),"",(Term4_Day_7[[#This Row],[End]]-Term4_Day_7[[#This Row],[Start]])*1440)</f>
        <v/>
      </c>
      <c r="AV17" s="109" t="str">
        <f>IF(ISBLANK(Term4_Day_7[[#This Row],[Activity]]),"",IF(_xlfn.XLOOKUP(Term4_Day_7[[#This Row],[Activity]],Types_of_Activity[Type of Activity],Types_of_Activity[Classification])=1,Term4_Day_7[[#This Row],[Elapsed]],0))</f>
        <v/>
      </c>
      <c r="AW17" s="109" t="str">
        <f>IF(ISBLANK(Term4_Day_7[[#This Row],[Activity]]),"",IF(_xlfn.XLOOKUP(Term4_Day_7[[#This Row],[Activity]],Types_of_Activity[Type of Activity],Types_of_Activity[Classification])=2,Term4_Day_7[[#This Row],[Elapsed]],0))</f>
        <v/>
      </c>
      <c r="AX17" s="110"/>
      <c r="AY17" s="141"/>
      <c r="AZ17" s="141"/>
      <c r="BA17" s="106"/>
      <c r="BB17" s="109" t="str">
        <f>IF(OR(ISBLANK(Term4_Day_8[[#This Row],[Start]]),ISBLANK(Term4_Day_8[[#This Row],[End]])),"",(Term4_Day_8[[#This Row],[End]]-Term4_Day_8[[#This Row],[Start]])*1440)</f>
        <v/>
      </c>
      <c r="BC17" s="109" t="str">
        <f>IF(ISBLANK(Term4_Day_8[[#This Row],[Activity]]),"",IF(_xlfn.XLOOKUP(Term4_Day_8[[#This Row],[Activity]],Types_of_Activity[Type of Activity],Types_of_Activity[Classification])=1,Term4_Day_8[[#This Row],[Elapsed]],0))</f>
        <v/>
      </c>
      <c r="BD17" s="109" t="str">
        <f>IF(ISBLANK(Term4_Day_8[[#This Row],[Activity]]),"",IF(_xlfn.XLOOKUP(Term4_Day_8[[#This Row],[Activity]],Types_of_Activity[Type of Activity],Types_of_Activity[Classification])=2,Term4_Day_8[[#This Row],[Elapsed]],0))</f>
        <v/>
      </c>
      <c r="BE17" s="110"/>
      <c r="BF17" s="141"/>
      <c r="BG17" s="141"/>
      <c r="BH17" s="106"/>
      <c r="BI17" s="109" t="str">
        <f>IF(OR(ISBLANK(Term4_Day_9[[#This Row],[Start]]),ISBLANK(Term4_Day_9[[#This Row],[End]])),"",(Term4_Day_9[[#This Row],[End]]-Term4_Day_9[[#This Row],[Start]])*1440)</f>
        <v/>
      </c>
      <c r="BJ17" s="109" t="str">
        <f>IF(ISBLANK(Term4_Day_9[[#This Row],[Activity]]),"",IF(_xlfn.XLOOKUP(Term4_Day_9[[#This Row],[Activity]],Types_of_Activity[Type of Activity],Types_of_Activity[Classification])=1,Term4_Day_9[[#This Row],[Elapsed]],0))</f>
        <v/>
      </c>
      <c r="BK17" s="109" t="str">
        <f>IF(ISBLANK(Term4_Day_9[[#This Row],[Activity]]),"",IF(_xlfn.XLOOKUP(Term4_Day_9[[#This Row],[Activity]],Types_of_Activity[Type of Activity],Types_of_Activity[Classification])=2,Term4_Day_9[[#This Row],[Elapsed]],0))</f>
        <v/>
      </c>
      <c r="BL17" s="110"/>
      <c r="BM17" s="141"/>
      <c r="BN17" s="141"/>
      <c r="BO17" s="106"/>
      <c r="BP17" s="109" t="str">
        <f>IF(OR(ISBLANK(Term4_Day_10[[#This Row],[Start]]),ISBLANK(Term4_Day_10[[#This Row],[End]])),"",(Term4_Day_10[[#This Row],[End]]-Term4_Day_10[[#This Row],[Start]])*1440)</f>
        <v/>
      </c>
      <c r="BQ17" s="109" t="str">
        <f>IF(ISBLANK(Term4_Day_10[[#This Row],[Activity]]),"",IF(_xlfn.XLOOKUP(Term4_Day_10[[#This Row],[Activity]],Types_of_Activity[Type of Activity],Types_of_Activity[Classification])=1,Term4_Day_10[[#This Row],[Elapsed]],0))</f>
        <v/>
      </c>
      <c r="BR17" s="109" t="str">
        <f>IF(ISBLANK(Term4_Day_10[[#This Row],[Activity]]),"",IF(_xlfn.XLOOKUP(Term4_Day_10[[#This Row],[Activity]],Types_of_Activity[Type of Activity],Types_of_Activity[Classification])=2,Term4_Day_10[[#This Row],[Elapsed]],0))</f>
        <v/>
      </c>
      <c r="BS17" s="110"/>
    </row>
    <row r="18" spans="2:71"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J18" s="110"/>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Q18" s="110"/>
      <c r="AR18" s="141"/>
      <c r="AS18" s="141"/>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X18" s="110"/>
      <c r="AY18" s="141"/>
      <c r="AZ18" s="141"/>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E18" s="110"/>
      <c r="BF18" s="141"/>
      <c r="BG18" s="141"/>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L18" s="110"/>
      <c r="BM18" s="141"/>
      <c r="BN18" s="141"/>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c r="BS18" s="110"/>
    </row>
    <row r="19" spans="2:71"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J19" s="110"/>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Q19" s="110"/>
      <c r="AR19" s="141"/>
      <c r="AS19" s="141"/>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X19" s="110"/>
      <c r="AY19" s="141"/>
      <c r="AZ19" s="141"/>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E19" s="110"/>
      <c r="BF19" s="141"/>
      <c r="BG19" s="141"/>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L19" s="110"/>
      <c r="BM19" s="141"/>
      <c r="BN19" s="141"/>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c r="BS19" s="110"/>
    </row>
    <row r="20" spans="2:71"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41"/>
      <c r="AZ20" s="141"/>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41"/>
      <c r="BG20" s="141"/>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41"/>
      <c r="BN20" s="141"/>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41"/>
      <c r="AZ21" s="141"/>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41"/>
      <c r="BG21" s="141"/>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41"/>
      <c r="BN21" s="141"/>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41"/>
      <c r="AZ22" s="141"/>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41"/>
      <c r="BG22" s="141"/>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41"/>
      <c r="BN22" s="141"/>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41"/>
      <c r="AZ23" s="141"/>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41"/>
      <c r="BG23" s="141"/>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41"/>
      <c r="BN23" s="141"/>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41"/>
      <c r="AZ24" s="141"/>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41"/>
      <c r="BG24" s="141"/>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41"/>
      <c r="BN24" s="141"/>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41"/>
      <c r="AZ25" s="141"/>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41"/>
      <c r="BG25" s="141"/>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41"/>
      <c r="BN25" s="141"/>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41"/>
      <c r="AZ26" s="141"/>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41"/>
      <c r="BG26" s="141"/>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41"/>
      <c r="BN26" s="141"/>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41"/>
      <c r="AZ27" s="141"/>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41"/>
      <c r="BG27" s="141"/>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41"/>
      <c r="BN27" s="141"/>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41"/>
      <c r="AZ28" s="141"/>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41"/>
      <c r="BG28" s="141"/>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41"/>
      <c r="BN28" s="141"/>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41"/>
      <c r="AZ29" s="141"/>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41"/>
      <c r="BG29" s="141"/>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41"/>
      <c r="BN29" s="141"/>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41"/>
      <c r="AZ30" s="141"/>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41"/>
      <c r="BG30" s="141"/>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41"/>
      <c r="BN30" s="141"/>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41"/>
      <c r="AZ31" s="141"/>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41"/>
      <c r="BG31" s="141"/>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41"/>
      <c r="BN31" s="141"/>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41"/>
      <c r="AZ32" s="141"/>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41"/>
      <c r="BG32" s="141"/>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41"/>
      <c r="BN32" s="141"/>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41"/>
      <c r="AZ33" s="141"/>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41"/>
      <c r="BG33" s="141"/>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41"/>
      <c r="BN33" s="141"/>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41"/>
      <c r="AZ34" s="141"/>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41"/>
      <c r="BG34" s="141"/>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41"/>
      <c r="BN34" s="141"/>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41"/>
      <c r="AZ35" s="141"/>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41"/>
      <c r="BG35" s="141"/>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41"/>
      <c r="BN35" s="141"/>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41"/>
      <c r="AZ36" s="141"/>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41"/>
      <c r="BG36" s="141"/>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41"/>
      <c r="BN36" s="141"/>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41"/>
      <c r="AZ37" s="141"/>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41"/>
      <c r="BG37" s="141"/>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41"/>
      <c r="BN37" s="141"/>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41"/>
      <c r="AZ38" s="141"/>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41"/>
      <c r="BG38" s="141"/>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41"/>
      <c r="BN38" s="141"/>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41"/>
      <c r="AZ39" s="141"/>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41"/>
      <c r="BG39" s="141"/>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41"/>
      <c r="BN39" s="141"/>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41"/>
      <c r="AZ40" s="141"/>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41"/>
      <c r="BG40" s="141"/>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41"/>
      <c r="BN40" s="141"/>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41"/>
      <c r="AZ41" s="141"/>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41"/>
      <c r="BG41" s="141"/>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41"/>
      <c r="BN41" s="141"/>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41"/>
      <c r="AZ42" s="141"/>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41"/>
      <c r="BG42" s="141"/>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41"/>
      <c r="BN42" s="141"/>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41"/>
      <c r="AZ43" s="141"/>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41"/>
      <c r="BG43" s="141"/>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41"/>
      <c r="BN43" s="141"/>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41"/>
      <c r="AZ44" s="141"/>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41"/>
      <c r="BG44" s="141"/>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41"/>
      <c r="BN44" s="141"/>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41"/>
      <c r="AZ45" s="141"/>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41"/>
      <c r="BG45" s="141"/>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41"/>
      <c r="BN45" s="141"/>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41"/>
      <c r="AZ46" s="141"/>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41"/>
      <c r="BG46" s="141"/>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41"/>
      <c r="BN46" s="141"/>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41"/>
      <c r="AZ47" s="141"/>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41"/>
      <c r="BG47" s="141"/>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41"/>
      <c r="BN47" s="141"/>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52" spans="2:21" ht="30.75" x14ac:dyDescent="0.45">
      <c r="B52" s="108" t="s">
        <v>23</v>
      </c>
      <c r="F52" s="109"/>
      <c r="G52" s="109"/>
      <c r="H52"/>
      <c r="I52" s="108" t="s">
        <v>24</v>
      </c>
      <c r="M52" s="109"/>
      <c r="N52" s="109"/>
      <c r="P52" s="108" t="s">
        <v>25</v>
      </c>
      <c r="S52" s="109"/>
      <c r="T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IF(OR(ISBLANK(Term4_Early_Dismissal_1[[#This Row],[Start]]),ISBLANK(Term4_Early_Dismissal_1[[#This Row],[End]])),"",(Term4_Early_Dismissal_1[[#This Row],[End]]-Term4_Early_Dismissal_1[[#This Row],[Start]])*1440)</f>
        <v/>
      </c>
      <c r="F54" s="109" t="str">
        <f>IF(ISBLANK(Term4_Early_Dismissal_1[[#This Row],[Activity]]),"",IF(_xlfn.XLOOKUP(Term4_Early_Dismissal_1[[#This Row],[Activity]],Types_of_Activity[Type of Activity],Types_of_Activity[Classification])=1,Term4_Early_Dismissal_1[[#This Row],[Elapsed]],0))</f>
        <v/>
      </c>
      <c r="G54" s="109" t="str">
        <f>IF(ISBLANK(Term4_Early_Dismissal_1[[#This Row],[Activity]]),"",IF(_xlfn.XLOOKUP(Term4_Early_Dismissal_1[[#This Row],[Activity]],Types_of_Activity[Type of Activity],Types_of_Activity[Classification])=2,Term4_Early_Dismissal_1[[#This Row],[Elapsed]],0))</f>
        <v/>
      </c>
      <c r="H54"/>
      <c r="I54" s="141"/>
      <c r="J54" s="141"/>
      <c r="K54" s="106"/>
      <c r="L54" s="109" t="str">
        <f>IF(OR(ISBLANK(Term4_Early_Dismissal_2[[#This Row],[Start]]),ISBLANK(Term4_Early_Dismissal_2[[#This Row],[End]])),"",(Term4_Early_Dismissal_2[[#This Row],[End]]-Term4_Early_Dismissal_2[[#This Row],[Start]])*1440)</f>
        <v/>
      </c>
      <c r="M54" s="109" t="str">
        <f>IF(ISBLANK(Term4_Early_Dismissal_2[[#This Row],[Activity]]),"",IF(_xlfn.XLOOKUP(Term4_Early_Dismissal_2[[#This Row],[Activity]],Types_of_Activity[Type of Activity],Types_of_Activity[Classification])=1,Term4_Early_Dismissal_2[[#This Row],[Elapsed]],0))</f>
        <v/>
      </c>
      <c r="N54" s="109" t="str">
        <f>IF(ISBLANK(Term4_Early_Dismissal_2[[#This Row],[Activity]]),"",IF(_xlfn.XLOOKUP(Term4_Early_Dismissal_2[[#This Row],[Activity]],Types_of_Activity[Type of Activity],Types_of_Activity[Classification])=2,Term4_Early_Dismissal_2[[#This Row],[Elapsed]],0))</f>
        <v/>
      </c>
      <c r="O54"/>
      <c r="P54" s="141"/>
      <c r="Q54" s="141"/>
      <c r="R54" s="106"/>
      <c r="S54" s="109" t="str">
        <f>IF(OR(ISBLANK(Term4_Early_Dismissal_3[[#This Row],[Start]]),ISBLANK(Term4_Early_Dismissal_3[[#This Row],[End]])),"",(Term4_Early_Dismissal_3[[#This Row],[End]]-Term4_Early_Dismissal_3[[#This Row],[Start]])*1440)</f>
        <v/>
      </c>
      <c r="T54" s="109" t="str">
        <f>IF(ISBLANK(Term4_Early_Dismissal_3[[#This Row],[Activity]]),"",IF(_xlfn.XLOOKUP(Term4_Early_Dismissal_3[[#This Row],[Activity]],Types_of_Activity[Type of Activity],Types_of_Activity[Classification])=1,Term4_Early_Dismissal_3[[#This Row],[Elapsed]],0))</f>
        <v/>
      </c>
      <c r="U54" s="109" t="str">
        <f>IF(ISBLANK(Term4_Early_Dismissal_3[[#This Row],[Activity]]),"",IF(_xlfn.XLOOKUP(Term4_Early_Dismissal_3[[#This Row],[Activity]],Types_of_Activity[Type of Activity],Types_of_Activity[Classification])=2,Term4_Early_Dismissal_3[[#This Row],[Elapsed]],0))</f>
        <v/>
      </c>
    </row>
    <row r="55" spans="2:21" x14ac:dyDescent="0.3">
      <c r="B55" s="141"/>
      <c r="C55" s="141"/>
      <c r="D55" s="106"/>
      <c r="E55" s="109" t="str">
        <f>IF(OR(ISBLANK(Term4_Early_Dismissal_1[[#This Row],[Start]]),ISBLANK(Term4_Early_Dismissal_1[[#This Row],[End]])),"",(Term4_Early_Dismissal_1[[#This Row],[End]]-Term4_Early_Dismissal_1[[#This Row],[Start]])*1440)</f>
        <v/>
      </c>
      <c r="F55" s="109" t="str">
        <f>IF(ISBLANK(Term4_Early_Dismissal_1[[#This Row],[Activity]]),"",IF(_xlfn.XLOOKUP(Term4_Early_Dismissal_1[[#This Row],[Activity]],Types_of_Activity[Type of Activity],Types_of_Activity[Classification])=1,Term4_Early_Dismissal_1[[#This Row],[Elapsed]],0))</f>
        <v/>
      </c>
      <c r="G55" s="109" t="str">
        <f>IF(ISBLANK(Term4_Early_Dismissal_1[[#This Row],[Activity]]),"",IF(_xlfn.XLOOKUP(Term4_Early_Dismissal_1[[#This Row],[Activity]],Types_of_Activity[Type of Activity],Types_of_Activity[Classification])=2,Term4_Early_Dismissal_1[[#This Row],[Elapsed]],0))</f>
        <v/>
      </c>
      <c r="H55"/>
      <c r="I55" s="141"/>
      <c r="J55" s="141"/>
      <c r="K55" s="106"/>
      <c r="L55" s="109" t="str">
        <f>IF(OR(ISBLANK(Term4_Early_Dismissal_2[[#This Row],[Start]]),ISBLANK(Term4_Early_Dismissal_2[[#This Row],[End]])),"",(Term4_Early_Dismissal_2[[#This Row],[End]]-Term4_Early_Dismissal_2[[#This Row],[Start]])*1440)</f>
        <v/>
      </c>
      <c r="M55" s="109" t="str">
        <f>IF(ISBLANK(Term4_Early_Dismissal_2[[#This Row],[Activity]]),"",IF(_xlfn.XLOOKUP(Term4_Early_Dismissal_2[[#This Row],[Activity]],Types_of_Activity[Type of Activity],Types_of_Activity[Classification])=1,Term4_Early_Dismissal_2[[#This Row],[Elapsed]],0))</f>
        <v/>
      </c>
      <c r="N55" s="109" t="str">
        <f>IF(ISBLANK(Term4_Early_Dismissal_2[[#This Row],[Activity]]),"",IF(_xlfn.XLOOKUP(Term4_Early_Dismissal_2[[#This Row],[Activity]],Types_of_Activity[Type of Activity],Types_of_Activity[Classification])=2,Term4_Early_Dismissal_2[[#This Row],[Elapsed]],0))</f>
        <v/>
      </c>
      <c r="O55"/>
      <c r="P55" s="141"/>
      <c r="Q55" s="141"/>
      <c r="R55" s="106"/>
      <c r="S55" s="109" t="str">
        <f>IF(OR(ISBLANK(Term4_Early_Dismissal_3[[#This Row],[Start]]),ISBLANK(Term4_Early_Dismissal_3[[#This Row],[End]])),"",(Term4_Early_Dismissal_3[[#This Row],[End]]-Term4_Early_Dismissal_3[[#This Row],[Start]])*1440)</f>
        <v/>
      </c>
      <c r="T55" s="109" t="str">
        <f>IF(ISBLANK(Term4_Early_Dismissal_3[[#This Row],[Activity]]),"",IF(_xlfn.XLOOKUP(Term4_Early_Dismissal_3[[#This Row],[Activity]],Types_of_Activity[Type of Activity],Types_of_Activity[Classification])=1,Term4_Early_Dismissal_3[[#This Row],[Elapsed]],0))</f>
        <v/>
      </c>
      <c r="U55" s="109" t="str">
        <f>IF(ISBLANK(Term4_Early_Dismissal_3[[#This Row],[Activity]]),"",IF(_xlfn.XLOOKUP(Term4_Early_Dismissal_3[[#This Row],[Activity]],Types_of_Activity[Type of Activity],Types_of_Activity[Classification])=2,Term4_Early_Dismissal_3[[#This Row],[Elapsed]],0))</f>
        <v/>
      </c>
    </row>
    <row r="56" spans="2:21" x14ac:dyDescent="0.3">
      <c r="B56" s="141"/>
      <c r="C56" s="141"/>
      <c r="D56" s="106"/>
      <c r="E56" s="109" t="str">
        <f>IF(OR(ISBLANK(Term4_Early_Dismissal_1[[#This Row],[Start]]),ISBLANK(Term4_Early_Dismissal_1[[#This Row],[End]])),"",(Term4_Early_Dismissal_1[[#This Row],[End]]-Term4_Early_Dismissal_1[[#This Row],[Start]])*1440)</f>
        <v/>
      </c>
      <c r="F56" s="109" t="str">
        <f>IF(ISBLANK(Term4_Early_Dismissal_1[[#This Row],[Activity]]),"",IF(_xlfn.XLOOKUP(Term4_Early_Dismissal_1[[#This Row],[Activity]],Types_of_Activity[Type of Activity],Types_of_Activity[Classification])=1,Term4_Early_Dismissal_1[[#This Row],[Elapsed]],0))</f>
        <v/>
      </c>
      <c r="G56" s="109" t="str">
        <f>IF(ISBLANK(Term4_Early_Dismissal_1[[#This Row],[Activity]]),"",IF(_xlfn.XLOOKUP(Term4_Early_Dismissal_1[[#This Row],[Activity]],Types_of_Activity[Type of Activity],Types_of_Activity[Classification])=2,Term4_Early_Dismissal_1[[#This Row],[Elapsed]],0))</f>
        <v/>
      </c>
      <c r="H56"/>
      <c r="I56" s="141"/>
      <c r="J56" s="141"/>
      <c r="K56" s="106"/>
      <c r="L56" s="109" t="str">
        <f>IF(OR(ISBLANK(Term4_Early_Dismissal_2[[#This Row],[Start]]),ISBLANK(Term4_Early_Dismissal_2[[#This Row],[End]])),"",(Term4_Early_Dismissal_2[[#This Row],[End]]-Term4_Early_Dismissal_2[[#This Row],[Start]])*1440)</f>
        <v/>
      </c>
      <c r="M56" s="109" t="str">
        <f>IF(ISBLANK(Term4_Early_Dismissal_2[[#This Row],[Activity]]),"",IF(_xlfn.XLOOKUP(Term4_Early_Dismissal_2[[#This Row],[Activity]],Types_of_Activity[Type of Activity],Types_of_Activity[Classification])=1,Term4_Early_Dismissal_2[[#This Row],[Elapsed]],0))</f>
        <v/>
      </c>
      <c r="N56" s="109" t="str">
        <f>IF(ISBLANK(Term4_Early_Dismissal_2[[#This Row],[Activity]]),"",IF(_xlfn.XLOOKUP(Term4_Early_Dismissal_2[[#This Row],[Activity]],Types_of_Activity[Type of Activity],Types_of_Activity[Classification])=2,Term4_Early_Dismissal_2[[#This Row],[Elapsed]],0))</f>
        <v/>
      </c>
      <c r="O56"/>
      <c r="P56" s="141"/>
      <c r="Q56" s="141"/>
      <c r="R56" s="106"/>
      <c r="S56" s="109" t="str">
        <f>IF(OR(ISBLANK(Term4_Early_Dismissal_3[[#This Row],[Start]]),ISBLANK(Term4_Early_Dismissal_3[[#This Row],[End]])),"",(Term4_Early_Dismissal_3[[#This Row],[End]]-Term4_Early_Dismissal_3[[#This Row],[Start]])*1440)</f>
        <v/>
      </c>
      <c r="T56" s="109" t="str">
        <f>IF(ISBLANK(Term4_Early_Dismissal_3[[#This Row],[Activity]]),"",IF(_xlfn.XLOOKUP(Term4_Early_Dismissal_3[[#This Row],[Activity]],Types_of_Activity[Type of Activity],Types_of_Activity[Classification])=1,Term4_Early_Dismissal_3[[#This Row],[Elapsed]],0))</f>
        <v/>
      </c>
      <c r="U56" s="109" t="str">
        <f>IF(ISBLANK(Term4_Early_Dismissal_3[[#This Row],[Activity]]),"",IF(_xlfn.XLOOKUP(Term4_Early_Dismissal_3[[#This Row],[Activity]],Types_of_Activity[Type of Activity],Types_of_Activity[Classification])=2,Term4_Early_Dismissal_3[[#This Row],[Elapsed]],0))</f>
        <v/>
      </c>
    </row>
    <row r="57" spans="2:2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row>
    <row r="58" spans="2:2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row>
    <row r="59" spans="2:2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row>
    <row r="60" spans="2:2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row>
    <row r="61" spans="2:2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row>
    <row r="62" spans="2:2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row>
    <row r="63" spans="2:2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row>
    <row r="64" spans="2:2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row>
    <row r="65" spans="2:21"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row>
    <row r="66" spans="2:21"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row>
    <row r="67" spans="2:21"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row>
    <row r="68" spans="2:21"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row>
    <row r="69" spans="2:21"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row>
    <row r="70" spans="2:21"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row>
    <row r="71" spans="2:21"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row>
    <row r="72" spans="2:21"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row>
    <row r="73" spans="2:21"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row>
    <row r="74" spans="2:21"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row>
    <row r="75" spans="2:21"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row>
    <row r="76" spans="2:21"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row>
    <row r="77" spans="2:21"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row>
    <row r="78" spans="2:21"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row>
    <row r="79" spans="2:21"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row>
    <row r="80" spans="2:21"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row>
    <row r="81" spans="2:2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row>
    <row r="82" spans="2:2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row>
    <row r="83" spans="2:2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row>
    <row r="84" spans="2:2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row>
    <row r="85" spans="2:2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row>
    <row r="86" spans="2:2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row>
    <row r="87" spans="2:22" x14ac:dyDescent="0.3">
      <c r="B87"/>
      <c r="C87"/>
      <c r="D87"/>
      <c r="E87"/>
      <c r="F87"/>
      <c r="G87"/>
      <c r="H87"/>
      <c r="I87"/>
      <c r="J87"/>
      <c r="K87"/>
      <c r="L87"/>
      <c r="M87"/>
      <c r="N87"/>
      <c r="O87"/>
      <c r="P87"/>
      <c r="Q87"/>
      <c r="R87"/>
      <c r="S87"/>
      <c r="T87"/>
      <c r="U87"/>
      <c r="V87"/>
    </row>
    <row r="88" spans="2:22" x14ac:dyDescent="0.3">
      <c r="B88"/>
      <c r="C88"/>
      <c r="D88"/>
      <c r="E88"/>
      <c r="F88"/>
      <c r="G88"/>
      <c r="H88"/>
      <c r="I88"/>
      <c r="J88"/>
      <c r="K88"/>
      <c r="L88"/>
      <c r="M88"/>
      <c r="N88"/>
      <c r="O88"/>
      <c r="P88"/>
      <c r="Q88"/>
      <c r="R88"/>
      <c r="S88"/>
      <c r="T88"/>
      <c r="U88"/>
      <c r="V88"/>
    </row>
    <row r="89" spans="2:22" x14ac:dyDescent="0.3">
      <c r="B89"/>
      <c r="C89"/>
      <c r="D89"/>
      <c r="E89"/>
      <c r="F89"/>
      <c r="G89"/>
      <c r="H89"/>
      <c r="I89"/>
      <c r="J89"/>
      <c r="K89"/>
      <c r="L89"/>
      <c r="M89"/>
      <c r="N89"/>
      <c r="O89"/>
      <c r="P89"/>
      <c r="Q89"/>
      <c r="R89"/>
      <c r="S89"/>
      <c r="T89"/>
      <c r="U89"/>
      <c r="V89"/>
    </row>
    <row r="90" spans="2:22" x14ac:dyDescent="0.3">
      <c r="B90"/>
      <c r="C90"/>
      <c r="D90"/>
      <c r="E90"/>
      <c r="F90"/>
      <c r="G90"/>
      <c r="H90"/>
      <c r="I90"/>
      <c r="J90"/>
      <c r="K90"/>
      <c r="L90"/>
      <c r="M90"/>
      <c r="N90"/>
      <c r="O90"/>
      <c r="P90"/>
      <c r="Q90"/>
      <c r="R90"/>
      <c r="S90"/>
      <c r="T90"/>
      <c r="U90"/>
      <c r="V90"/>
    </row>
    <row r="91" spans="2:22" x14ac:dyDescent="0.3">
      <c r="B91"/>
      <c r="C91"/>
      <c r="D91"/>
      <c r="E91"/>
      <c r="F91"/>
      <c r="G91"/>
      <c r="H91"/>
      <c r="I91"/>
      <c r="J91"/>
      <c r="K91"/>
      <c r="L91"/>
      <c r="M91"/>
      <c r="N91"/>
      <c r="O91"/>
      <c r="P91"/>
      <c r="Q91"/>
      <c r="R91"/>
      <c r="S91"/>
      <c r="T91"/>
      <c r="U91"/>
      <c r="V91"/>
    </row>
    <row r="92" spans="2:22" x14ac:dyDescent="0.3">
      <c r="B92"/>
      <c r="C92"/>
      <c r="D92"/>
      <c r="E92"/>
      <c r="F92"/>
      <c r="G92"/>
      <c r="H92"/>
      <c r="I92"/>
      <c r="J92"/>
      <c r="K92"/>
      <c r="L92"/>
      <c r="M92"/>
      <c r="N92"/>
      <c r="O92"/>
      <c r="P92"/>
      <c r="Q92"/>
      <c r="R92"/>
      <c r="S92"/>
      <c r="T92"/>
      <c r="U92"/>
      <c r="V92"/>
    </row>
    <row r="93" spans="2:22" x14ac:dyDescent="0.3">
      <c r="B93"/>
      <c r="C93"/>
      <c r="D93"/>
      <c r="E93"/>
      <c r="F93"/>
      <c r="G93"/>
      <c r="H93"/>
      <c r="I93"/>
      <c r="J93"/>
      <c r="K93"/>
      <c r="L93"/>
      <c r="M93"/>
      <c r="N93"/>
      <c r="O93"/>
      <c r="P93"/>
      <c r="Q93"/>
      <c r="R93"/>
      <c r="S93"/>
      <c r="T93"/>
      <c r="U93"/>
      <c r="V93"/>
    </row>
    <row r="94" spans="2:22" ht="30.75" x14ac:dyDescent="0.45">
      <c r="B94" s="108" t="s">
        <v>26</v>
      </c>
      <c r="F94" s="109"/>
      <c r="G94" s="109"/>
      <c r="H94"/>
      <c r="I94" s="108" t="s">
        <v>27</v>
      </c>
      <c r="M94" s="109"/>
      <c r="N94" s="109"/>
      <c r="O94"/>
      <c r="P94" s="108" t="s">
        <v>28</v>
      </c>
      <c r="T94" s="109"/>
      <c r="U94" s="109"/>
      <c r="V94" s="109"/>
    </row>
    <row r="95" spans="2:22"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c r="V95"/>
    </row>
    <row r="96" spans="2:22" x14ac:dyDescent="0.3">
      <c r="B96" s="141"/>
      <c r="C96" s="141"/>
      <c r="D96" s="106"/>
      <c r="E96" s="109" t="str">
        <f>IF(OR(ISBLANK(Term4_Special_Day_1[[#This Row],[Start]]),ISBLANK(Term4_Special_Day_1[[#This Row],[End]])),"",(Term4_Special_Day_1[[#This Row],[End]]-Term4_Special_Day_1[[#This Row],[Start]])*1440)</f>
        <v/>
      </c>
      <c r="F96" s="109" t="str">
        <f>IF(ISBLANK(Term4_Special_Day_1[[#This Row],[Activity]]),"",IF(_xlfn.XLOOKUP(Term4_Special_Day_1[[#This Row],[Activity]],Types_of_Activity[Type of Activity],Types_of_Activity[Classification])=1,Term4_Special_Day_1[[#This Row],[Elapsed]],0))</f>
        <v/>
      </c>
      <c r="G96" s="109" t="str">
        <f>IF(ISBLANK(Term4_Special_Day_1[[#This Row],[Activity]]),"",IF(_xlfn.XLOOKUP(Term4_Special_Day_1[[#This Row],[Activity]],Types_of_Activity[Type of Activity],Types_of_Activity[Classification])=2,Term4_Special_Day_1[[#This Row],[Elapsed]],0))</f>
        <v/>
      </c>
      <c r="H96"/>
      <c r="I96" s="141"/>
      <c r="J96" s="141"/>
      <c r="K96" s="106"/>
      <c r="L96" s="109" t="str">
        <f>IF(OR(ISBLANK(Term4_Special_Day_2[[#This Row],[Start]]),ISBLANK(Term4_Special_Day_2[[#This Row],[End]])),"",(Term4_Special_Day_2[[#This Row],[End]]-Term4_Special_Day_2[[#This Row],[Start]])*1440)</f>
        <v/>
      </c>
      <c r="M96" s="109" t="str">
        <f>IF(ISBLANK(Term4_Special_Day_2[[#This Row],[Activity]]),"",IF(_xlfn.XLOOKUP(Term4_Special_Day_2[[#This Row],[Activity]],Types_of_Activity[Type of Activity],Types_of_Activity[Classification])=1,Term4_Special_Day_2[[#This Row],[Elapsed]],0))</f>
        <v/>
      </c>
      <c r="N96" s="109" t="str">
        <f>IF(ISBLANK(Term4_Special_Day_2[[#This Row],[Activity]]),"",IF(_xlfn.XLOOKUP(Term4_Special_Day_2[[#This Row],[Activity]],Types_of_Activity[Type of Activity],Types_of_Activity[Classification])=2,Term4_Special_Day_2[[#This Row],[Elapsed]],0))</f>
        <v/>
      </c>
      <c r="O96"/>
      <c r="P96" s="141"/>
      <c r="Q96" s="141"/>
      <c r="R96" s="106"/>
      <c r="S96" s="109" t="str">
        <f>IF(OR(ISBLANK(Term4_Special_Day_3[[#This Row],[Start]]),ISBLANK(Term4_Special_Day_3[[#This Row],[End]])),"",(Term4_Special_Day_3[[#This Row],[End]]-Term4_Special_Day_3[[#This Row],[Start]])*1440)</f>
        <v/>
      </c>
      <c r="T96" s="109" t="str">
        <f>IF(ISBLANK(Term4_Special_Day_3[[#This Row],[Activity]]),"",IF(_xlfn.XLOOKUP(Term4_Special_Day_3[[#This Row],[Activity]],Types_of_Activity[Type of Activity],Types_of_Activity[Classification])=1,Term4_Special_Day_3[[#This Row],[Elapsed]],0))</f>
        <v/>
      </c>
      <c r="U96" s="109" t="str">
        <f>IF(ISBLANK(Term4_Special_Day_3[[#This Row],[Activity]]),"",IF(_xlfn.XLOOKUP(Term4_Special_Day_3[[#This Row],[Activity]],Types_of_Activity[Type of Activity],Types_of_Activity[Classification])=2,Term4_Special_Day_3[[#This Row],[Elapsed]],0))</f>
        <v/>
      </c>
      <c r="V96" s="109"/>
    </row>
    <row r="97" spans="2:22" x14ac:dyDescent="0.3">
      <c r="B97" s="141"/>
      <c r="C97" s="141"/>
      <c r="D97" s="106"/>
      <c r="E97" s="109" t="str">
        <f>IF(OR(ISBLANK(Term4_Special_Day_1[[#This Row],[Start]]),ISBLANK(Term4_Special_Day_1[[#This Row],[End]])),"",(Term4_Special_Day_1[[#This Row],[End]]-Term4_Special_Day_1[[#This Row],[Start]])*1440)</f>
        <v/>
      </c>
      <c r="F97" s="109" t="str">
        <f>IF(ISBLANK(Term4_Special_Day_1[[#This Row],[Activity]]),"",IF(_xlfn.XLOOKUP(Term4_Special_Day_1[[#This Row],[Activity]],Types_of_Activity[Type of Activity],Types_of_Activity[Classification])=1,Term4_Special_Day_1[[#This Row],[Elapsed]],0))</f>
        <v/>
      </c>
      <c r="G97" s="109" t="str">
        <f>IF(ISBLANK(Term4_Special_Day_1[[#This Row],[Activity]]),"",IF(_xlfn.XLOOKUP(Term4_Special_Day_1[[#This Row],[Activity]],Types_of_Activity[Type of Activity],Types_of_Activity[Classification])=2,Term4_Special_Day_1[[#This Row],[Elapsed]],0))</f>
        <v/>
      </c>
      <c r="H97"/>
      <c r="I97" s="141"/>
      <c r="J97" s="141"/>
      <c r="K97" s="106"/>
      <c r="L97" s="109" t="str">
        <f>IF(OR(ISBLANK(Term4_Special_Day_2[[#This Row],[Start]]),ISBLANK(Term4_Special_Day_2[[#This Row],[End]])),"",(Term4_Special_Day_2[[#This Row],[End]]-Term4_Special_Day_2[[#This Row],[Start]])*1440)</f>
        <v/>
      </c>
      <c r="M97" s="109" t="str">
        <f>IF(ISBLANK(Term4_Special_Day_2[[#This Row],[Activity]]),"",IF(_xlfn.XLOOKUP(Term4_Special_Day_2[[#This Row],[Activity]],Types_of_Activity[Type of Activity],Types_of_Activity[Classification])=1,Term4_Special_Day_2[[#This Row],[Elapsed]],0))</f>
        <v/>
      </c>
      <c r="N97" s="109" t="str">
        <f>IF(ISBLANK(Term4_Special_Day_2[[#This Row],[Activity]]),"",IF(_xlfn.XLOOKUP(Term4_Special_Day_2[[#This Row],[Activity]],Types_of_Activity[Type of Activity],Types_of_Activity[Classification])=2,Term4_Special_Day_2[[#This Row],[Elapsed]],0))</f>
        <v/>
      </c>
      <c r="O97"/>
      <c r="P97" s="141"/>
      <c r="Q97" s="141"/>
      <c r="R97" s="106"/>
      <c r="S97" s="109" t="str">
        <f>IF(OR(ISBLANK(Term4_Special_Day_3[[#This Row],[Start]]),ISBLANK(Term4_Special_Day_3[[#This Row],[End]])),"",(Term4_Special_Day_3[[#This Row],[End]]-Term4_Special_Day_3[[#This Row],[Start]])*1440)</f>
        <v/>
      </c>
      <c r="T97" s="109" t="str">
        <f>IF(ISBLANK(Term4_Special_Day_3[[#This Row],[Activity]]),"",IF(_xlfn.XLOOKUP(Term4_Special_Day_3[[#This Row],[Activity]],Types_of_Activity[Type of Activity],Types_of_Activity[Classification])=1,Term4_Special_Day_3[[#This Row],[Elapsed]],0))</f>
        <v/>
      </c>
      <c r="U97" s="109" t="str">
        <f>IF(ISBLANK(Term4_Special_Day_3[[#This Row],[Activity]]),"",IF(_xlfn.XLOOKUP(Term4_Special_Day_3[[#This Row],[Activity]],Types_of_Activity[Type of Activity],Types_of_Activity[Classification])=2,Term4_Special_Day_3[[#This Row],[Elapsed]],0))</f>
        <v/>
      </c>
      <c r="V97" s="109"/>
    </row>
    <row r="98" spans="2:22" x14ac:dyDescent="0.3">
      <c r="B98" s="141"/>
      <c r="C98" s="141"/>
      <c r="D98" s="106"/>
      <c r="E98" s="109" t="str">
        <f>IF(OR(ISBLANK(Term4_Special_Day_1[[#This Row],[Start]]),ISBLANK(Term4_Special_Day_1[[#This Row],[End]])),"",(Term4_Special_Day_1[[#This Row],[End]]-Term4_Special_Day_1[[#This Row],[Start]])*1440)</f>
        <v/>
      </c>
      <c r="F98" s="109" t="str">
        <f>IF(ISBLANK(Term4_Special_Day_1[[#This Row],[Activity]]),"",IF(_xlfn.XLOOKUP(Term4_Special_Day_1[[#This Row],[Activity]],Types_of_Activity[Type of Activity],Types_of_Activity[Classification])=1,Term4_Special_Day_1[[#This Row],[Elapsed]],0))</f>
        <v/>
      </c>
      <c r="G98" s="109" t="str">
        <f>IF(ISBLANK(Term4_Special_Day_1[[#This Row],[Activity]]),"",IF(_xlfn.XLOOKUP(Term4_Special_Day_1[[#This Row],[Activity]],Types_of_Activity[Type of Activity],Types_of_Activity[Classification])=2,Term4_Special_Day_1[[#This Row],[Elapsed]],0))</f>
        <v/>
      </c>
      <c r="H98"/>
      <c r="I98" s="141"/>
      <c r="J98" s="141"/>
      <c r="K98" s="106"/>
      <c r="L98" s="109" t="str">
        <f>IF(OR(ISBLANK(Term4_Special_Day_2[[#This Row],[Start]]),ISBLANK(Term4_Special_Day_2[[#This Row],[End]])),"",(Term4_Special_Day_2[[#This Row],[End]]-Term4_Special_Day_2[[#This Row],[Start]])*1440)</f>
        <v/>
      </c>
      <c r="M98" s="109" t="str">
        <f>IF(ISBLANK(Term4_Special_Day_2[[#This Row],[Activity]]),"",IF(_xlfn.XLOOKUP(Term4_Special_Day_2[[#This Row],[Activity]],Types_of_Activity[Type of Activity],Types_of_Activity[Classification])=1,Term4_Special_Day_2[[#This Row],[Elapsed]],0))</f>
        <v/>
      </c>
      <c r="N98" s="109" t="str">
        <f>IF(ISBLANK(Term4_Special_Day_2[[#This Row],[Activity]]),"",IF(_xlfn.XLOOKUP(Term4_Special_Day_2[[#This Row],[Activity]],Types_of_Activity[Type of Activity],Types_of_Activity[Classification])=2,Term4_Special_Day_2[[#This Row],[Elapsed]],0))</f>
        <v/>
      </c>
      <c r="O98"/>
      <c r="P98" s="141"/>
      <c r="Q98" s="141"/>
      <c r="R98" s="106"/>
      <c r="S98" s="109" t="str">
        <f>IF(OR(ISBLANK(Term4_Special_Day_3[[#This Row],[Start]]),ISBLANK(Term4_Special_Day_3[[#This Row],[End]])),"",(Term4_Special_Day_3[[#This Row],[End]]-Term4_Special_Day_3[[#This Row],[Start]])*1440)</f>
        <v/>
      </c>
      <c r="T98" s="109" t="str">
        <f>IF(ISBLANK(Term4_Special_Day_3[[#This Row],[Activity]]),"",IF(_xlfn.XLOOKUP(Term4_Special_Day_3[[#This Row],[Activity]],Types_of_Activity[Type of Activity],Types_of_Activity[Classification])=1,Term4_Special_Day_3[[#This Row],[Elapsed]],0))</f>
        <v/>
      </c>
      <c r="U98" s="109" t="str">
        <f>IF(ISBLANK(Term4_Special_Day_3[[#This Row],[Activity]]),"",IF(_xlfn.XLOOKUP(Term4_Special_Day_3[[#This Row],[Activity]],Types_of_Activity[Type of Activity],Types_of_Activity[Classification])=2,Term4_Special_Day_3[[#This Row],[Elapsed]],0))</f>
        <v/>
      </c>
      <c r="V98" s="109"/>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sheetData>
  <sheetProtection algorithmName="SHA-512" hashValue="wx1pvWoXqW4eyWjlXmBg6NNzaOdkJJLjm3pVrX0qzgAbrTxrfZJ9DAnajnMFvdrSD3FCjlPoy4S/Xen05Y74Tg==" saltValue="2TCTQztElBoPvGpk21G8MA==" spinCount="100000" sheet="1" selectLockedCells="1"/>
  <mergeCells count="1">
    <mergeCell ref="B11:N11"/>
  </mergeCells>
  <conditionalFormatting sqref="B11:N11">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5:BN28 P15:Q28 W15:X28 AD15:AE28 AK15:AL28 AR15:AS28 B54:C66 I15:J28 AY15:AZ28 BF15:BG28 B15:C47" xr:uid="{DC891B34-9E9B-46FB-A43A-77FCBC545B5F}">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_xlfn.ANCHORARRAY(Parameters!$F$19)</xm:f>
          </x14:formula1>
          <xm:sqref>AT15:AT47 K15:K47 R54:R86 AF15:AF47 AM15:AM47 R15:R47 K96:K128 R96:R128 BO15:BO47 K54:K86 D54:D86 D96:D128 Y15:Y47 BA15:BA47 BH15:BH47 D15:D47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D5857895-4151-46B0-B9DA-8897BAC85F5A}">
  <ds:schemaRefs>
    <ds:schemaRef ds:uri="http://schemas.microsoft.com/DataMashup"/>
  </ds:schemaRefs>
</ds:datastoreItem>
</file>

<file path=customXml/itemProps4.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76</vt:i4>
      </vt:variant>
    </vt:vector>
  </HeadingPairs>
  <TitlesOfParts>
    <vt:vector size="88"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2023-08-28T17:19:19Z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